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15F49ACD-BD78-4A88-888F-E55E56D42114}" xr6:coauthVersionLast="47" xr6:coauthVersionMax="47" xr10:uidLastSave="{00000000-0000-0000-0000-000000000000}"/>
  <bookViews>
    <workbookView xWindow="57480" yWindow="-120" windowWidth="29040" windowHeight="15840" tabRatio="708" xr2:uid="{00000000-000D-0000-FFFF-FFFF00000000}"/>
  </bookViews>
  <sheets>
    <sheet name="Instructions" sheetId="49"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state="hidden"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state="hidden"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Print'!$A$1:$H$10</definedName>
    <definedName name="_xlnm.Print_Area" localSheetId="5">'PI series #'!$A$1:$I$24</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E85" i="53"/>
  <c r="E83" i="53"/>
  <c r="E81" i="53"/>
  <c r="F66" i="53"/>
  <c r="F64" i="53"/>
  <c r="F62" i="53"/>
  <c r="E251" i="28"/>
  <c r="E250" i="28"/>
  <c r="D8" i="80"/>
  <c r="E260" i="28" l="1"/>
  <c r="E259" i="28"/>
  <c r="E258" i="28"/>
  <c r="E255" i="28"/>
  <c r="L255" i="28" s="1"/>
  <c r="E253" i="28"/>
  <c r="E252" i="28"/>
  <c r="E249" i="28"/>
  <c r="E248" i="28"/>
  <c r="E247" i="28"/>
  <c r="E246" i="28"/>
  <c r="L4" i="28"/>
  <c r="O8" i="29" l="1"/>
  <c r="T3" i="29" l="1"/>
  <c r="U3" i="29"/>
  <c r="T4" i="29"/>
  <c r="U4" i="29"/>
  <c r="T5" i="29"/>
  <c r="U5" i="29"/>
  <c r="T6" i="29"/>
  <c r="U6" i="29"/>
  <c r="T7" i="29"/>
  <c r="U7" i="29"/>
  <c r="T8" i="29"/>
  <c r="U8" i="29"/>
  <c r="O3" i="29"/>
  <c r="P3" i="29"/>
  <c r="O4" i="29"/>
  <c r="P4" i="29"/>
  <c r="O5" i="29"/>
  <c r="P5" i="29"/>
  <c r="O6" i="29"/>
  <c r="P6" i="29"/>
  <c r="O7" i="29"/>
  <c r="P7" i="29"/>
  <c r="P8" i="29"/>
  <c r="T2" i="29"/>
  <c r="U2" i="29"/>
  <c r="P2" i="29"/>
  <c r="O2" i="29"/>
  <c r="E100" i="1" l="1"/>
  <c r="E97" i="1"/>
  <c r="E96" i="1"/>
  <c r="E95" i="1"/>
  <c r="E94" i="1"/>
  <c r="E93" i="1"/>
  <c r="E92" i="1"/>
  <c r="E91" i="1"/>
  <c r="E90" i="1"/>
  <c r="A327" i="1" l="1"/>
  <c r="B4" i="80" l="1"/>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G89" i="1" s="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2" i="1"/>
  <c r="E11" i="1"/>
  <c r="E10" i="1"/>
  <c r="E9" i="1"/>
  <c r="E8" i="1"/>
  <c r="E7" i="1"/>
  <c r="H38" i="1" l="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M23" i="73" l="1"/>
  <c r="D23" i="73" s="1"/>
  <c r="C281" i="28"/>
  <c r="G87" i="53" l="1"/>
  <c r="L266" i="28" l="1"/>
  <c r="L267" i="28"/>
  <c r="L268" i="28"/>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G199" i="1" l="1"/>
  <c r="G183" i="1"/>
  <c r="G132" i="1"/>
  <c r="H74" i="53" l="1"/>
  <c r="H72" i="53"/>
  <c r="H70" i="53"/>
  <c r="H68" i="53"/>
  <c r="H66" i="53"/>
  <c r="H64" i="53"/>
  <c r="H62" i="53"/>
  <c r="H60" i="53"/>
  <c r="H55" i="53"/>
  <c r="H51" i="53"/>
  <c r="H49" i="53"/>
  <c r="H47" i="53"/>
  <c r="H45" i="53"/>
  <c r="H43" i="53"/>
  <c r="H41" i="53"/>
  <c r="H57" i="53"/>
  <c r="H78" i="53"/>
  <c r="H76" i="53"/>
  <c r="G180" i="1" l="1"/>
  <c r="D17" i="73"/>
  <c r="C17" i="73"/>
  <c r="B17" i="73"/>
  <c r="B11" i="73"/>
  <c r="C11" i="73"/>
  <c r="D11" i="73"/>
  <c r="E243" i="28" l="1"/>
  <c r="L243" i="28" s="1"/>
  <c r="B20" i="71" s="1"/>
  <c r="C243" i="28"/>
  <c r="A243" i="28"/>
  <c r="B2" i="71"/>
  <c r="B8" i="71" l="1"/>
  <c r="B12" i="71"/>
  <c r="W243" i="28"/>
  <c r="L253" i="28"/>
  <c r="D9" i="80" s="1"/>
  <c r="C253" i="28"/>
  <c r="A253" i="28"/>
  <c r="E257" i="28"/>
  <c r="F9" i="80" l="1"/>
  <c r="W253" i="28"/>
  <c r="G222" i="1"/>
  <c r="E256" i="28"/>
  <c r="C258" i="28"/>
  <c r="C257" i="28"/>
  <c r="C256" i="28"/>
  <c r="C255" i="28"/>
  <c r="C260" i="28"/>
  <c r="C259"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10" i="80" s="1"/>
  <c r="L246" i="28"/>
  <c r="E254" i="28"/>
  <c r="C247" i="28"/>
  <c r="C246" i="28"/>
  <c r="A258" i="28"/>
  <c r="A257" i="28"/>
  <c r="A256" i="28"/>
  <c r="A255" i="28"/>
  <c r="A260" i="28"/>
  <c r="A259" i="28"/>
  <c r="A254" i="28"/>
  <c r="A251" i="28"/>
  <c r="A250" i="28"/>
  <c r="A249" i="28"/>
  <c r="A248" i="28"/>
  <c r="A247" i="28"/>
  <c r="A246" i="28"/>
  <c r="W246" i="28" l="1"/>
  <c r="W260" i="28"/>
  <c r="W192" i="28"/>
  <c r="W247" i="28"/>
  <c r="W255" i="28"/>
  <c r="W191" i="28"/>
  <c r="W248" i="28"/>
  <c r="W249" i="28"/>
  <c r="W257" i="28"/>
  <c r="W254" i="28"/>
  <c r="W250" i="28"/>
  <c r="W258" i="28"/>
  <c r="W161" i="28"/>
  <c r="W244" i="28"/>
  <c r="W259" i="28"/>
  <c r="W193" i="28"/>
  <c r="W256" i="28"/>
  <c r="W251" i="28"/>
  <c r="L254" i="28"/>
  <c r="L259" i="28"/>
  <c r="L258" i="28"/>
  <c r="D7" i="80" s="1"/>
  <c r="F7" i="80" s="1"/>
  <c r="L260" i="28"/>
  <c r="L248" i="28"/>
  <c r="M10" i="80" s="1"/>
  <c r="L249" i="28"/>
  <c r="N10" i="80" s="1"/>
  <c r="L250" i="28"/>
  <c r="L256" i="28"/>
  <c r="L251" i="28"/>
  <c r="L257" i="28"/>
  <c r="D10" i="80" l="1"/>
  <c r="F8" i="80"/>
  <c r="B2" i="73" l="1"/>
  <c r="C9" i="73" s="1"/>
  <c r="C8" i="73" l="1"/>
  <c r="C6" i="73"/>
  <c r="L14" i="73"/>
  <c r="L13" i="73"/>
  <c r="L20" i="73"/>
  <c r="L19" i="73"/>
  <c r="L18" i="73"/>
  <c r="L12" i="73"/>
  <c r="H28" i="53"/>
  <c r="E27" i="53"/>
  <c r="G11" i="53"/>
  <c r="G88" i="53" s="1"/>
  <c r="E97" i="53" l="1"/>
  <c r="G89" i="53"/>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s="1"/>
  <c r="B3" i="71" l="1"/>
  <c r="B13" i="71"/>
  <c r="B3" i="73"/>
  <c r="Y266" i="28"/>
  <c r="B9" i="73" l="1"/>
  <c r="L11" i="73"/>
  <c r="L17" i="73"/>
  <c r="B8" i="73"/>
  <c r="B6" i="73"/>
  <c r="K18" i="73"/>
  <c r="K17" i="73"/>
  <c r="K14" i="73"/>
  <c r="K20" i="73"/>
  <c r="K12" i="73"/>
  <c r="K11" i="73"/>
  <c r="K19" i="73"/>
  <c r="K13" i="73"/>
  <c r="M17" i="73"/>
  <c r="M11" i="73"/>
  <c r="Y268" i="28"/>
  <c r="Y267" i="28"/>
  <c r="B18" i="73" l="1"/>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H4" i="30" l="1"/>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H272"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M20" i="73" l="1"/>
  <c r="F20" i="73" s="1"/>
  <c r="M14" i="73"/>
  <c r="D14" i="73" s="1"/>
  <c r="D9" i="73"/>
  <c r="D8" i="73"/>
  <c r="D6" i="73"/>
  <c r="M12" i="73"/>
  <c r="F12" i="73" s="1"/>
  <c r="M19" i="73"/>
  <c r="D19" i="73" s="1"/>
  <c r="F19" i="73" s="1"/>
  <c r="G124" i="28"/>
  <c r="F124" i="28"/>
  <c r="K15" i="73"/>
  <c r="K5" i="73"/>
  <c r="E6" i="73" s="1"/>
  <c r="L264" i="28"/>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K9" i="73" l="1"/>
  <c r="F9" i="73" s="1"/>
  <c r="D20" i="73"/>
  <c r="G143" i="28"/>
  <c r="F143" i="28"/>
  <c r="D12" i="73"/>
  <c r="F14" i="73"/>
  <c r="D13" i="73"/>
  <c r="F13" i="73" s="1"/>
  <c r="D15" i="73"/>
  <c r="F15" i="73" s="1"/>
  <c r="K8" i="73"/>
  <c r="L8" i="73" s="1"/>
  <c r="E8" i="73"/>
  <c r="K6" i="73"/>
  <c r="L6" i="73"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D18" i="73" l="1"/>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F30" i="71" l="1"/>
  <c r="L295" i="28"/>
  <c r="J295" i="28"/>
  <c r="H32" i="30"/>
  <c r="F15" i="30"/>
  <c r="F18" i="30" s="1"/>
  <c r="F32" i="30"/>
  <c r="C22" i="30" l="1"/>
  <c r="F21" i="30"/>
  <c r="C21" i="30"/>
  <c r="F23" i="73" l="1"/>
</calcChain>
</file>

<file path=xl/sharedStrings.xml><?xml version="1.0" encoding="utf-8"?>
<sst xmlns="http://schemas.openxmlformats.org/spreadsheetml/2006/main" count="2530" uniqueCount="1466">
  <si>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</si>
  <si>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</si>
  <si>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</si>
  <si>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</si>
  <si>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</si>
  <si>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</si>
  <si>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</si>
  <si>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</si>
  <si>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</si>
  <si>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</si>
  <si>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</si>
  <si>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</si>
  <si>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</si>
  <si>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</si>
  <si>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</si>
  <si>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</si>
  <si>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</si>
  <si>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</si>
  <si>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</si>
  <si>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</si>
  <si>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</si>
  <si>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</si>
  <si>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</si>
  <si>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</si>
  <si>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</si>
  <si>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</si>
  <si>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</si>
  <si>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</si>
  <si>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</si>
  <si>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</si>
  <si>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</si>
  <si>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</si>
  <si>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</si>
  <si>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</si>
  <si>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</si>
  <si>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</si>
  <si>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</si>
  <si>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</si>
  <si>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</si>
  <si>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</si>
  <si>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</si>
  <si>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</si>
  <si>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</si>
  <si>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</si>
  <si>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</si>
  <si>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</si>
  <si>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</si>
  <si>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</si>
  <si>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</si>
  <si>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</si>
  <si>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</si>
  <si>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</si>
  <si>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</si>
  <si>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</si>
  <si>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</si>
  <si>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</si>
  <si>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</si>
  <si>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</si>
  <si>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</si>
  <si>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</si>
  <si>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</si>
  <si>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</si>
  <si>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</si>
  <si>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</si>
  <si>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</si>
  <si>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</si>
  <si>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</si>
  <si>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</si>
  <si>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</si>
  <si>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</si>
  <si>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</si>
  <si>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</si>
  <si>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</si>
  <si>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</si>
  <si>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</si>
  <si>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</si>
  <si>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</si>
  <si>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</si>
  <si>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</si>
  <si>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</si>
  <si>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</si>
  <si>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</si>
  <si>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</si>
  <si>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</si>
  <si>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</si>
  <si>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</si>
  <si>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</si>
  <si>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</si>
  <si>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</si>
  <si>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</si>
  <si>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</si>
  <si>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</si>
  <si>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</si>
  <si>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</si>
  <si>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</si>
  <si>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</si>
  <si>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</si>
  <si>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</si>
  <si>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</si>
  <si>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</si>
  <si>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</si>
  <si>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</si>
  <si>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</si>
  <si>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</si>
  <si>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</si>
  <si>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</si>
  <si>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</si>
  <si>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</si>
  <si>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</si>
  <si>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</si>
  <si>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</si>
  <si>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</si>
  <si>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</si>
  <si>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</si>
  <si>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</si>
  <si>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</si>
  <si>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</si>
  <si>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</si>
  <si>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</si>
  <si>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</si>
  <si>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</si>
  <si>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</si>
  <si>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</si>
  <si>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</si>
  <si>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</si>
  <si>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</si>
  <si>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</si>
  <si>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</si>
  <si>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</si>
  <si>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</si>
  <si>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</si>
  <si>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</si>
  <si>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</si>
  <si>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</si>
  <si>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</si>
  <si>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</si>
  <si>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</si>
  <si>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</si>
  <si>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</si>
  <si>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</si>
  <si>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</si>
  <si>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</si>
  <si>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</si>
  <si>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</si>
  <si>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</si>
  <si>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</si>
  <si>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</si>
  <si>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</si>
  <si>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</si>
  <si>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</si>
  <si>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</si>
  <si>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</si>
  <si>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</si>
  <si>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</si>
  <si>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</si>
  <si>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</si>
  <si>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</si>
  <si>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</si>
  <si>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</si>
  <si>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</si>
  <si>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</si>
  <si>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</si>
  <si>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</si>
  <si>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</si>
  <si>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</si>
  <si>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</si>
  <si>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</si>
  <si>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</si>
  <si>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</si>
  <si>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</si>
  <si>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</si>
  <si>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</si>
  <si>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</si>
  <si>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</si>
  <si>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</si>
  <si>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</si>
  <si>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</si>
  <si>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</si>
  <si>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</si>
  <si>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</si>
  <si>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</si>
  <si>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</si>
  <si>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</si>
  <si>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</si>
  <si>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</si>
  <si>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</si>
  <si>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</si>
  <si>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</si>
  <si>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</si>
  <si>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</si>
  <si>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</si>
  <si>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</si>
  <si>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</si>
  <si>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</si>
  <si>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</si>
  <si>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</si>
  <si>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</si>
  <si>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</si>
  <si>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</si>
  <si>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</si>
  <si>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</si>
  <si>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</si>
  <si>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</si>
  <si>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</si>
  <si>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</si>
  <si>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</si>
  <si>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</si>
  <si>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</si>
  <si>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</si>
  <si>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</si>
  <si>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</si>
  <si>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</si>
  <si>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</si>
  <si>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</si>
  <si>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</si>
  <si>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</si>
  <si>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</si>
  <si>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</si>
  <si>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</si>
  <si>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</si>
  <si>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</si>
  <si>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</si>
  <si>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</si>
  <si>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</si>
  <si>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</si>
  <si>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</si>
  <si>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</si>
  <si>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</si>
  <si>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</si>
  <si>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</si>
  <si>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</si>
  <si>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</si>
  <si>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</si>
  <si>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</si>
  <si>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</si>
  <si>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</si>
  <si>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</si>
  <si>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</si>
  <si>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</si>
  <si>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</si>
  <si>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</si>
  <si>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</si>
  <si>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</si>
  <si>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</si>
  <si>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</si>
  <si>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</si>
  <si>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</si>
  <si>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</si>
  <si>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</si>
  <si>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</si>
  <si>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</si>
  <si>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</si>
  <si>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</si>
  <si>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</si>
  <si>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</si>
  <si>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</si>
  <si>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</si>
  <si>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Actuarial Value of Assets</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</si>
  <si>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</si>
  <si>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</si>
  <si>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</si>
  <si>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</si>
  <si>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</si>
  <si>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</si>
  <si>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</si>
  <si>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</si>
  <si>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</si>
  <si>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</si>
  <si>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</si>
  <si>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</si>
  <si>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</si>
  <si>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</si>
  <si>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</si>
  <si>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</si>
  <si>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</si>
  <si>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</si>
  <si>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</si>
  <si>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</si>
  <si>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</si>
  <si>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</si>
  <si>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</si>
  <si>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</si>
  <si>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</si>
  <si>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</si>
  <si>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</si>
  <si>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</si>
  <si>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</si>
  <si>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</si>
  <si>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</si>
  <si>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</si>
  <si>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</si>
  <si>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</si>
  <si>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</si>
  <si>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</si>
  <si>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Hospital-EF- Net Patient Revenue (IS)</t>
  </si>
  <si>
    <t>Hospital-EF- Interest expenses (IS)</t>
  </si>
  <si>
    <t>WS-EF- Current Assets (unrestricted, excl. inventory and prepaids)</t>
  </si>
  <si>
    <t>Hospital-EF- Capital Outlays</t>
  </si>
  <si>
    <t xml:space="preserve">Counties Only- Local Current Expense to BOEs </t>
  </si>
  <si>
    <t xml:space="preserve">Counties Only- Capital Outlay Contribution to BOEs </t>
  </si>
  <si>
    <t xml:space="preserve">BOE Only-- Local Current Exp. Revenue from County. </t>
  </si>
  <si>
    <t>Combined Totals of all Proprietary Funds - Capital Contributions</t>
  </si>
  <si>
    <t>GF- Total cash &amp; investments (restricted &amp; unrestricted)</t>
  </si>
  <si>
    <t>All cash and investments (unit-wide, w/ fiduciary fds, &amp; restricted cash)</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</si>
  <si>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</si>
  <si>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</si>
  <si>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</si>
  <si>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</si>
  <si>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</si>
  <si>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</si>
  <si>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</si>
  <si>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</si>
  <si>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</si>
  <si>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</si>
  <si>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</si>
  <si>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</si>
  <si>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</si>
  <si>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</si>
  <si>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</si>
  <si>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</si>
  <si>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</si>
  <si>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</si>
  <si>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</si>
  <si>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</si>
  <si>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</si>
  <si>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</si>
  <si>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</si>
  <si>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</si>
  <si>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</si>
  <si>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</si>
  <si>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</si>
  <si>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</si>
  <si>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</si>
  <si>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</si>
  <si>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</si>
  <si>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</si>
  <si>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</si>
  <si>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</si>
  <si>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</si>
  <si>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</si>
  <si>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</si>
  <si>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</si>
  <si>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</si>
  <si>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</si>
  <si>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use on upload template</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</si>
  <si>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</si>
  <si>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</si>
  <si>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</si>
  <si>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</si>
  <si>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</si>
  <si>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</si>
  <si>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</si>
  <si>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</si>
  <si>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</si>
  <si>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</si>
  <si>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</si>
  <si>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</si>
  <si>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</si>
  <si>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</si>
  <si>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</si>
  <si>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</si>
  <si>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</si>
  <si>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</si>
  <si>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C-EF- Current Assets (unrestricted, excl. inventory and prepaids)</t>
  </si>
  <si>
    <t>C-EF Current Assets (unrestricted, incl. inventory and prepaids)</t>
  </si>
  <si>
    <t>GF- Proceeds from all LT debt issuance (COPs, IPs, Notes, CLs, etc.)</t>
  </si>
  <si>
    <t>WS - Total Current Assets</t>
  </si>
  <si>
    <t>WS - Select Current Liabilities</t>
  </si>
  <si>
    <t>E-EF- Current Assets (unrestricted, excl. inventory and prepaids)</t>
  </si>
  <si>
    <t>Electric - Total Current Assets</t>
  </si>
  <si>
    <t>E-EF- Net Transfers In(Out)- with GF only</t>
  </si>
  <si>
    <t>E-EF- Gross Capital Assets</t>
  </si>
  <si>
    <t>GA- Total Net transfers in(out) (SOA)</t>
  </si>
  <si>
    <t>GF- Restricted cash &amp; investments</t>
  </si>
  <si>
    <t>County only-timber receipts sent to the schools</t>
  </si>
  <si>
    <t>Local Curr Exp trx to Fund 8</t>
  </si>
  <si>
    <t>Capital Outlay trx to Fund 8</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</si>
  <si>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</si>
  <si>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</si>
  <si>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</si>
  <si>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</si>
  <si>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</si>
  <si>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</si>
  <si>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</si>
  <si>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</si>
  <si>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</si>
  <si>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</si>
  <si>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</si>
  <si>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</si>
  <si>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</si>
  <si>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</si>
  <si>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</si>
  <si>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</si>
  <si>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</si>
  <si>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</si>
  <si>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</si>
  <si>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</si>
  <si>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</si>
  <si>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</si>
  <si>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</si>
  <si>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</si>
  <si>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</si>
  <si>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</si>
  <si>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yes and "2" for no</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</si>
  <si>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</si>
  <si>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</si>
  <si>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</si>
  <si>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</si>
  <si>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Compliance opinion - enter "1" for clean Opinion or "2" for other than clean opinion</t>
  </si>
  <si>
    <t>FS., Pension note or RSI</t>
  </si>
  <si>
    <t>Notes to the Financial Statements - Pension Note</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</si>
  <si>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</si>
  <si>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</si>
  <si>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</si>
  <si>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</si>
  <si>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</si>
  <si>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</si>
  <si>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</si>
  <si>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</si>
  <si>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</si>
  <si>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</si>
  <si>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</si>
  <si>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</si>
  <si>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</si>
  <si>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</si>
  <si>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</si>
  <si>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</si>
  <si>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</si>
  <si>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</si>
  <si>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</si>
  <si>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</si>
  <si>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</si>
  <si>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</si>
  <si>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</si>
  <si>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</si>
  <si>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</si>
  <si>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</si>
  <si>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</si>
  <si>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</si>
  <si>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</si>
  <si>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</si>
  <si>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</si>
  <si>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</si>
  <si>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</si>
  <si>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</si>
  <si>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</si>
  <si>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</si>
  <si>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</si>
  <si>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</si>
  <si>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</si>
  <si>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</si>
  <si>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</si>
  <si>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</si>
  <si>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</si>
  <si>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</si>
  <si>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</si>
  <si>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</si>
  <si>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</si>
  <si>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</si>
  <si>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</si>
  <si>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</si>
  <si>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</si>
  <si>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</si>
  <si>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</si>
  <si>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</si>
  <si>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</si>
  <si>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</si>
  <si>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</si>
  <si>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</si>
  <si>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</si>
  <si>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</si>
  <si>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</si>
  <si>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</si>
  <si>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</si>
  <si>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</si>
  <si>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</si>
  <si>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</si>
  <si>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</si>
  <si>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</si>
  <si>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</si>
  <si>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</si>
  <si>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</si>
  <si>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</si>
  <si>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GF Exp and Tran out</t>
  </si>
  <si>
    <t>WS debt service</t>
  </si>
  <si>
    <t>100+98</t>
  </si>
  <si>
    <t>44-510</t>
  </si>
  <si>
    <t>WS Current asset</t>
  </si>
  <si>
    <t>532+20+509-533-508</t>
  </si>
  <si>
    <t>331+89</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</si>
  <si>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</si>
  <si>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</si>
  <si>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</si>
  <si>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</si>
  <si>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</si>
  <si>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</si>
  <si>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</si>
  <si>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</si>
  <si>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</si>
  <si>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</si>
  <si>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</si>
  <si>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</si>
  <si>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</si>
  <si>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</si>
  <si>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</si>
  <si>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</si>
  <si>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</si>
  <si>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</si>
  <si>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</si>
  <si>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</si>
  <si>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</si>
  <si>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</si>
  <si>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</si>
  <si>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</si>
  <si>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</si>
  <si>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</si>
  <si>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</si>
  <si>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</si>
  <si>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</si>
  <si>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</si>
  <si>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</si>
  <si>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</si>
  <si>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</si>
  <si>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</si>
  <si>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</si>
  <si>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</si>
  <si>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</si>
  <si>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</si>
  <si>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</si>
  <si>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</si>
  <si>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</si>
  <si>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</si>
  <si>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</si>
  <si>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</si>
  <si>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</si>
  <si>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</si>
  <si>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</si>
  <si>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</si>
  <si>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Supplemental School Tax</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</si>
  <si>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</si>
  <si>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</si>
  <si>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</si>
  <si>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</si>
  <si>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</si>
  <si>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</si>
  <si>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</si>
  <si>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</si>
  <si>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</si>
  <si>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</si>
  <si>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</si>
  <si>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</si>
  <si>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</si>
  <si>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</si>
  <si>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</si>
  <si>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</si>
  <si>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</si>
  <si>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</si>
  <si>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</si>
  <si>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</si>
  <si>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</si>
  <si>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</si>
  <si>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</si>
  <si>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</si>
  <si>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</si>
  <si>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</si>
  <si>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</si>
  <si>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</si>
  <si>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</si>
  <si>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</si>
  <si>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</si>
  <si>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</si>
  <si>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</si>
  <si>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</si>
  <si>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</si>
  <si>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</si>
  <si>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</si>
  <si>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</si>
  <si>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</si>
  <si>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</si>
  <si>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</si>
  <si>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</si>
  <si>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</si>
  <si>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</si>
  <si>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</si>
  <si>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</si>
  <si>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</si>
  <si>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</si>
  <si>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</si>
  <si>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</si>
  <si>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</si>
  <si>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</si>
  <si>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Is the Finance Officer bonded for at least $50,000? (GS 159-42(h) </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</si>
  <si>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</si>
  <si>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</si>
  <si>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</si>
  <si>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</si>
  <si>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</si>
  <si>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</si>
  <si>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</si>
  <si>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</si>
  <si>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</si>
  <si>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</si>
  <si>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 xml:space="preserve">Is there is a going concern finding noted in the audit report </t>
  </si>
  <si>
    <t>Did the Unit have debt service payments deferred or restructured in this fiscal year (does not include refinancings designed to take advantage of lower interest rates)</t>
  </si>
  <si>
    <t>Were debt service payments made late  Deferred payments authorized by LGC or other state agencies should not be counted as late for purposes of this question.</t>
  </si>
  <si>
    <t>Were all bond covenants met</t>
  </si>
  <si>
    <t xml:space="preserve">Is the Finance Officer bonded for at least $50,000 (GS 159-42(h) </t>
  </si>
  <si>
    <t>TD-UL Issued based on report  (Y/N)</t>
  </si>
  <si>
    <t>TD-SUL Issued based on report (Y/N)</t>
  </si>
  <si>
    <t>TD-DPI Issued based on  report (Y/N)</t>
  </si>
  <si>
    <t>TD-Unit Visit Needed based on report (Y/N)</t>
  </si>
  <si>
    <t>TD-Choose one of the following related to Internal Controls:</t>
  </si>
  <si>
    <t># of significant deficiency findings (other than in Questions 15-17 )</t>
  </si>
  <si>
    <t># of material weaknesses findings (other than in Questions 15-17)</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</si>
  <si>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</si>
  <si>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</si>
  <si>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</si>
  <si>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</si>
  <si>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</si>
  <si>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</si>
  <si>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</si>
  <si>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</si>
  <si>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</si>
  <si>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</si>
  <si>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</si>
  <si>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</si>
  <si>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</si>
  <si>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</si>
  <si>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</si>
  <si>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</si>
  <si>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</si>
  <si>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</si>
  <si>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</si>
  <si>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</si>
  <si>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</si>
  <si>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</si>
  <si>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</si>
  <si>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</si>
  <si>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</si>
  <si>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</si>
  <si>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</si>
  <si>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</si>
  <si>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</si>
  <si>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</si>
  <si>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</si>
  <si>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</si>
  <si>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</si>
  <si>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</si>
  <si>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</si>
  <si>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</si>
  <si>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</si>
  <si>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</si>
  <si>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</si>
  <si>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</si>
  <si>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</si>
  <si>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</si>
  <si>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</si>
  <si>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</si>
  <si>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</si>
  <si>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</si>
  <si>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</si>
  <si>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</si>
  <si>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</si>
  <si>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</si>
  <si>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</si>
  <si>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</si>
  <si>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</si>
  <si>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</si>
  <si>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</si>
  <si>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</si>
  <si>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</si>
  <si>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</si>
  <si>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</si>
  <si>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</si>
  <si>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</si>
  <si>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</si>
  <si>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</si>
  <si>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</si>
  <si>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</si>
  <si>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</si>
  <si>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</si>
  <si>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</si>
  <si>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</si>
  <si>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</si>
  <si>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</si>
  <si>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</si>
  <si>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</si>
  <si>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</si>
  <si>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</si>
  <si>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</si>
  <si>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</si>
  <si>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</si>
  <si>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</si>
  <si>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</si>
  <si>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</si>
  <si>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</si>
  <si>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</si>
  <si>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</si>
  <si>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</si>
  <si>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</si>
  <si>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</si>
  <si>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</si>
  <si>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</si>
  <si>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</si>
  <si>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</si>
  <si>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</si>
  <si>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</si>
  <si>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</si>
  <si>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</si>
  <si>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</si>
  <si>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</si>
  <si>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</si>
  <si>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</si>
  <si>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</si>
  <si>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</si>
  <si>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</si>
  <si>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</si>
  <si>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</si>
  <si>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</si>
  <si>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</si>
  <si>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</si>
  <si>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</si>
  <si>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</si>
  <si>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</si>
  <si>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</si>
  <si>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</si>
  <si>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</si>
  <si>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</si>
  <si>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</si>
  <si>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</si>
  <si>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</si>
  <si>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</si>
  <si>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</si>
  <si>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</si>
  <si>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</si>
  <si>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</si>
  <si>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</si>
  <si>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</si>
  <si>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</si>
  <si>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Performance Indicator Worksheet</t>
  </si>
  <si>
    <t>Fiscal Year</t>
  </si>
  <si>
    <t>Unit Number:</t>
  </si>
  <si>
    <t>Explanation of Performance Indicator</t>
  </si>
  <si>
    <t>Equal or greater than 1</t>
  </si>
  <si>
    <t>The unit must address the material and/or significant findings or any other findings that the auditor reported to them.</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</si>
  <si>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</si>
  <si>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</si>
  <si>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</si>
  <si>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</si>
  <si>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</si>
  <si>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</si>
  <si>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</si>
  <si>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</si>
  <si>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</si>
  <si>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</si>
  <si>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</si>
  <si>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</si>
  <si>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</si>
  <si>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</si>
  <si>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</si>
  <si>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</si>
  <si>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</si>
  <si>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</si>
  <si>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</si>
  <si>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</si>
  <si>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</si>
  <si>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TD Info Completed by Auditor : CCH acct # 978</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</si>
  <si>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</si>
  <si>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</si>
  <si>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</si>
  <si>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</si>
  <si>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</si>
  <si>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</si>
  <si>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hidden data</t>
  </si>
  <si>
    <t>(532+509+20-533-508)</t>
  </si>
  <si>
    <t>GF  FBA without Powell Bill</t>
  </si>
  <si>
    <t>GF FBA% of Exp w/o Powell Bill</t>
  </si>
  <si>
    <t>WS Quick Ratio</t>
  </si>
  <si>
    <t>Operating Net Income (loss) excluding depreciation+ debt service principal</t>
  </si>
  <si>
    <t>Unit data from Audit Worksheet tab ; 84-85-49+331</t>
  </si>
  <si>
    <t>Unit Data from Audit worksheet tab : 80/(85+351-49+331)</t>
  </si>
  <si>
    <t>Unit Data from Audit worksheet tab : 93-94-52+100</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</si>
  <si>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</si>
  <si>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</si>
  <si>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</si>
  <si>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</si>
  <si>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</si>
  <si>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</si>
  <si>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</si>
  <si>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</si>
  <si>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</si>
  <si>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</si>
  <si>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</si>
  <si>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</si>
  <si>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</si>
  <si>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</si>
  <si>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</si>
  <si>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</si>
  <si>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</si>
  <si>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</si>
  <si>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</si>
  <si>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</si>
  <si>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Uni Number</t>
  </si>
  <si>
    <t>Electric Gross Annual Revenue</t>
  </si>
  <si>
    <t>527+356</t>
  </si>
  <si>
    <t>Tax rate for year audited</t>
  </si>
  <si>
    <t>Electric worksheet</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</si>
  <si>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</si>
  <si>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</si>
  <si>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</si>
  <si>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</si>
  <si>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</si>
  <si>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</si>
  <si>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</si>
  <si>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</si>
  <si>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</si>
  <si>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</si>
  <si>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</si>
  <si>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</si>
  <si>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</si>
  <si>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</si>
  <si>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</si>
  <si>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</si>
  <si>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</si>
  <si>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</si>
  <si>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</si>
  <si>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</si>
  <si>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</si>
  <si>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</si>
  <si>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</si>
  <si>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</si>
  <si>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</si>
  <si>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</si>
  <si>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</si>
  <si>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</si>
  <si>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</si>
  <si>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</si>
  <si>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</si>
  <si>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</si>
  <si>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</si>
  <si>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</si>
  <si>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</si>
  <si>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</si>
  <si>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</si>
  <si>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</si>
  <si>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</si>
  <si>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</si>
  <si>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</si>
  <si>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</si>
  <si>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</si>
  <si>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</si>
  <si>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</si>
  <si>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</si>
  <si>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</si>
  <si>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</si>
  <si>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</si>
  <si>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</si>
  <si>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</si>
  <si>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</si>
  <si>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</si>
  <si>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</si>
  <si>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</si>
  <si>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</si>
  <si>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</si>
  <si>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</si>
  <si>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</si>
  <si>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</si>
  <si>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</si>
  <si>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</si>
  <si>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</si>
  <si>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</si>
  <si>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</si>
  <si>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</si>
  <si>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</si>
  <si>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</si>
  <si>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</si>
  <si>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</si>
  <si>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</si>
  <si>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</si>
  <si>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</si>
  <si>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</si>
  <si>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</si>
  <si>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</si>
  <si>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</si>
  <si>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</si>
  <si>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</si>
  <si>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</si>
  <si>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</si>
  <si>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</si>
  <si>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</si>
  <si>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</si>
  <si>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</si>
  <si>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</si>
  <si>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</si>
  <si>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</si>
  <si>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</si>
  <si>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</si>
  <si>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</si>
  <si>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</si>
  <si>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</si>
  <si>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</si>
  <si>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</si>
  <si>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</si>
  <si>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</si>
  <si>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</si>
  <si>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</si>
  <si>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</si>
  <si>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</si>
  <si>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</si>
  <si>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</si>
  <si>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</si>
  <si>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</si>
  <si>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</si>
  <si>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</si>
  <si>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</si>
  <si>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</si>
  <si>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</si>
  <si>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</si>
  <si>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</si>
  <si>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</si>
  <si>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</si>
  <si>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</si>
  <si>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</si>
  <si>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</si>
  <si>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</si>
  <si>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</si>
  <si>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</si>
  <si>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</si>
  <si>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</si>
  <si>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</si>
  <si>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</si>
  <si>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</si>
  <si>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</si>
  <si>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</si>
  <si>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</si>
  <si>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</si>
  <si>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</si>
  <si>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This tab need to have the most up-to-date UAL list on it at the time it is finalized</t>
  </si>
  <si>
    <t>Total of above CCH Accounts</t>
  </si>
  <si>
    <t>Total from Master Upload file</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</si>
  <si>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</si>
  <si>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</si>
  <si>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 xml:space="preserve"> 93-94+52-100</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</si>
  <si>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</si>
  <si>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</si>
  <si>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</si>
  <si>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</si>
  <si>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</si>
  <si>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</si>
  <si>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</si>
  <si>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</si>
  <si>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</si>
  <si>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</si>
  <si>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</si>
  <si>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</si>
  <si>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</si>
  <si>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</si>
  <si>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</si>
  <si>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</si>
  <si>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</si>
  <si>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</si>
  <si>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</si>
  <si>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</si>
  <si>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</si>
  <si>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</si>
  <si>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</si>
  <si>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</si>
  <si>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</si>
  <si>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</si>
  <si>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</si>
  <si>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</si>
  <si>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</si>
  <si>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</si>
  <si>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</si>
  <si>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</si>
  <si>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</si>
  <si>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</si>
  <si>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</si>
  <si>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</si>
  <si>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</si>
  <si>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</si>
  <si>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</si>
  <si>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</si>
  <si>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Estimated cost not yet budgeted of any mandate placed on unit by DEQ, a court order or some similar requirement (that has no realistic appeal path). </t>
  </si>
  <si>
    <t>The Unit had Statutory Violations listed in the Audit Report that should be addressed in the Unit Response Letter</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</si>
  <si>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</si>
  <si>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</si>
  <si>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</si>
  <si>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</si>
  <si>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</si>
  <si>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</si>
  <si>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</si>
  <si>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</si>
  <si>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</si>
  <si>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</si>
  <si>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</si>
  <si>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</si>
  <si>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</si>
  <si>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</si>
  <si>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</si>
  <si>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</si>
  <si>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t>The unit had problems with debt service payments being late and/or did not comply with the bond covenants?</t>
  </si>
  <si>
    <t>TD Info Completed by Auditor : CCH acct # 974</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</si>
  <si>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</si>
  <si>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</si>
  <si>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</si>
  <si>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</si>
  <si>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</si>
  <si>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</si>
  <si>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</si>
  <si>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</si>
  <si>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</si>
  <si>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</si>
  <si>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</si>
  <si>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</si>
  <si>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</si>
  <si>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</si>
  <si>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</si>
  <si>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</si>
  <si>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</si>
  <si>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</si>
  <si>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</si>
  <si>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193</t>
  </si>
  <si>
    <t>Combined Proprietary Funds - Change in Cash Flow Statement</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</si>
  <si>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</si>
  <si>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</si>
  <si>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</si>
  <si>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</si>
  <si>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</si>
  <si>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</si>
  <si>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</si>
  <si>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</si>
  <si>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</si>
  <si>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</si>
  <si>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</si>
  <si>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</si>
  <si>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</si>
  <si>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</si>
  <si>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</si>
  <si>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</si>
  <si>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</si>
  <si>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</si>
  <si>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</si>
  <si>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</si>
  <si>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</si>
  <si>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</si>
  <si>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</si>
  <si>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</si>
  <si>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</si>
  <si>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</si>
  <si>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</si>
  <si>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</si>
  <si>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</si>
  <si>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</si>
  <si>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</si>
  <si>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</si>
  <si>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</si>
  <si>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</si>
  <si>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</si>
  <si>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</si>
  <si>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</si>
  <si>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</si>
  <si>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</si>
  <si>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</si>
  <si>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</si>
  <si>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</si>
  <si>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</si>
  <si>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</si>
  <si>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</si>
  <si>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</si>
  <si>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</si>
  <si>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</si>
  <si>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</si>
  <si>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</si>
  <si>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</si>
  <si>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</si>
  <si>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</si>
  <si>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</si>
  <si>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</si>
  <si>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</si>
  <si>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</si>
  <si>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</si>
  <si>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</si>
  <si>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</si>
  <si>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</si>
  <si>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</si>
  <si>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</si>
  <si>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</si>
  <si>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</si>
  <si>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</si>
  <si>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</si>
  <si>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</si>
  <si>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</si>
  <si>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</si>
  <si>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</si>
  <si>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</si>
  <si>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</si>
  <si>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</si>
  <si>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</si>
  <si>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</si>
  <si>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</si>
  <si>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</si>
  <si>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</si>
  <si>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</si>
  <si>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</si>
  <si>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</si>
  <si>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</si>
  <si>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</si>
  <si>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</si>
  <si>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</si>
  <si>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</si>
  <si>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</si>
  <si>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</si>
  <si>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</si>
  <si>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</si>
  <si>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</si>
  <si>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</si>
  <si>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</si>
  <si>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</si>
  <si>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</si>
  <si>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</si>
  <si>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</si>
  <si>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</si>
  <si>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</si>
  <si>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</si>
  <si>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</si>
  <si>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</si>
  <si>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</si>
  <si>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</si>
  <si>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</si>
  <si>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</si>
  <si>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</si>
  <si>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</si>
  <si>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</si>
  <si>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</si>
  <si>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</si>
  <si>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</si>
  <si>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</si>
  <si>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</si>
  <si>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</si>
  <si>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</si>
  <si>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</si>
  <si>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</si>
  <si>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</si>
  <si>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</si>
  <si>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</si>
  <si>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</si>
  <si>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</si>
  <si>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</si>
  <si>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</si>
  <si>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</si>
  <si>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</si>
  <si>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</si>
  <si>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</si>
  <si>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</si>
  <si>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</si>
  <si>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</si>
  <si>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</si>
  <si>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</si>
  <si>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</si>
  <si>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</si>
  <si>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</si>
  <si>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</si>
  <si>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</si>
  <si>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</si>
  <si>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</si>
  <si>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</si>
  <si>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</si>
  <si>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</si>
  <si>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</si>
  <si>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</si>
  <si>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</si>
  <si>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</si>
  <si>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</si>
  <si>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</si>
  <si>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</si>
  <si>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</si>
  <si>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</si>
  <si>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</si>
  <si>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</si>
  <si>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</si>
  <si>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</si>
  <si>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</si>
  <si>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</si>
  <si>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</si>
  <si>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</si>
  <si>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</si>
  <si>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</si>
  <si>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</si>
  <si>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</si>
  <si>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</si>
  <si>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</si>
  <si>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</si>
  <si>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</si>
  <si>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</si>
  <si>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</si>
  <si>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</si>
  <si>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</si>
  <si>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</si>
  <si>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</si>
  <si>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</si>
  <si>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</si>
  <si>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</si>
  <si>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</si>
  <si>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</si>
  <si>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</si>
  <si>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</si>
  <si>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</si>
  <si>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</si>
  <si>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</si>
  <si>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</si>
  <si>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</si>
  <si>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</si>
  <si>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</si>
  <si>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</si>
  <si>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</si>
  <si>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</si>
  <si>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</si>
  <si>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</si>
  <si>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</si>
  <si>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</si>
  <si>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</si>
  <si>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</si>
  <si>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</si>
  <si>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</si>
  <si>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</si>
  <si>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</si>
  <si>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</si>
  <si>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</si>
  <si>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</si>
  <si>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</si>
  <si>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</si>
  <si>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</si>
  <si>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</si>
  <si>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</si>
  <si>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</si>
  <si>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</si>
  <si>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</si>
  <si>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</si>
  <si>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</si>
  <si>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</si>
  <si>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</si>
  <si>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</si>
  <si>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</si>
  <si>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</si>
  <si>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</si>
  <si>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</si>
  <si>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</si>
  <si>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</si>
  <si>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</si>
  <si>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</si>
  <si>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</si>
  <si>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</si>
  <si>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</si>
  <si>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</si>
  <si>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</si>
  <si>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</si>
  <si>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</si>
  <si>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</si>
  <si>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</si>
  <si>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</si>
  <si>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</si>
  <si>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</si>
  <si>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</si>
  <si>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</si>
  <si>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</si>
  <si>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</si>
  <si>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</si>
  <si>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</si>
  <si>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</si>
  <si>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</si>
  <si>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</si>
  <si>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</si>
  <si>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</si>
  <si>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</si>
  <si>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</si>
  <si>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</si>
  <si>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</si>
  <si>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</si>
  <si>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</si>
  <si>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</si>
  <si>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</si>
  <si>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</si>
  <si>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</si>
  <si>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</si>
  <si>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</si>
  <si>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</si>
  <si>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</si>
  <si>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</si>
  <si>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</si>
  <si>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</si>
  <si>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</si>
  <si>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</si>
  <si>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</si>
  <si>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</si>
  <si>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</si>
  <si>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</si>
  <si>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</si>
  <si>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</si>
  <si>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</si>
  <si>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</si>
  <si>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</si>
  <si>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</si>
  <si>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</si>
  <si>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</si>
  <si>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</si>
  <si>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</si>
  <si>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</si>
  <si>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</si>
  <si>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</si>
  <si>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</si>
  <si>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</si>
  <si>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</si>
  <si>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</si>
  <si>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</si>
  <si>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</si>
  <si>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</si>
  <si>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</si>
  <si>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2021</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</si>
  <si>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</si>
  <si>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</si>
  <si>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</si>
  <si>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lists whether the unit has a statutory violation.</t>
  </si>
  <si>
    <t>This indicator lists whether or not the unit has issues with debt service payments or bond covenants.</t>
  </si>
  <si>
    <t>This indicator states whether or not your auditor has identified material and/or significant findings or any other findings for your unit.</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</si>
  <si>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</si>
  <si>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</si>
  <si>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The Auditor will submit the Audit Report to the LGC within five months plus one day after the fiscal year end.  (for units with a June 30th fiscal year-end this would be December 1)   Select Yes or No</t>
  </si>
  <si>
    <t>The 2021 Audit Report is expected to be submitted within five months plus one day from the fiscal year end per the auditor.  (December 1st for most units)</t>
  </si>
  <si>
    <t>5 months plus one day after the fiscal year end</t>
  </si>
  <si>
    <t>Alliance Behavioral Healthcare</t>
  </si>
  <si>
    <t>Cardinal Innovations</t>
  </si>
  <si>
    <t>Eastpointe Human Service</t>
  </si>
  <si>
    <t xml:space="preserve">Partners Behavioral Health </t>
  </si>
  <si>
    <t>Sandhills Mental Health Center</t>
  </si>
  <si>
    <t>Trillium Health Resources</t>
  </si>
  <si>
    <t>Smoky Mt. Area Mental Health</t>
  </si>
  <si>
    <t>Account</t>
  </si>
  <si>
    <t>Import 2019</t>
  </si>
  <si>
    <t>GF- Reserved by state statute per report</t>
  </si>
  <si>
    <t>Hospital-EF- Total Operating Expenses. May include Interest Exp. Enter as positive.</t>
  </si>
  <si>
    <t>C-EF- Current liabilities (Inc. Def Rev, Excl. BANs &amp; Comp Abs) Enter as positive.</t>
  </si>
  <si>
    <t>GF- Total revenues</t>
  </si>
  <si>
    <t>GF- Transfers In (incl. CU)</t>
  </si>
  <si>
    <t>GF- Total expenditures. Enter as positive.</t>
  </si>
  <si>
    <t>Hospital/MH -EF - Total Operating Revenues</t>
  </si>
  <si>
    <t>C-EF- Capital contributions. (only positive)</t>
  </si>
  <si>
    <t>GF- Transfers Out (incl. CU) ENTER AS A POSITIVE!</t>
  </si>
  <si>
    <t>GF- Other items. Should be only positive items. If negative, group with Total expenditures or Transfers out.</t>
  </si>
  <si>
    <t>GF-net change in fund balance</t>
  </si>
  <si>
    <t>GA- net assets, ICAND</t>
  </si>
  <si>
    <t>GA-net assets, restricted</t>
  </si>
  <si>
    <t>GA-net assets -unrestricted</t>
  </si>
  <si>
    <t>GA-change in net assets</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</si>
  <si>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</si>
  <si>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</si>
  <si>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</si>
  <si>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</si>
  <si>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</si>
  <si>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</si>
  <si>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</si>
  <si>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</si>
  <si>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</si>
  <si>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</si>
  <si>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</si>
  <si>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OPEB- Net OPEB obligation, ending</t>
  </si>
  <si>
    <t>OPEB- Annual OPEB cost(expense)</t>
  </si>
  <si>
    <t>OPEB- Total UAAL (unfunded actuarial accrued liability)</t>
  </si>
  <si>
    <t>OPEB- ARC (annual required contribution)</t>
  </si>
  <si>
    <t>OPEB- UAAL as % of covered payroll</t>
  </si>
  <si>
    <t>C-EF- Cash Flow from Operating Activities</t>
  </si>
  <si>
    <t>GA- Total Unrestricted Cash &amp; Investments (SNA)</t>
  </si>
  <si>
    <t>GA- Total Depreciable capital assets, gross (no non-depreciable CA)(Notes)</t>
  </si>
  <si>
    <t>GA- Unearned revenues- current portion only (SNA) Enter as positive.</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</si>
  <si>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</si>
  <si>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</si>
  <si>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</si>
  <si>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Charges for services (SOA)</t>
  </si>
  <si>
    <t>GA- Total Program revenues (positive only)(SOA)</t>
  </si>
  <si>
    <t>GA- Total General revenues (positive only; No transfers, special, extraordinary items)(SOA)</t>
  </si>
  <si>
    <t>GA- Principal paid on LT Debt (Notes) Enter as positive.</t>
  </si>
  <si>
    <t>GA- Interest of LTD (SOA) Enter as positive.</t>
  </si>
  <si>
    <t>Hospital/MH -EF - Patient A/Rec, net</t>
  </si>
  <si>
    <t>GF- Liabilities payable from restricted assets. Enter as positive.</t>
  </si>
  <si>
    <t>GF- Total Intergovernmental revenue (Rest &amp; Unrest)</t>
  </si>
  <si>
    <t>GF- Principal &amp; interest paid on LT debt (Exh. 4) Enter as positive.</t>
  </si>
  <si>
    <t>GF- Transfers out to Debt Service Fund (Enter as positive)</t>
  </si>
  <si>
    <t>Legal debt margin (amount cited in notes)</t>
  </si>
  <si>
    <t>GA- Total accum. deprec. on all capital assets</t>
  </si>
  <si>
    <t>GA- PPA &amp; restatements to Beg. Bal.</t>
  </si>
  <si>
    <t>GF- Total assets</t>
  </si>
  <si>
    <t>GF- Deferred rev NOT from cash. Enter as positive.</t>
  </si>
  <si>
    <t>GA- Total assets (SNA)</t>
  </si>
  <si>
    <t>GA- Transfers In (SOA)</t>
  </si>
  <si>
    <t>GA- Transfers Out (SOA) Enter as positive.</t>
  </si>
  <si>
    <t>GA- Total Expenses (SOA) Enter as positive.</t>
  </si>
  <si>
    <t>GA- extraordinary &amp; special items (SOA)</t>
  </si>
  <si>
    <t>BTA- extraordinary &amp; special items (SOA)</t>
  </si>
  <si>
    <t>GF- Restricted for Stablization by State Statute</t>
  </si>
  <si>
    <t>GF- Liabilities (Excl deferred/unearned rev)(Inc Payables from restricted asets) Enter as positive.</t>
  </si>
  <si>
    <t>GF- Deferred/unearned rev from cash receipts (Notes) Enter as positive.</t>
  </si>
  <si>
    <t>Gen Fund - Total Expenditures (w/o Neg Refund)</t>
  </si>
  <si>
    <t>Gen Fund - Proceeds from LTD (w/o Pos Refund)</t>
  </si>
  <si>
    <t>GF- Encumbrances in fund balance</t>
  </si>
  <si>
    <t>GF- Inventory/prepaids in fund balance</t>
  </si>
  <si>
    <t>GF- Total Fund Balance per report</t>
  </si>
  <si>
    <t>OPEB 1-implicit rate only 2-no benefit 3-benfit 4- state health plan</t>
  </si>
  <si>
    <t>"Internal Control-
1) no IC issues 
2)Immaterial 
3) Unit letter for IC 
4) Unit visit for IC"</t>
  </si>
  <si>
    <t>MH Enterprise Fund Non GAAP- Current Liabilities</t>
  </si>
  <si>
    <t>MH Enterprise Fund Non GAAP - Total Expenditures</t>
  </si>
  <si>
    <t>Mental Health- Proceeds from LTD</t>
  </si>
  <si>
    <t>Retiree Premiums pd by unit</t>
  </si>
  <si>
    <t>The Unfunded actuarially accrued liability for the unit's LEO benefit.</t>
  </si>
  <si>
    <t>Reviewer if you need to change what the unit entered, do so directly in cell to the right. Enter "1" to the right if the unit has defined benefit other than the ones adm. Leave blank if the unit does not answer.</t>
  </si>
  <si>
    <t>import tab only</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</si>
  <si>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</si>
  <si>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</si>
  <si>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</si>
  <si>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</si>
  <si>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Import 2020</t>
  </si>
  <si>
    <t>DO NOT DELETE ROW</t>
  </si>
  <si>
    <t>SEE  603 BELOW</t>
  </si>
  <si>
    <t>TD - auditor</t>
  </si>
  <si>
    <t>TD -Internal</t>
  </si>
  <si>
    <t>do not delete row</t>
  </si>
  <si>
    <t>total expenditures for FBA Calculation</t>
  </si>
  <si>
    <t>Electric Gross Capital Assets</t>
  </si>
  <si>
    <t>Not on import tab, only loaded to SQl</t>
  </si>
  <si>
    <t>Please indicate if you expect your revaluation to increase, decrease, or no change.  If you are not listed please select N/A</t>
  </si>
  <si>
    <t>2020 Data(H)</t>
  </si>
  <si>
    <t>2019 Data(H)</t>
  </si>
  <si>
    <t>Vaya Health</t>
  </si>
  <si>
    <t>Alliance Health</t>
  </si>
  <si>
    <t xml:space="preserve">                                        -  </t>
  </si>
  <si>
    <t>I</t>
  </si>
  <si>
    <t>Do you operate a landfill that will be closing  or have a significant portion closing within the next 5 years</t>
  </si>
  <si>
    <t>NC DEPARTMENT OF STATE TREASURER- STATE AND LOCAL GOVERNMENT FINANCE DIVISION
  TD Info Completed by Auditor</t>
  </si>
  <si>
    <t>Please see the INSTRUCTIONS worksheet before completing this form.</t>
  </si>
  <si>
    <t>Please have the completed audit report available to complete this form.  ALL questions must be answered before submitting to the portal.</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</si>
  <si>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</si>
  <si>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</si>
  <si>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</si>
  <si>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</si>
  <si>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</si>
  <si>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</si>
  <si>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</si>
  <si>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</si>
  <si>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</si>
  <si>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</si>
  <si>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</si>
  <si>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</si>
  <si>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</si>
  <si>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</si>
  <si>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</si>
  <si>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</si>
  <si>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</si>
  <si>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</si>
  <si>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</si>
  <si>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</si>
  <si>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</si>
  <si>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</si>
  <si>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</si>
  <si>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</si>
  <si>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Formula in cell E250</t>
  </si>
  <si>
    <t>Formula in cell E251</t>
  </si>
  <si>
    <t>Version Date 8/19/2021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</si>
</sst>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s>
  <fonts count="21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b/>
      <sz val="10"/>
      <color theme="1"/>
      <name val="Century Schoolbook"/>
      <family val="2"/>
    </font>
    <font>
      <sz val="10"/>
      <name val="Arial"/>
      <family val="2"/>
    </font>
    <font>
      <sz val="8"/>
      <color theme="1"/>
      <name val="Century Schoolbook"/>
      <family val="1"/>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s>
  <fills count="88">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rgb="FFFFFF99"/>
        <bgColor indexed="64"/>
      </patternFill>
    </fill>
    <fill>
      <patternFill patternType="solid">
        <fgColor rgb="FF99FFCC"/>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right/>
      <top style="thin">
        <color theme="0"/>
      </top>
      <bottom/>
      <diagonal/>
    </border>
    <border>
      <left style="thin">
        <color theme="1" tint="0.499984740745262"/>
      </left>
      <right/>
      <top style="thin">
        <color theme="1" tint="0.499984740745262"/>
      </top>
      <bottom/>
      <diagonal/>
    </border>
    <border>
      <left/>
      <right style="thin">
        <color theme="0"/>
      </right>
      <top/>
      <bottom style="medium">
        <color indexed="64"/>
      </bottom>
      <diagonal/>
    </border>
    <border>
      <left style="thin">
        <color indexed="64"/>
      </left>
      <right/>
      <top/>
      <bottom style="medium">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style="medium">
        <color indexed="64"/>
      </bottom>
      <diagonal/>
    </border>
  </borders>
  <cellStyleXfs count="3172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9" fillId="0" borderId="0"/>
    <xf numFmtId="0" fontId="20" fillId="0" borderId="0"/>
    <xf numFmtId="0" fontId="19" fillId="0" borderId="0"/>
    <xf numFmtId="0" fontId="2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20"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2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29" fillId="0" borderId="0"/>
    <xf numFmtId="0" fontId="19" fillId="0" borderId="0"/>
    <xf numFmtId="0" fontId="19" fillId="0" borderId="0"/>
    <xf numFmtId="0" fontId="19" fillId="0" borderId="0"/>
    <xf numFmtId="0" fontId="19" fillId="0" borderId="0"/>
    <xf numFmtId="0" fontId="34" fillId="0" borderId="0"/>
    <xf numFmtId="0" fontId="29" fillId="0" borderId="0"/>
    <xf numFmtId="0" fontId="19" fillId="0" borderId="0"/>
    <xf numFmtId="0" fontId="19" fillId="0" borderId="0"/>
    <xf numFmtId="0" fontId="34" fillId="0" borderId="0"/>
    <xf numFmtId="0" fontId="11" fillId="0" borderId="0"/>
    <xf numFmtId="0" fontId="11"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19" fillId="0" borderId="0"/>
    <xf numFmtId="0" fontId="34" fillId="0" borderId="0"/>
    <xf numFmtId="0" fontId="34" fillId="0" borderId="0"/>
    <xf numFmtId="0" fontId="34" fillId="0" borderId="0"/>
    <xf numFmtId="0" fontId="2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30" fillId="0" borderId="0"/>
    <xf numFmtId="0" fontId="11" fillId="0" borderId="0"/>
    <xf numFmtId="0" fontId="11" fillId="0" borderId="0"/>
    <xf numFmtId="0" fontId="11" fillId="0" borderId="0"/>
    <xf numFmtId="0" fontId="11"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9" fillId="0" borderId="0"/>
    <xf numFmtId="0" fontId="30" fillId="0" borderId="0"/>
    <xf numFmtId="0" fontId="11" fillId="0" borderId="0"/>
    <xf numFmtId="0" fontId="11" fillId="0" borderId="0"/>
    <xf numFmtId="0" fontId="11" fillId="0" borderId="0"/>
    <xf numFmtId="0" fontId="1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1" fillId="0" borderId="0"/>
    <xf numFmtId="0" fontId="28"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4" fillId="0" borderId="0"/>
    <xf numFmtId="0" fontId="31"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30"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2" fillId="0" borderId="0" applyNumberForma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3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9" fillId="0" borderId="0"/>
    <xf numFmtId="0" fontId="69" fillId="0" borderId="0"/>
    <xf numFmtId="0" fontId="68" fillId="0" borderId="0"/>
    <xf numFmtId="0" fontId="69" fillId="0" borderId="0"/>
    <xf numFmtId="0" fontId="69" fillId="0" borderId="0"/>
    <xf numFmtId="0" fontId="70" fillId="0" borderId="0"/>
    <xf numFmtId="0" fontId="6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5" borderId="7"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68"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xf numFmtId="0" fontId="68" fillId="0" borderId="0"/>
    <xf numFmtId="0" fontId="68" fillId="0" borderId="0"/>
    <xf numFmtId="0" fontId="68" fillId="0" borderId="0"/>
    <xf numFmtId="0" fontId="68" fillId="0" borderId="0"/>
    <xf numFmtId="0" fontId="11" fillId="0" borderId="0"/>
    <xf numFmtId="0" fontId="68" fillId="0" borderId="0"/>
    <xf numFmtId="0" fontId="6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0" borderId="0"/>
    <xf numFmtId="0" fontId="34" fillId="0" borderId="0"/>
    <xf numFmtId="0" fontId="21" fillId="0" borderId="0"/>
    <xf numFmtId="0" fontId="34" fillId="0" borderId="0"/>
    <xf numFmtId="0" fontId="34" fillId="0" borderId="0"/>
    <xf numFmtId="0" fontId="34" fillId="0" borderId="0"/>
    <xf numFmtId="0" fontId="68"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4" fillId="0" borderId="0"/>
    <xf numFmtId="0" fontId="34" fillId="0" borderId="0"/>
    <xf numFmtId="0" fontId="34" fillId="0" borderId="0"/>
    <xf numFmtId="0" fontId="34" fillId="0" borderId="0"/>
    <xf numFmtId="0" fontId="34" fillId="0" borderId="0"/>
    <xf numFmtId="0" fontId="11" fillId="0" borderId="0"/>
    <xf numFmtId="0" fontId="70" fillId="0" borderId="0"/>
    <xf numFmtId="0" fontId="70" fillId="0" borderId="0"/>
    <xf numFmtId="0" fontId="70" fillId="0" borderId="0"/>
    <xf numFmtId="0" fontId="70"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34" fillId="0" borderId="0"/>
    <xf numFmtId="0" fontId="34" fillId="0" borderId="0"/>
    <xf numFmtId="0" fontId="34" fillId="0" borderId="0"/>
    <xf numFmtId="0" fontId="34"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21" fillId="0" borderId="0"/>
    <xf numFmtId="0" fontId="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69" fillId="0" borderId="0"/>
    <xf numFmtId="0" fontId="11" fillId="0" borderId="0"/>
    <xf numFmtId="0" fontId="11"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1" fillId="0" borderId="0"/>
    <xf numFmtId="0" fontId="21" fillId="0" borderId="0"/>
    <xf numFmtId="0" fontId="11" fillId="0" borderId="0"/>
    <xf numFmtId="0" fontId="11" fillId="0" borderId="0"/>
    <xf numFmtId="44" fontId="34"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4" fillId="0" borderId="0" applyFont="0" applyFill="0" applyBorder="0" applyAlignment="0" applyProtection="0"/>
    <xf numFmtId="0" fontId="19" fillId="0" borderId="0"/>
    <xf numFmtId="0" fontId="11" fillId="0" borderId="0"/>
    <xf numFmtId="43" fontId="34" fillId="0" borderId="0" applyFont="0" applyFill="0" applyBorder="0" applyAlignment="0" applyProtection="0"/>
    <xf numFmtId="0" fontId="11" fillId="0" borderId="0"/>
    <xf numFmtId="0" fontId="19" fillId="0" borderId="0"/>
    <xf numFmtId="0" fontId="19"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70" fillId="0" borderId="0"/>
    <xf numFmtId="0" fontId="1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0" fontId="69" fillId="0" borderId="0"/>
    <xf numFmtId="0" fontId="19" fillId="0" borderId="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4" fillId="0" borderId="47" applyNumberFormat="0" applyFill="0" applyAlignment="0" applyProtection="0"/>
    <xf numFmtId="0" fontId="75" fillId="0" borderId="48" applyNumberFormat="0" applyFill="0" applyAlignment="0" applyProtection="0"/>
    <xf numFmtId="0" fontId="76" fillId="0" borderId="49" applyNumberFormat="0" applyFill="0" applyAlignment="0" applyProtection="0"/>
    <xf numFmtId="0" fontId="76" fillId="0" borderId="0" applyNumberFormat="0" applyFill="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9" fillId="40" borderId="50" applyNumberFormat="0" applyAlignment="0" applyProtection="0"/>
    <xf numFmtId="0" fontId="80" fillId="41" borderId="51" applyNumberFormat="0" applyAlignment="0" applyProtection="0"/>
    <xf numFmtId="0" fontId="81" fillId="41" borderId="50" applyNumberFormat="0" applyAlignment="0" applyProtection="0"/>
    <xf numFmtId="0" fontId="82" fillId="0" borderId="52" applyNumberFormat="0" applyFill="0" applyAlignment="0" applyProtection="0"/>
    <xf numFmtId="0" fontId="83" fillId="42" borderId="53" applyNumberFormat="0" applyAlignment="0" applyProtection="0"/>
    <xf numFmtId="0" fontId="71" fillId="0" borderId="0" applyNumberFormat="0" applyFill="0" applyBorder="0" applyAlignment="0" applyProtection="0"/>
    <xf numFmtId="0" fontId="40" fillId="0" borderId="55" applyNumberFormat="0" applyFill="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93" fillId="39" borderId="0" applyNumberFormat="0" applyBorder="0" applyAlignment="0" applyProtection="0"/>
    <xf numFmtId="0" fontId="34" fillId="43" borderId="54" applyNumberFormat="0" applyFont="0" applyAlignment="0" applyProtection="0"/>
    <xf numFmtId="40" fontId="86" fillId="0" borderId="17">
      <alignment horizontal="right"/>
    </xf>
    <xf numFmtId="0" fontId="87" fillId="0" borderId="0">
      <alignment horizontal="left"/>
    </xf>
    <xf numFmtId="49" fontId="11" fillId="0" borderId="0"/>
    <xf numFmtId="0" fontId="87" fillId="0" borderId="0">
      <alignment horizontal="left"/>
    </xf>
    <xf numFmtId="177" fontId="86" fillId="0" borderId="17">
      <alignment horizontal="right"/>
    </xf>
    <xf numFmtId="49" fontId="86"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5" fillId="50" borderId="0">
      <alignment horizontal="right" vertical="center"/>
    </xf>
    <xf numFmtId="49" fontId="85" fillId="50" borderId="0">
      <alignment horizontal="left" vertical="center"/>
    </xf>
    <xf numFmtId="49" fontId="85" fillId="50" borderId="0">
      <alignment horizontal="center" vertical="center"/>
    </xf>
    <xf numFmtId="49" fontId="85" fillId="50" borderId="0">
      <alignment horizontal="center" vertical="center"/>
    </xf>
    <xf numFmtId="49" fontId="85" fillId="50" borderId="0">
      <alignment horizontal="right" vertical="center"/>
    </xf>
    <xf numFmtId="40" fontId="85" fillId="50" borderId="0">
      <alignment horizontal="right"/>
    </xf>
    <xf numFmtId="49" fontId="85"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5" fillId="50" borderId="0">
      <alignment horizontal="center" vertical="center"/>
    </xf>
    <xf numFmtId="49" fontId="85" fillId="50" borderId="0">
      <alignment horizontal="center" vertical="center"/>
    </xf>
    <xf numFmtId="177" fontId="85" fillId="50" borderId="0">
      <alignment horizontal="center" vertical="center"/>
    </xf>
    <xf numFmtId="49" fontId="85" fillId="50" borderId="0">
      <alignment horizontal="right"/>
    </xf>
    <xf numFmtId="40" fontId="86" fillId="0" borderId="19">
      <alignment horizontal="right"/>
    </xf>
    <xf numFmtId="0" fontId="87" fillId="0" borderId="0">
      <alignment horizontal="left"/>
    </xf>
    <xf numFmtId="49" fontId="11" fillId="0" borderId="0"/>
    <xf numFmtId="0" fontId="87" fillId="0" borderId="0">
      <alignment horizontal="left"/>
    </xf>
    <xf numFmtId="177" fontId="86" fillId="0" borderId="19">
      <alignment horizontal="right"/>
    </xf>
    <xf numFmtId="49" fontId="86" fillId="0" borderId="0">
      <alignment horizontal="right"/>
    </xf>
    <xf numFmtId="49" fontId="11" fillId="0" borderId="0"/>
    <xf numFmtId="49" fontId="11" fillId="0" borderId="0"/>
    <xf numFmtId="40" fontId="86" fillId="0" borderId="14">
      <alignment horizontal="right"/>
    </xf>
    <xf numFmtId="49" fontId="86" fillId="0" borderId="0">
      <alignment horizontal="left"/>
    </xf>
    <xf numFmtId="49" fontId="11" fillId="0" borderId="0"/>
    <xf numFmtId="49" fontId="86" fillId="0" borderId="0">
      <alignment horizontal="left"/>
    </xf>
    <xf numFmtId="177" fontId="86" fillId="0" borderId="14">
      <alignment horizontal="right"/>
    </xf>
    <xf numFmtId="49" fontId="86" fillId="0" borderId="0">
      <alignment horizontal="right"/>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6" fillId="51" borderId="0">
      <alignment horizontal="center" vertical="center"/>
    </xf>
    <xf numFmtId="49" fontId="11" fillId="51" borderId="0">
      <alignment horizontal="left" vertical="center"/>
    </xf>
    <xf numFmtId="49" fontId="86" fillId="51" borderId="0">
      <alignment horizontal="center" vertical="center"/>
    </xf>
    <xf numFmtId="0" fontId="86" fillId="52" borderId="0">
      <alignment horizontal="left"/>
    </xf>
    <xf numFmtId="49" fontId="11" fillId="0" borderId="0"/>
    <xf numFmtId="0" fontId="86" fillId="52" borderId="0">
      <alignment horizontal="left"/>
    </xf>
    <xf numFmtId="40" fontId="86" fillId="0" borderId="0">
      <alignment horizontal="right"/>
    </xf>
    <xf numFmtId="49" fontId="85" fillId="50" borderId="0"/>
    <xf numFmtId="49" fontId="85" fillId="50" borderId="0"/>
    <xf numFmtId="49" fontId="11" fillId="0" borderId="0"/>
    <xf numFmtId="0" fontId="88" fillId="53" borderId="0" applyFont="0" applyFill="0">
      <alignment horizontal="left" vertical="top" wrapText="1"/>
    </xf>
    <xf numFmtId="40" fontId="88" fillId="0" borderId="0"/>
    <xf numFmtId="40" fontId="88" fillId="0" borderId="0"/>
    <xf numFmtId="0" fontId="88" fillId="0" borderId="0">
      <alignment horizontal="left"/>
    </xf>
    <xf numFmtId="0" fontId="88" fillId="0" borderId="0">
      <alignment horizontal="center"/>
    </xf>
    <xf numFmtId="0" fontId="89" fillId="0" borderId="0">
      <alignment horizontal="center"/>
    </xf>
    <xf numFmtId="0" fontId="90" fillId="50" borderId="0">
      <alignment horizontal="left"/>
    </xf>
    <xf numFmtId="0" fontId="90" fillId="50" borderId="0">
      <alignment horizontal="left"/>
    </xf>
    <xf numFmtId="0" fontId="89" fillId="0" borderId="0">
      <alignment horizontal="center"/>
    </xf>
    <xf numFmtId="40" fontId="91" fillId="0" borderId="18"/>
    <xf numFmtId="40" fontId="91" fillId="0" borderId="18"/>
    <xf numFmtId="0" fontId="91" fillId="0" borderId="0"/>
    <xf numFmtId="0" fontId="91" fillId="0" borderId="0"/>
    <xf numFmtId="0" fontId="89" fillId="0" borderId="0">
      <alignment horizontal="center"/>
    </xf>
    <xf numFmtId="0" fontId="92" fillId="54" borderId="0">
      <alignment horizontal="left"/>
    </xf>
    <xf numFmtId="0" fontId="92" fillId="54" borderId="0">
      <alignment horizontal="left"/>
    </xf>
    <xf numFmtId="40" fontId="86" fillId="0" borderId="0">
      <alignment horizontal="right"/>
    </xf>
    <xf numFmtId="0" fontId="87" fillId="0" borderId="0">
      <alignment horizontal="left"/>
    </xf>
    <xf numFmtId="49" fontId="11" fillId="0" borderId="0"/>
    <xf numFmtId="0" fontId="87" fillId="0" borderId="0">
      <alignment horizontal="left"/>
    </xf>
    <xf numFmtId="177" fontId="86" fillId="0" borderId="0">
      <alignment horizontal="right"/>
    </xf>
    <xf numFmtId="49" fontId="86" fillId="0" borderId="0" applyBorder="0">
      <alignment horizontal="right"/>
    </xf>
    <xf numFmtId="0" fontId="11" fillId="0" borderId="0"/>
    <xf numFmtId="49" fontId="94" fillId="53" borderId="0">
      <alignment horizontal="left"/>
    </xf>
    <xf numFmtId="49" fontId="94" fillId="53" borderId="0">
      <alignment horizontal="left"/>
    </xf>
    <xf numFmtId="0" fontId="95" fillId="53" borderId="0">
      <alignment horizontal="left"/>
    </xf>
    <xf numFmtId="178" fontId="95" fillId="53" borderId="0">
      <alignment horizontal="left"/>
    </xf>
    <xf numFmtId="40" fontId="86" fillId="0" borderId="0">
      <alignment horizontal="right"/>
    </xf>
    <xf numFmtId="49" fontId="96" fillId="53" borderId="0">
      <alignment horizontal="left"/>
    </xf>
    <xf numFmtId="49" fontId="96" fillId="53" borderId="0">
      <alignment horizontal="left"/>
    </xf>
    <xf numFmtId="49" fontId="11" fillId="0" borderId="0"/>
    <xf numFmtId="40" fontId="86" fillId="0" borderId="14">
      <alignment horizontal="right"/>
    </xf>
    <xf numFmtId="49" fontId="86" fillId="0" borderId="0">
      <alignment horizontal="left"/>
    </xf>
    <xf numFmtId="49" fontId="11" fillId="0" borderId="0"/>
    <xf numFmtId="49" fontId="86" fillId="0" borderId="0">
      <alignment horizontal="left"/>
    </xf>
    <xf numFmtId="177" fontId="86" fillId="0" borderId="14">
      <alignment horizontal="right"/>
    </xf>
    <xf numFmtId="49" fontId="86" fillId="0" borderId="0">
      <alignment horizontal="right"/>
    </xf>
    <xf numFmtId="40" fontId="86" fillId="0" borderId="14">
      <alignment horizontal="right"/>
    </xf>
    <xf numFmtId="0" fontId="86" fillId="52" borderId="0">
      <alignment horizontal="left"/>
    </xf>
    <xf numFmtId="49" fontId="11" fillId="0" borderId="0"/>
    <xf numFmtId="0" fontId="86" fillId="52" borderId="0">
      <alignment horizontal="left"/>
    </xf>
    <xf numFmtId="177" fontId="86" fillId="0" borderId="14">
      <alignment horizontal="right"/>
    </xf>
    <xf numFmtId="49" fontId="86" fillId="0" borderId="0">
      <alignment horizontal="right"/>
    </xf>
    <xf numFmtId="0" fontId="91" fillId="0" borderId="0"/>
    <xf numFmtId="40" fontId="88" fillId="0" borderId="18"/>
    <xf numFmtId="40" fontId="88" fillId="0" borderId="18"/>
    <xf numFmtId="0" fontId="88" fillId="0" borderId="0"/>
    <xf numFmtId="0" fontId="88" fillId="0" borderId="0"/>
    <xf numFmtId="40" fontId="88" fillId="0" borderId="0"/>
    <xf numFmtId="179" fontId="88" fillId="0" borderId="0"/>
    <xf numFmtId="40" fontId="88" fillId="0" borderId="0"/>
    <xf numFmtId="0" fontId="88" fillId="0" borderId="0"/>
    <xf numFmtId="0" fontId="88" fillId="0" borderId="0"/>
    <xf numFmtId="40" fontId="86" fillId="0" borderId="18">
      <alignment horizontal="right"/>
    </xf>
    <xf numFmtId="49" fontId="86" fillId="0" borderId="0">
      <alignment horizontal="left"/>
    </xf>
    <xf numFmtId="49" fontId="11" fillId="0" borderId="0"/>
    <xf numFmtId="49" fontId="86" fillId="0" borderId="0">
      <alignment horizontal="left"/>
    </xf>
    <xf numFmtId="177" fontId="86" fillId="0" borderId="18">
      <alignment horizontal="right"/>
    </xf>
    <xf numFmtId="49" fontId="86" fillId="0" borderId="0">
      <alignment horizontal="right"/>
    </xf>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43" borderId="54"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7" fillId="1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5"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1" fillId="0" borderId="0"/>
    <xf numFmtId="0" fontId="2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7" fillId="1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7" fillId="7" borderId="0" applyNumberFormat="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1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5"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9" fontId="32"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3" fillId="20" borderId="0" applyFont="0" applyBorder="0" applyAlignment="0">
      <alignment horizontal="center" wrapText="1"/>
    </xf>
    <xf numFmtId="0" fontId="34" fillId="0" borderId="0"/>
    <xf numFmtId="43" fontId="1" fillId="0" borderId="0" applyFont="0" applyFill="0" applyBorder="0" applyAlignment="0" applyProtection="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19" fillId="0" borderId="0"/>
    <xf numFmtId="0" fontId="34" fillId="0" borderId="0"/>
    <xf numFmtId="0" fontId="34" fillId="0" borderId="0"/>
    <xf numFmtId="0" fontId="34"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2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19"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11" fillId="0" borderId="0"/>
    <xf numFmtId="43" fontId="34" fillId="0" borderId="0" applyFont="0" applyFill="0" applyBorder="0" applyAlignment="0" applyProtection="0"/>
    <xf numFmtId="0" fontId="7" fillId="7" borderId="0" applyNumberFormat="0" applyBorder="0" applyAlignment="0" applyProtection="0"/>
    <xf numFmtId="0" fontId="34" fillId="0" borderId="0"/>
    <xf numFmtId="0" fontId="7" fillId="11" borderId="0" applyNumberFormat="0" applyBorder="0" applyAlignment="0" applyProtection="0"/>
    <xf numFmtId="0" fontId="34" fillId="0" borderId="0"/>
    <xf numFmtId="0" fontId="19"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11" fillId="0" borderId="0"/>
    <xf numFmtId="0" fontId="11"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7" borderId="0" applyNumberFormat="0" applyBorder="0" applyAlignment="0" applyProtection="0"/>
    <xf numFmtId="0" fontId="11" fillId="0" borderId="0"/>
    <xf numFmtId="0" fontId="39" fillId="20" borderId="0" applyFont="0" applyBorder="0" applyAlignment="0">
      <alignment horizontal="center" wrapText="1"/>
    </xf>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0" fontId="21" fillId="0" borderId="0"/>
    <xf numFmtId="0" fontId="19" fillId="0" borderId="0"/>
    <xf numFmtId="0" fontId="11" fillId="0" borderId="0"/>
    <xf numFmtId="0" fontId="1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11"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43" fontId="1"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9" fillId="0" borderId="0"/>
    <xf numFmtId="0" fontId="21" fillId="0" borderId="0"/>
    <xf numFmtId="44" fontId="35" fillId="0" borderId="0" applyFont="0" applyFill="0" applyBorder="0" applyAlignment="0" applyProtection="0"/>
    <xf numFmtId="43" fontId="34" fillId="0" borderId="0" applyFont="0" applyFill="0" applyBorder="0" applyAlignment="0" applyProtection="0"/>
    <xf numFmtId="0" fontId="19"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0" fontId="11" fillId="0" borderId="0"/>
    <xf numFmtId="0" fontId="34" fillId="0" borderId="0"/>
    <xf numFmtId="0" fontId="33" fillId="20" borderId="0" applyFont="0" applyBorder="0" applyAlignment="0">
      <alignment horizontal="center" wrapText="1"/>
    </xf>
    <xf numFmtId="0" fontId="34" fillId="0" borderId="0"/>
    <xf numFmtId="0" fontId="34"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11" fillId="0" borderId="0"/>
    <xf numFmtId="44" fontId="1"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34" fillId="0" borderId="0"/>
    <xf numFmtId="0" fontId="19" fillId="0" borderId="0"/>
    <xf numFmtId="0" fontId="11"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97" fillId="0" borderId="0" applyNumberFormat="0" applyFill="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5" fillId="55"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71" borderId="0" applyNumberFormat="0" applyBorder="0" applyAlignment="0" applyProtection="0"/>
    <xf numFmtId="0" fontId="84" fillId="57" borderId="0" applyNumberFormat="0" applyBorder="0" applyAlignment="0" applyProtection="0"/>
    <xf numFmtId="0" fontId="98" fillId="57" borderId="0" applyNumberFormat="0" applyBorder="0" applyAlignment="0" applyProtection="0"/>
    <xf numFmtId="0" fontId="84" fillId="60" borderId="0" applyNumberFormat="0" applyBorder="0" applyAlignment="0" applyProtection="0"/>
    <xf numFmtId="0" fontId="98" fillId="60" borderId="0" applyNumberFormat="0" applyBorder="0" applyAlignment="0" applyProtection="0"/>
    <xf numFmtId="0" fontId="84" fillId="63" borderId="0" applyNumberFormat="0" applyBorder="0" applyAlignment="0" applyProtection="0"/>
    <xf numFmtId="0" fontId="98" fillId="63" borderId="0" applyNumberFormat="0" applyBorder="0" applyAlignment="0" applyProtection="0"/>
    <xf numFmtId="0" fontId="84" fillId="66" borderId="0" applyNumberFormat="0" applyBorder="0" applyAlignment="0" applyProtection="0"/>
    <xf numFmtId="0" fontId="98" fillId="66" borderId="0" applyNumberFormat="0" applyBorder="0" applyAlignment="0" applyProtection="0"/>
    <xf numFmtId="0" fontId="84" fillId="69" borderId="0" applyNumberFormat="0" applyBorder="0" applyAlignment="0" applyProtection="0"/>
    <xf numFmtId="0" fontId="98" fillId="69" borderId="0" applyNumberFormat="0" applyBorder="0" applyAlignment="0" applyProtection="0"/>
    <xf numFmtId="0" fontId="84" fillId="72" borderId="0" applyNumberFormat="0" applyBorder="0" applyAlignment="0" applyProtection="0"/>
    <xf numFmtId="0" fontId="98" fillId="72"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8"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9" fillId="38" borderId="0" applyNumberFormat="0" applyBorder="0" applyAlignment="0" applyProtection="0"/>
    <xf numFmtId="0" fontId="100" fillId="41" borderId="50" applyNumberFormat="0" applyAlignment="0" applyProtection="0"/>
    <xf numFmtId="0" fontId="101"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0" fontId="102" fillId="0" borderId="0" applyNumberFormat="0" applyFill="0" applyBorder="0" applyAlignment="0" applyProtection="0"/>
    <xf numFmtId="0" fontId="103" fillId="37" borderId="0" applyNumberFormat="0" applyBorder="0" applyAlignment="0" applyProtection="0"/>
    <xf numFmtId="0" fontId="104" fillId="0" borderId="47" applyNumberFormat="0" applyFill="0" applyAlignment="0" applyProtection="0"/>
    <xf numFmtId="0" fontId="105"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6" fillId="0" borderId="49" applyNumberFormat="0" applyFill="0" applyAlignment="0" applyProtection="0"/>
    <xf numFmtId="0" fontId="106" fillId="0" borderId="0" applyNumberFormat="0" applyFill="0" applyBorder="0" applyAlignment="0" applyProtection="0"/>
    <xf numFmtId="0" fontId="107" fillId="40" borderId="50" applyNumberFormat="0" applyAlignment="0" applyProtection="0"/>
    <xf numFmtId="0" fontId="108" fillId="0" borderId="52" applyNumberFormat="0" applyFill="0" applyAlignment="0" applyProtection="0"/>
    <xf numFmtId="0" fontId="109" fillId="39" borderId="0" applyNumberFormat="0" applyBorder="0" applyAlignment="0" applyProtection="0"/>
    <xf numFmtId="0" fontId="6" fillId="0" borderId="0"/>
    <xf numFmtId="0" fontId="35" fillId="0" borderId="0"/>
    <xf numFmtId="0" fontId="35" fillId="0" borderId="0"/>
    <xf numFmtId="0" fontId="35" fillId="0" borderId="0"/>
    <xf numFmtId="0" fontId="35" fillId="0" borderId="0"/>
    <xf numFmtId="0" fontId="6" fillId="0" borderId="0"/>
    <xf numFmtId="0" fontId="6" fillId="0" borderId="0"/>
    <xf numFmtId="0" fontId="11" fillId="0" borderId="0"/>
    <xf numFmtId="0" fontId="19" fillId="0" borderId="0"/>
    <xf numFmtId="0" fontId="11" fillId="0" borderId="0"/>
    <xf numFmtId="0" fontId="35" fillId="0" borderId="0"/>
    <xf numFmtId="0" fontId="34"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35" fillId="43" borderId="54" applyNumberFormat="0" applyFont="0" applyAlignment="0" applyProtection="0"/>
    <xf numFmtId="0" fontId="110" fillId="41" borderId="51" applyNumberFormat="0" applyAlignment="0" applyProtection="0"/>
    <xf numFmtId="9" fontId="6" fillId="0" borderId="0" applyFont="0" applyFill="0" applyBorder="0" applyAlignment="0" applyProtection="0"/>
    <xf numFmtId="0" fontId="111" fillId="0" borderId="0" applyNumberFormat="0" applyFill="0" applyBorder="0" applyAlignment="0" applyProtection="0"/>
    <xf numFmtId="0" fontId="112" fillId="0" borderId="55" applyNumberFormat="0" applyFill="0" applyAlignment="0" applyProtection="0"/>
    <xf numFmtId="0" fontId="113" fillId="0" borderId="0" applyNumberFormat="0" applyFill="0" applyBorder="0" applyAlignment="0" applyProtection="0"/>
    <xf numFmtId="0" fontId="116" fillId="0" borderId="0"/>
    <xf numFmtId="43" fontId="117" fillId="0" borderId="0" applyFont="0" applyFill="0" applyBorder="0" applyAlignment="0" applyProtection="0"/>
    <xf numFmtId="0" fontId="117"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6"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34" fillId="0" borderId="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5" fillId="0" borderId="0"/>
    <xf numFmtId="0" fontId="11" fillId="0" borderId="0"/>
    <xf numFmtId="0" fontId="11" fillId="0" borderId="0"/>
    <xf numFmtId="0" fontId="34"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7" fillId="0" borderId="0"/>
    <xf numFmtId="0" fontId="11"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34" fillId="0" borderId="0"/>
    <xf numFmtId="43" fontId="34" fillId="0" borderId="0" applyFont="0" applyFill="0" applyBorder="0" applyAlignment="0" applyProtection="0"/>
    <xf numFmtId="0" fontId="19" fillId="0" borderId="0"/>
    <xf numFmtId="0" fontId="21" fillId="0" borderId="0"/>
    <xf numFmtId="43" fontId="34"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9" fillId="0" borderId="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4" fillId="0" borderId="0"/>
    <xf numFmtId="0" fontId="128" fillId="0" borderId="0"/>
    <xf numFmtId="43" fontId="116" fillId="0" borderId="0" applyFont="0" applyFill="0" applyBorder="0" applyAlignment="0" applyProtection="0"/>
    <xf numFmtId="0" fontId="116" fillId="0" borderId="0"/>
    <xf numFmtId="0" fontId="153" fillId="0" borderId="0"/>
    <xf numFmtId="0" fontId="34" fillId="0" borderId="0"/>
    <xf numFmtId="0" fontId="153" fillId="0" borderId="0"/>
    <xf numFmtId="43" fontId="116" fillId="0" borderId="0" applyFont="0" applyFill="0" applyBorder="0" applyAlignment="0" applyProtection="0"/>
    <xf numFmtId="0" fontId="116" fillId="0" borderId="0"/>
    <xf numFmtId="0" fontId="116" fillId="0" borderId="0"/>
    <xf numFmtId="0" fontId="116" fillId="0" borderId="0"/>
    <xf numFmtId="0" fontId="156" fillId="0" borderId="0"/>
    <xf numFmtId="0" fontId="156" fillId="0" borderId="0"/>
    <xf numFmtId="0" fontId="157" fillId="0" borderId="0"/>
    <xf numFmtId="0" fontId="156" fillId="0" borderId="0"/>
    <xf numFmtId="0" fontId="153" fillId="0" borderId="0"/>
    <xf numFmtId="0" fontId="156" fillId="0" borderId="0"/>
    <xf numFmtId="0" fontId="153"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6" fillId="0" borderId="0"/>
    <xf numFmtId="0" fontId="153" fillId="0" borderId="0"/>
    <xf numFmtId="0" fontId="153" fillId="0" borderId="0"/>
    <xf numFmtId="0" fontId="156" fillId="0" borderId="0"/>
    <xf numFmtId="0" fontId="153" fillId="0" borderId="0"/>
    <xf numFmtId="0" fontId="153" fillId="0" borderId="0"/>
    <xf numFmtId="0" fontId="157" fillId="0" borderId="0"/>
    <xf numFmtId="0" fontId="153" fillId="5" borderId="7" applyNumberFormat="0" applyFon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5" borderId="7" applyNumberFormat="0" applyFon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0"/>
    <xf numFmtId="0" fontId="157" fillId="0" borderId="0"/>
    <xf numFmtId="0" fontId="153" fillId="0" borderId="0"/>
    <xf numFmtId="0" fontId="157" fillId="0" borderId="0"/>
    <xf numFmtId="0" fontId="153" fillId="0" borderId="0"/>
    <xf numFmtId="0" fontId="158"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8"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58" fillId="0" borderId="0"/>
    <xf numFmtId="0" fontId="1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21" fillId="0" borderId="0"/>
    <xf numFmtId="9"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34" fillId="0" borderId="0"/>
    <xf numFmtId="0" fontId="11" fillId="0" borderId="0"/>
    <xf numFmtId="0" fontId="21" fillId="0" borderId="0"/>
    <xf numFmtId="0" fontId="2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4" fillId="0" borderId="0" applyFont="0" applyFill="0" applyBorder="0" applyAlignment="0" applyProtection="0"/>
    <xf numFmtId="43" fontId="34"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19" fillId="0" borderId="0"/>
    <xf numFmtId="0" fontId="2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4" fillId="43" borderId="54" applyNumberFormat="0" applyFont="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19" fillId="0" borderId="0"/>
    <xf numFmtId="0" fontId="21"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1" fillId="0" borderId="0"/>
    <xf numFmtId="43" fontId="35"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1" fillId="0" borderId="0"/>
    <xf numFmtId="0" fontId="34" fillId="0" borderId="0"/>
    <xf numFmtId="0" fontId="11" fillId="0" borderId="0"/>
    <xf numFmtId="0" fontId="11" fillId="0" borderId="0"/>
    <xf numFmtId="0" fontId="35" fillId="43" borderId="54" applyNumberFormat="0" applyFont="0" applyAlignment="0" applyProtection="0"/>
    <xf numFmtId="0" fontId="11" fillId="0" borderId="0"/>
    <xf numFmtId="0" fontId="11" fillId="0" borderId="0"/>
    <xf numFmtId="0" fontId="34" fillId="0" borderId="0"/>
    <xf numFmtId="0" fontId="11" fillId="0" borderId="0"/>
    <xf numFmtId="0" fontId="11" fillId="0" borderId="0"/>
    <xf numFmtId="0" fontId="35" fillId="0" borderId="0"/>
    <xf numFmtId="44" fontId="1"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19" fillId="0" borderId="0"/>
    <xf numFmtId="0" fontId="19" fillId="0" borderId="0"/>
    <xf numFmtId="0" fontId="11"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4"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6" fillId="0" borderId="0"/>
    <xf numFmtId="43" fontId="116" fillId="0" borderId="0" applyFont="0" applyFill="0" applyBorder="0" applyAlignment="0" applyProtection="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8" fillId="0" borderId="0"/>
    <xf numFmtId="0" fontId="34" fillId="0" borderId="0"/>
  </cellStyleXfs>
  <cellXfs count="1213">
    <xf numFmtId="0" fontId="0" fillId="0" borderId="0" xfId="0"/>
    <xf numFmtId="164" fontId="40" fillId="0" borderId="0" xfId="439" applyNumberFormat="1" applyFont="1" applyFill="1" applyAlignment="1" applyProtection="1">
      <alignment horizontal="center" wrapText="1"/>
    </xf>
    <xf numFmtId="0" fontId="44"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1" fillId="21" borderId="0" xfId="0" applyFont="1" applyFill="1" applyBorder="1" applyAlignment="1" applyProtection="1">
      <alignment horizontal="center" wrapText="1"/>
    </xf>
    <xf numFmtId="0" fontId="49" fillId="24" borderId="10" xfId="0" applyFont="1" applyFill="1" applyBorder="1" applyAlignment="1" applyProtection="1">
      <alignment horizontal="center" wrapText="1"/>
    </xf>
    <xf numFmtId="0" fontId="42" fillId="0" borderId="0" xfId="0" applyFont="1" applyAlignment="1" applyProtection="1">
      <alignment horizontal="left" wrapText="1"/>
    </xf>
    <xf numFmtId="0" fontId="42" fillId="0" borderId="0" xfId="0" applyFont="1" applyAlignment="1" applyProtection="1">
      <alignment horizontal="left" vertical="center" wrapText="1"/>
    </xf>
    <xf numFmtId="0" fontId="42" fillId="24" borderId="0" xfId="0" applyFont="1" applyFill="1" applyBorder="1" applyAlignment="1" applyProtection="1">
      <alignment horizontal="left" wrapText="1"/>
    </xf>
    <xf numFmtId="0" fontId="40" fillId="0" borderId="0" xfId="0" applyFont="1" applyAlignment="1" applyProtection="1">
      <alignment horizontal="center"/>
    </xf>
    <xf numFmtId="167" fontId="40" fillId="23" borderId="0" xfId="545" applyNumberFormat="1" applyFont="1" applyFill="1" applyProtection="1"/>
    <xf numFmtId="0" fontId="52" fillId="25" borderId="0" xfId="0" applyFont="1" applyFill="1" applyAlignment="1" applyProtection="1">
      <alignment horizontal="center" wrapText="1"/>
    </xf>
    <xf numFmtId="0" fontId="53" fillId="21" borderId="10" xfId="0" applyFont="1" applyFill="1" applyBorder="1" applyAlignment="1" applyProtection="1">
      <alignment horizontal="center" wrapText="1"/>
    </xf>
    <xf numFmtId="0" fontId="53"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5" fillId="26" borderId="0" xfId="682" applyFont="1" applyFill="1"/>
    <xf numFmtId="0" fontId="55" fillId="0" borderId="0" xfId="682" applyFont="1" applyFill="1"/>
    <xf numFmtId="0" fontId="40" fillId="0" borderId="0" xfId="682" applyFont="1"/>
    <xf numFmtId="40" fontId="56" fillId="0" borderId="0" xfId="0" applyNumberFormat="1" applyFont="1"/>
    <xf numFmtId="0" fontId="53" fillId="0" borderId="0" xfId="0" applyFont="1"/>
    <xf numFmtId="0" fontId="0" fillId="0" borderId="0" xfId="0" applyNumberFormat="1" applyFont="1" applyFill="1" applyAlignment="1" applyProtection="1">
      <alignment vertical="center" wrapText="1"/>
    </xf>
    <xf numFmtId="0" fontId="55"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8" fillId="0" borderId="0" xfId="0" applyNumberFormat="1" applyFont="1" applyFill="1" applyAlignment="1" applyProtection="1">
      <alignment vertical="center" wrapText="1"/>
    </xf>
    <xf numFmtId="0" fontId="40" fillId="0" borderId="0" xfId="0" applyNumberFormat="1" applyFont="1" applyFill="1" applyAlignment="1" applyProtection="1">
      <alignment horizontal="left" vertical="center" wrapText="1" indent="3"/>
    </xf>
    <xf numFmtId="0" fontId="55" fillId="0" borderId="0" xfId="0" applyNumberFormat="1" applyFont="1" applyFill="1" applyAlignment="1" applyProtection="1">
      <alignment vertical="center" wrapText="1"/>
    </xf>
    <xf numFmtId="0" fontId="55" fillId="0" borderId="0" xfId="0" applyNumberFormat="1" applyFont="1" applyFill="1" applyAlignment="1" applyProtection="1">
      <alignment horizontal="left" vertical="center" wrapText="1" indent="3"/>
    </xf>
    <xf numFmtId="0" fontId="55" fillId="0" borderId="14" xfId="0" applyNumberFormat="1" applyFont="1" applyFill="1" applyBorder="1" applyAlignment="1" applyProtection="1">
      <alignment horizontal="left" vertical="center" wrapText="1" indent="3"/>
    </xf>
    <xf numFmtId="0" fontId="55" fillId="0" borderId="0" xfId="0" applyNumberFormat="1" applyFont="1" applyFill="1" applyAlignment="1" applyProtection="1">
      <alignment horizontal="left" vertical="center" wrapText="1" indent="6"/>
    </xf>
    <xf numFmtId="0" fontId="46"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6" fillId="0" borderId="0" xfId="439" applyNumberFormat="1" applyFont="1" applyFill="1" applyAlignment="1" applyProtection="1">
      <alignment horizontal="center" vertical="center" wrapText="1"/>
    </xf>
    <xf numFmtId="173" fontId="46" fillId="0" borderId="0" xfId="439" applyNumberFormat="1" applyFont="1" applyFill="1" applyAlignment="1" applyProtection="1">
      <alignment horizontal="center" vertical="center" wrapText="1"/>
    </xf>
    <xf numFmtId="164" fontId="59"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60" fillId="0" borderId="25" xfId="0" applyNumberFormat="1" applyFont="1" applyFill="1" applyBorder="1" applyAlignment="1" applyProtection="1">
      <alignment horizontal="center" vertical="center"/>
    </xf>
    <xf numFmtId="0" fontId="61" fillId="0" borderId="25" xfId="0" applyNumberFormat="1" applyFont="1" applyFill="1" applyBorder="1" applyAlignment="1" applyProtection="1">
      <alignment horizontal="center" vertical="center"/>
    </xf>
    <xf numFmtId="0" fontId="40" fillId="23" borderId="25" xfId="0" applyNumberFormat="1" applyFont="1" applyFill="1" applyBorder="1" applyAlignment="1" applyProtection="1">
      <alignment horizontal="center" vertical="center"/>
    </xf>
    <xf numFmtId="0" fontId="40" fillId="0" borderId="26" xfId="0" applyNumberFormat="1" applyFont="1" applyFill="1" applyBorder="1" applyAlignment="1" applyProtection="1">
      <alignment horizontal="center" vertical="center"/>
    </xf>
    <xf numFmtId="0" fontId="51"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53" fillId="21" borderId="10" xfId="0" applyFont="1" applyFill="1" applyBorder="1" applyAlignment="1" applyProtection="1">
      <alignment horizontal="center" vertical="center" wrapText="1"/>
    </xf>
    <xf numFmtId="164" fontId="59" fillId="0" borderId="31" xfId="439" applyNumberFormat="1" applyFont="1" applyFill="1" applyBorder="1" applyAlignment="1" applyProtection="1">
      <alignment horizontal="center" vertical="center" wrapText="1"/>
    </xf>
    <xf numFmtId="0" fontId="52" fillId="25" borderId="0" xfId="0" applyFont="1" applyFill="1" applyAlignment="1" applyProtection="1">
      <alignment horizontal="center" vertical="center"/>
    </xf>
    <xf numFmtId="0" fontId="41" fillId="23" borderId="0" xfId="0" applyFont="1" applyFill="1" applyAlignment="1" applyProtection="1">
      <alignment vertical="center" wrapText="1"/>
    </xf>
    <xf numFmtId="0" fontId="41"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9" fillId="0" borderId="0" xfId="0" applyFont="1" applyProtection="1"/>
    <xf numFmtId="0" fontId="59" fillId="23" borderId="23" xfId="0" applyNumberFormat="1" applyFont="1" applyFill="1" applyBorder="1" applyAlignment="1" applyProtection="1">
      <alignment horizontal="left" vertical="center" wrapText="1"/>
    </xf>
    <xf numFmtId="0" fontId="59"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9"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6" fillId="0" borderId="0" xfId="439" applyNumberFormat="1" applyFont="1" applyFill="1" applyAlignment="1" applyProtection="1">
      <alignment horizontal="center" vertical="center" wrapText="1"/>
    </xf>
    <xf numFmtId="0" fontId="62" fillId="0" borderId="0" xfId="0" applyNumberFormat="1" applyFont="1" applyFill="1" applyAlignment="1" applyProtection="1">
      <alignment vertical="center" wrapText="1"/>
    </xf>
    <xf numFmtId="0" fontId="51" fillId="0" borderId="0" xfId="0" applyFont="1" applyAlignment="1" applyProtection="1">
      <alignment wrapText="1"/>
    </xf>
    <xf numFmtId="0" fontId="46" fillId="0" borderId="23" xfId="1243" applyFont="1" applyFill="1" applyBorder="1" applyAlignment="1" applyProtection="1">
      <alignment horizontal="left" vertical="center" wrapText="1"/>
    </xf>
    <xf numFmtId="164" fontId="52" fillId="25" borderId="0" xfId="439" applyNumberFormat="1" applyFont="1" applyFill="1" applyAlignment="1" applyProtection="1">
      <alignment horizontal="center"/>
    </xf>
    <xf numFmtId="0" fontId="63"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9" fillId="22" borderId="23" xfId="439" applyNumberFormat="1" applyFont="1" applyFill="1" applyBorder="1" applyAlignment="1" applyProtection="1">
      <alignment horizontal="center" vertical="center" wrapText="1"/>
    </xf>
    <xf numFmtId="0" fontId="51" fillId="30" borderId="25" xfId="0" applyNumberFormat="1" applyFont="1" applyFill="1" applyBorder="1" applyAlignment="1" applyProtection="1">
      <alignment horizontal="center" vertical="center" wrapText="1"/>
    </xf>
    <xf numFmtId="164" fontId="51" fillId="24" borderId="10" xfId="439" applyNumberFormat="1" applyFont="1" applyFill="1" applyBorder="1" applyAlignment="1" applyProtection="1">
      <alignment horizontal="center" wrapText="1"/>
    </xf>
    <xf numFmtId="0" fontId="64" fillId="0" borderId="0" xfId="720" applyNumberFormat="1" applyFont="1" applyFill="1" applyAlignment="1" applyProtection="1">
      <alignment horizontal="left" vertical="center" wrapText="1"/>
    </xf>
    <xf numFmtId="39" fontId="40" fillId="0" borderId="0" xfId="0" applyNumberFormat="1" applyFont="1" applyAlignment="1" applyProtection="1">
      <alignment horizontal="center"/>
    </xf>
    <xf numFmtId="39" fontId="41" fillId="21" borderId="0" xfId="0" applyNumberFormat="1" applyFont="1" applyFill="1" applyBorder="1" applyAlignment="1" applyProtection="1">
      <alignment horizontal="center" wrapText="1"/>
    </xf>
    <xf numFmtId="39" fontId="59" fillId="0" borderId="29" xfId="439" applyNumberFormat="1" applyFont="1" applyFill="1" applyBorder="1" applyAlignment="1" applyProtection="1">
      <alignment horizontal="center" vertical="center" wrapText="1"/>
    </xf>
    <xf numFmtId="39" fontId="59" fillId="23" borderId="28" xfId="439" applyNumberFormat="1" applyFont="1" applyFill="1" applyBorder="1" applyAlignment="1" applyProtection="1">
      <alignment horizontal="center" vertical="center" wrapText="1"/>
    </xf>
    <xf numFmtId="0" fontId="41" fillId="0" borderId="0" xfId="0" applyFont="1" applyFill="1" applyAlignment="1" applyProtection="1">
      <alignment vertical="center" wrapText="1"/>
    </xf>
    <xf numFmtId="39" fontId="53" fillId="31" borderId="0" xfId="0" applyNumberFormat="1" applyFont="1" applyFill="1" applyBorder="1" applyAlignment="1" applyProtection="1">
      <alignment horizontal="center" wrapText="1"/>
    </xf>
    <xf numFmtId="0" fontId="40"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3" fillId="32" borderId="0" xfId="0" applyFont="1" applyFill="1" applyAlignment="1" applyProtection="1">
      <alignment horizontal="center" vertical="center" wrapText="1"/>
    </xf>
    <xf numFmtId="0" fontId="0" fillId="0" borderId="0" xfId="0" applyFont="1" applyProtection="1">
      <protection locked="0"/>
    </xf>
    <xf numFmtId="0" fontId="54" fillId="0" borderId="25" xfId="0" applyNumberFormat="1" applyFont="1" applyFill="1" applyBorder="1" applyAlignment="1" applyProtection="1">
      <alignment horizontal="left" vertical="center" wrapText="1"/>
    </xf>
    <xf numFmtId="0" fontId="42" fillId="0" borderId="25" xfId="0" applyNumberFormat="1" applyFont="1" applyFill="1" applyBorder="1" applyAlignment="1" applyProtection="1">
      <alignment horizontal="left" vertical="center" wrapText="1"/>
    </xf>
    <xf numFmtId="41" fontId="59" fillId="0" borderId="23" xfId="439" applyNumberFormat="1" applyFont="1" applyFill="1" applyBorder="1" applyAlignment="1" applyProtection="1">
      <alignment horizontal="center" vertical="center" wrapText="1"/>
    </xf>
    <xf numFmtId="0" fontId="49" fillId="0"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0" fontId="65" fillId="0" borderId="0" xfId="0" applyFont="1" applyFill="1" applyAlignment="1" applyProtection="1">
      <alignment horizontal="center" vertical="center"/>
    </xf>
    <xf numFmtId="0" fontId="51" fillId="0" borderId="0" xfId="0" applyFont="1" applyFill="1" applyAlignment="1" applyProtection="1">
      <alignment horizontal="center" vertical="center" wrapText="1"/>
    </xf>
    <xf numFmtId="0" fontId="59"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9" fillId="29" borderId="23" xfId="439" applyNumberFormat="1" applyFont="1" applyFill="1" applyBorder="1" applyAlignment="1" applyProtection="1">
      <alignment horizontal="center" vertical="center" wrapText="1"/>
      <protection locked="0"/>
    </xf>
    <xf numFmtId="37" fontId="60" fillId="33" borderId="28" xfId="439" applyNumberFormat="1" applyFont="1" applyFill="1" applyBorder="1" applyAlignment="1" applyProtection="1">
      <alignment horizontal="center" vertical="center" wrapText="1"/>
    </xf>
    <xf numFmtId="37" fontId="40" fillId="0" borderId="28" xfId="439" applyNumberFormat="1" applyFont="1" applyFill="1" applyBorder="1" applyAlignment="1" applyProtection="1">
      <alignment horizontal="center" vertical="center" wrapText="1"/>
    </xf>
    <xf numFmtId="37" fontId="60"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9"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9"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0" fontId="0" fillId="0" borderId="0" xfId="0" applyFill="1"/>
    <xf numFmtId="169" fontId="40" fillId="0" borderId="0" xfId="439" applyNumberFormat="1" applyFont="1" applyFill="1" applyAlignment="1" applyProtection="1">
      <alignment horizontal="center" vertical="center"/>
      <protection locked="0"/>
    </xf>
    <xf numFmtId="38" fontId="46"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9" fillId="0" borderId="29" xfId="439" applyNumberFormat="1" applyFont="1" applyFill="1" applyBorder="1" applyAlignment="1" applyProtection="1">
      <alignment horizontal="center" vertical="center" wrapText="1"/>
    </xf>
    <xf numFmtId="172" fontId="59" fillId="0" borderId="23" xfId="439" applyNumberFormat="1" applyFont="1" applyFill="1" applyBorder="1" applyAlignment="1" applyProtection="1">
      <alignment horizontal="center" vertical="center" wrapText="1"/>
    </xf>
    <xf numFmtId="0" fontId="40" fillId="0" borderId="24" xfId="0" applyNumberFormat="1" applyFont="1" applyFill="1" applyBorder="1" applyAlignment="1" applyProtection="1">
      <alignment horizontal="center" vertical="center"/>
    </xf>
    <xf numFmtId="0" fontId="55" fillId="0" borderId="0" xfId="0" applyFont="1" applyFill="1" applyAlignment="1" applyProtection="1">
      <alignment vertical="center" wrapText="1"/>
    </xf>
    <xf numFmtId="0" fontId="55"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9" fillId="29" borderId="44" xfId="439" applyNumberFormat="1" applyFont="1" applyFill="1" applyBorder="1" applyAlignment="1" applyProtection="1">
      <alignment horizontal="center" vertical="center" wrapText="1"/>
      <protection locked="0"/>
    </xf>
    <xf numFmtId="164" fontId="59" fillId="0" borderId="30" xfId="439" applyNumberFormat="1" applyFont="1" applyFill="1" applyBorder="1" applyAlignment="1" applyProtection="1">
      <alignment horizontal="center" vertical="center" wrapText="1"/>
    </xf>
    <xf numFmtId="39" fontId="59" fillId="0" borderId="27" xfId="439" applyNumberFormat="1" applyFont="1" applyFill="1" applyBorder="1" applyAlignment="1" applyProtection="1">
      <alignment horizontal="center" vertical="center" wrapText="1"/>
    </xf>
    <xf numFmtId="164" fontId="59" fillId="0" borderId="46" xfId="439" applyNumberFormat="1" applyFont="1" applyFill="1" applyBorder="1" applyAlignment="1" applyProtection="1">
      <alignment horizontal="center" vertical="center" wrapText="1"/>
    </xf>
    <xf numFmtId="0" fontId="40"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9" fillId="29" borderId="45" xfId="439" applyNumberFormat="1" applyFont="1" applyFill="1" applyBorder="1" applyAlignment="1" applyProtection="1">
      <alignment horizontal="center" vertical="center" wrapText="1"/>
      <protection locked="0"/>
    </xf>
    <xf numFmtId="0" fontId="59" fillId="0" borderId="30" xfId="0" applyNumberFormat="1" applyFont="1" applyFill="1" applyBorder="1" applyAlignment="1" applyProtection="1">
      <alignment horizontal="left" vertical="center" wrapText="1"/>
    </xf>
    <xf numFmtId="0" fontId="59" fillId="23" borderId="31" xfId="0" applyNumberFormat="1" applyFont="1" applyFill="1" applyBorder="1" applyAlignment="1" applyProtection="1">
      <alignment horizontal="left" vertical="center" wrapText="1"/>
    </xf>
    <xf numFmtId="0" fontId="59" fillId="23" borderId="31" xfId="439" applyNumberFormat="1" applyFont="1" applyFill="1" applyBorder="1" applyAlignment="1" applyProtection="1">
      <alignment horizontal="center" vertical="center" wrapText="1"/>
    </xf>
    <xf numFmtId="37" fontId="40" fillId="23" borderId="29" xfId="439" applyNumberFormat="1" applyFont="1" applyFill="1" applyBorder="1" applyAlignment="1" applyProtection="1">
      <alignment horizontal="center" vertical="center" wrapText="1"/>
    </xf>
    <xf numFmtId="0" fontId="40" fillId="23" borderId="26" xfId="0" applyNumberFormat="1" applyFont="1" applyFill="1" applyBorder="1" applyAlignment="1" applyProtection="1">
      <alignment horizontal="center" vertical="center"/>
    </xf>
    <xf numFmtId="37" fontId="40" fillId="0" borderId="27" xfId="439" applyNumberFormat="1" applyFont="1" applyFill="1" applyBorder="1" applyAlignment="1" applyProtection="1">
      <alignment horizontal="center" vertical="center" wrapText="1"/>
    </xf>
    <xf numFmtId="0" fontId="40"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40"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1" fillId="0" borderId="0" xfId="0" applyNumberFormat="1" applyFont="1" applyFill="1" applyAlignment="1" applyProtection="1">
      <alignment horizontal="left" vertical="center" wrapText="1" indent="6"/>
    </xf>
    <xf numFmtId="0" fontId="59"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1" fillId="24" borderId="0" xfId="439" applyNumberFormat="1" applyFont="1" applyFill="1" applyBorder="1" applyAlignment="1" applyProtection="1">
      <alignment horizontal="center" wrapText="1"/>
    </xf>
    <xf numFmtId="41" fontId="67" fillId="0" borderId="0" xfId="0" applyNumberFormat="1" applyFont="1" applyFill="1" applyAlignment="1" applyProtection="1">
      <alignment wrapText="1"/>
    </xf>
    <xf numFmtId="14" fontId="59"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1" fillId="0" borderId="0" xfId="0" applyNumberFormat="1" applyFont="1" applyAlignment="1" applyProtection="1">
      <alignment wrapText="1"/>
    </xf>
    <xf numFmtId="164" fontId="59" fillId="22" borderId="23" xfId="439" applyNumberFormat="1" applyFont="1" applyFill="1" applyBorder="1" applyAlignment="1" applyProtection="1">
      <alignment horizontal="center" vertical="center" wrapText="1"/>
      <protection locked="0"/>
    </xf>
    <xf numFmtId="172" fontId="59" fillId="22" borderId="23" xfId="439" applyNumberFormat="1" applyFont="1" applyFill="1" applyBorder="1" applyAlignment="1" applyProtection="1">
      <alignment horizontal="center" vertical="center" wrapText="1"/>
    </xf>
    <xf numFmtId="39" fontId="59" fillId="22" borderId="28" xfId="439" applyNumberFormat="1" applyFont="1" applyFill="1" applyBorder="1" applyAlignment="1" applyProtection="1">
      <alignment horizontal="center" vertical="center" wrapText="1"/>
    </xf>
    <xf numFmtId="164" fontId="59" fillId="22" borderId="29" xfId="439" applyNumberFormat="1" applyFont="1" applyFill="1" applyBorder="1" applyAlignment="1" applyProtection="1">
      <alignment horizontal="center" vertical="center" wrapText="1"/>
    </xf>
    <xf numFmtId="0" fontId="40" fillId="22" borderId="24" xfId="0" applyNumberFormat="1" applyFont="1" applyFill="1" applyBorder="1" applyAlignment="1" applyProtection="1">
      <alignment horizontal="center" vertical="center"/>
    </xf>
    <xf numFmtId="164" fontId="59" fillId="29" borderId="31" xfId="439" applyNumberFormat="1" applyFont="1" applyFill="1" applyBorder="1" applyAlignment="1" applyProtection="1">
      <alignment horizontal="center" vertical="center" wrapText="1"/>
      <protection locked="0"/>
    </xf>
    <xf numFmtId="0" fontId="50" fillId="0" borderId="0" xfId="0" applyFont="1" applyAlignment="1" applyProtection="1">
      <alignment horizontal="center"/>
    </xf>
    <xf numFmtId="0" fontId="42" fillId="22" borderId="0" xfId="0" applyFont="1" applyFill="1" applyAlignment="1" applyProtection="1">
      <alignment horizontal="left" wrapText="1"/>
    </xf>
    <xf numFmtId="172" fontId="59" fillId="22" borderId="30" xfId="439" applyNumberFormat="1" applyFont="1" applyFill="1" applyBorder="1" applyAlignment="1" applyProtection="1">
      <alignment horizontal="center" vertical="center" wrapText="1"/>
    </xf>
    <xf numFmtId="175" fontId="59" fillId="75" borderId="23" xfId="439" applyNumberFormat="1" applyFont="1" applyFill="1" applyBorder="1" applyAlignment="1" applyProtection="1">
      <alignment horizontal="center" vertical="center" wrapText="1"/>
    </xf>
    <xf numFmtId="3" fontId="59" fillId="0" borderId="23" xfId="439" applyNumberFormat="1" applyFont="1" applyFill="1" applyBorder="1" applyAlignment="1" applyProtection="1">
      <alignment horizontal="center" vertical="center" wrapText="1"/>
      <protection locked="0"/>
    </xf>
    <xf numFmtId="180" fontId="59" fillId="75" borderId="23" xfId="439" applyNumberFormat="1" applyFont="1" applyFill="1" applyBorder="1" applyAlignment="1" applyProtection="1">
      <alignment horizontal="center" vertical="center" wrapText="1"/>
    </xf>
    <xf numFmtId="39" fontId="59" fillId="0" borderId="23" xfId="439" applyNumberFormat="1" applyFont="1" applyFill="1" applyBorder="1" applyAlignment="1" applyProtection="1">
      <alignment horizontal="center" vertical="center" wrapText="1"/>
    </xf>
    <xf numFmtId="3" fontId="59" fillId="0" borderId="31" xfId="439" applyNumberFormat="1" applyFont="1" applyFill="1" applyBorder="1" applyAlignment="1" applyProtection="1">
      <alignment horizontal="center" vertical="center" wrapText="1"/>
    </xf>
    <xf numFmtId="3" fontId="59" fillId="23" borderId="31" xfId="439" applyNumberFormat="1" applyFont="1" applyFill="1" applyBorder="1" applyAlignment="1" applyProtection="1">
      <alignment horizontal="center" vertical="center" wrapText="1"/>
    </xf>
    <xf numFmtId="3" fontId="59" fillId="23" borderId="23" xfId="439" applyNumberFormat="1" applyFont="1" applyFill="1" applyBorder="1" applyAlignment="1" applyProtection="1">
      <alignment horizontal="center" vertical="center" wrapText="1"/>
    </xf>
    <xf numFmtId="3" fontId="59" fillId="0" borderId="30" xfId="439" applyNumberFormat="1" applyFont="1" applyFill="1" applyBorder="1" applyAlignment="1" applyProtection="1">
      <alignment horizontal="center" vertical="center" wrapText="1"/>
    </xf>
    <xf numFmtId="37" fontId="59" fillId="0" borderId="23" xfId="439"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65" fillId="0" borderId="0" xfId="0" applyFont="1" applyProtection="1"/>
    <xf numFmtId="0" fontId="40" fillId="0" borderId="57" xfId="0" applyFont="1" applyBorder="1"/>
    <xf numFmtId="0" fontId="40" fillId="26" borderId="16" xfId="0" applyFont="1" applyFill="1" applyBorder="1" applyAlignment="1" applyProtection="1">
      <alignment horizontal="left"/>
    </xf>
    <xf numFmtId="0" fontId="40" fillId="0" borderId="17"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3" fontId="40" fillId="0" borderId="0" xfId="439" applyNumberFormat="1" applyFont="1" applyFill="1" applyAlignment="1" applyProtection="1">
      <alignment horizontal="center" vertical="center" wrapText="1"/>
      <protection locked="0"/>
    </xf>
    <xf numFmtId="0" fontId="73" fillId="22" borderId="0" xfId="0" applyFont="1" applyFill="1" applyProtection="1"/>
    <xf numFmtId="0" fontId="120" fillId="22" borderId="0" xfId="0" applyFont="1" applyFill="1" applyProtection="1"/>
    <xf numFmtId="0" fontId="84" fillId="22" borderId="0" xfId="0" applyFont="1" applyFill="1" applyAlignment="1" applyProtection="1">
      <alignment vertical="center" wrapText="1"/>
    </xf>
    <xf numFmtId="0" fontId="84" fillId="22" borderId="0" xfId="0" applyFont="1" applyFill="1" applyAlignment="1" applyProtection="1">
      <alignment vertical="center"/>
      <protection locked="0"/>
    </xf>
    <xf numFmtId="0" fontId="84" fillId="22" borderId="0" xfId="0" applyFont="1" applyFill="1" applyAlignment="1" applyProtection="1">
      <alignment vertical="center"/>
    </xf>
    <xf numFmtId="0" fontId="0" fillId="0" borderId="0" xfId="0" applyAlignment="1">
      <alignment horizontal="center"/>
    </xf>
    <xf numFmtId="0" fontId="84" fillId="0" borderId="0" xfId="0" applyFont="1" applyAlignment="1">
      <alignment horizontal="center"/>
    </xf>
    <xf numFmtId="0" fontId="40" fillId="0" borderId="24" xfId="0" applyFont="1" applyBorder="1" applyAlignment="1">
      <alignment horizontal="center" vertical="center"/>
    </xf>
    <xf numFmtId="0" fontId="40" fillId="0" borderId="0" xfId="0" applyFont="1" applyAlignment="1">
      <alignment vertical="center"/>
    </xf>
    <xf numFmtId="0" fontId="0" fillId="34" borderId="45" xfId="0" applyFont="1" applyFill="1" applyBorder="1" applyAlignment="1">
      <alignment vertical="center" wrapText="1"/>
    </xf>
    <xf numFmtId="171" fontId="59" fillId="75" borderId="29" xfId="439" applyNumberFormat="1" applyFont="1" applyFill="1" applyBorder="1" applyAlignment="1" applyProtection="1">
      <alignment horizontal="center" vertical="center" wrapText="1"/>
    </xf>
    <xf numFmtId="0" fontId="40" fillId="74" borderId="63" xfId="0" applyNumberFormat="1" applyFont="1" applyFill="1" applyBorder="1" applyAlignment="1" applyProtection="1">
      <alignment horizontal="center" vertical="center"/>
    </xf>
    <xf numFmtId="0" fontId="0" fillId="73" borderId="0" xfId="0" applyFill="1"/>
    <xf numFmtId="0" fontId="121" fillId="73" borderId="0" xfId="0" applyFont="1" applyFill="1" applyAlignment="1">
      <alignment vertical="center" wrapText="1"/>
    </xf>
    <xf numFmtId="0" fontId="48" fillId="73" borderId="0" xfId="0" applyFont="1" applyFill="1" applyAlignment="1">
      <alignment horizontal="justify" vertical="center"/>
    </xf>
    <xf numFmtId="0" fontId="126" fillId="77" borderId="0" xfId="0" applyFont="1" applyFill="1" applyAlignment="1">
      <alignment vertical="center"/>
    </xf>
    <xf numFmtId="0" fontId="63" fillId="0" borderId="45" xfId="0" applyFont="1" applyFill="1" applyBorder="1" applyAlignment="1" applyProtection="1">
      <alignment horizontal="center" vertical="center" wrapText="1"/>
    </xf>
    <xf numFmtId="0" fontId="63" fillId="32" borderId="45" xfId="0" applyFont="1" applyFill="1" applyBorder="1" applyAlignment="1" applyProtection="1">
      <alignment horizontal="center" vertical="center" wrapText="1"/>
    </xf>
    <xf numFmtId="0" fontId="59" fillId="31" borderId="25" xfId="0" applyNumberFormat="1" applyFont="1" applyFill="1" applyBorder="1" applyAlignment="1" applyProtection="1">
      <alignment horizontal="left" vertical="center" wrapText="1"/>
    </xf>
    <xf numFmtId="0" fontId="42" fillId="31" borderId="65" xfId="0" applyFont="1" applyFill="1" applyBorder="1" applyAlignment="1">
      <alignment wrapText="1"/>
    </xf>
    <xf numFmtId="14" fontId="42" fillId="31" borderId="65" xfId="0" applyNumberFormat="1" applyFont="1" applyFill="1" applyBorder="1" applyAlignment="1">
      <alignment wrapText="1"/>
    </xf>
    <xf numFmtId="0" fontId="40" fillId="31" borderId="63" xfId="0" applyNumberFormat="1" applyFont="1" applyFill="1" applyBorder="1" applyAlignment="1" applyProtection="1">
      <alignment horizontal="center" vertical="center"/>
    </xf>
    <xf numFmtId="49" fontId="59" fillId="0" borderId="23" xfId="439" applyNumberFormat="1" applyFont="1" applyFill="1" applyBorder="1" applyAlignment="1" applyProtection="1">
      <alignment horizontal="center" vertical="center" wrapText="1"/>
    </xf>
    <xf numFmtId="0" fontId="122" fillId="73" borderId="0" xfId="0" applyFont="1" applyFill="1" applyAlignment="1">
      <alignment horizontal="left" vertical="center" wrapText="1"/>
    </xf>
    <xf numFmtId="0" fontId="34" fillId="73" borderId="0" xfId="30098" applyFill="1"/>
    <xf numFmtId="0" fontId="125" fillId="77" borderId="0" xfId="30098" applyFont="1" applyFill="1" applyAlignment="1">
      <alignment horizontal="center" vertical="center" wrapText="1"/>
    </xf>
    <xf numFmtId="0" fontId="121" fillId="73" borderId="0" xfId="30098" applyFont="1" applyFill="1" applyAlignment="1">
      <alignment vertical="center" wrapText="1"/>
    </xf>
    <xf numFmtId="0" fontId="48" fillId="73" borderId="0" xfId="30098" applyFont="1" applyFill="1" applyAlignment="1">
      <alignment vertical="center" wrapText="1"/>
    </xf>
    <xf numFmtId="0" fontId="126" fillId="77" borderId="0" xfId="30098" applyFont="1" applyFill="1" applyAlignment="1">
      <alignment vertical="center"/>
    </xf>
    <xf numFmtId="0" fontId="129" fillId="0" borderId="0" xfId="30099" applyFont="1" applyAlignment="1">
      <alignment horizontal="left" vertical="top"/>
    </xf>
    <xf numFmtId="0" fontId="131" fillId="0" borderId="0" xfId="30099" applyFont="1" applyAlignment="1">
      <alignment horizontal="left" vertical="top"/>
    </xf>
    <xf numFmtId="0" fontId="129" fillId="36" borderId="0" xfId="30099" applyFont="1" applyFill="1" applyAlignment="1">
      <alignment horizontal="left" vertical="top"/>
    </xf>
    <xf numFmtId="0" fontId="131" fillId="0" borderId="0" xfId="30099" applyFont="1" applyAlignment="1">
      <alignment vertical="top"/>
    </xf>
    <xf numFmtId="0" fontId="129" fillId="0" borderId="0" xfId="30099" applyFont="1" applyAlignment="1">
      <alignment vertical="top"/>
    </xf>
    <xf numFmtId="0" fontId="131" fillId="79" borderId="13" xfId="30099" applyFont="1" applyFill="1" applyBorder="1" applyAlignment="1">
      <alignment horizontal="left" vertical="top"/>
    </xf>
    <xf numFmtId="0" fontId="131" fillId="79" borderId="16" xfId="30099" applyFont="1" applyFill="1" applyBorder="1" applyAlignment="1">
      <alignment horizontal="left" vertical="top"/>
    </xf>
    <xf numFmtId="164" fontId="136" fillId="79" borderId="16" xfId="30100" applyNumberFormat="1" applyFont="1" applyFill="1" applyBorder="1" applyAlignment="1">
      <alignment vertical="center"/>
    </xf>
    <xf numFmtId="0" fontId="137" fillId="79" borderId="16" xfId="30099" applyFont="1" applyFill="1" applyBorder="1" applyAlignment="1">
      <alignment vertical="center" wrapText="1"/>
    </xf>
    <xf numFmtId="0" fontId="137" fillId="79" borderId="16" xfId="30099" applyFont="1" applyFill="1" applyBorder="1" applyAlignment="1">
      <alignment vertical="center"/>
    </xf>
    <xf numFmtId="0" fontId="129" fillId="79" borderId="11" xfId="30099" applyFont="1" applyFill="1" applyBorder="1" applyAlignment="1">
      <alignment horizontal="left" vertical="top" wrapText="1"/>
    </xf>
    <xf numFmtId="0" fontId="138" fillId="0" borderId="0" xfId="30099" applyFont="1" applyAlignment="1">
      <alignment horizontal="left" vertical="top"/>
    </xf>
    <xf numFmtId="0" fontId="138" fillId="26" borderId="15" xfId="30099" applyFont="1" applyFill="1" applyBorder="1" applyAlignment="1">
      <alignment horizontal="left" vertical="top"/>
    </xf>
    <xf numFmtId="0" fontId="138" fillId="26" borderId="0" xfId="30099" applyFont="1" applyFill="1" applyAlignment="1">
      <alignment horizontal="left" vertical="top"/>
    </xf>
    <xf numFmtId="0" fontId="129" fillId="26" borderId="0" xfId="30099" applyFont="1" applyFill="1" applyAlignment="1">
      <alignment horizontal="left" vertical="top" wrapText="1"/>
    </xf>
    <xf numFmtId="0" fontId="138" fillId="26" borderId="0" xfId="30099" applyFont="1" applyFill="1" applyAlignment="1">
      <alignment horizontal="left" vertical="center"/>
    </xf>
    <xf numFmtId="0" fontId="138" fillId="26" borderId="60" xfId="30099" applyFont="1" applyFill="1" applyBorder="1" applyAlignment="1">
      <alignment horizontal="left" vertical="top" wrapText="1"/>
    </xf>
    <xf numFmtId="0" fontId="129" fillId="26" borderId="15" xfId="30099" applyFont="1" applyFill="1" applyBorder="1" applyAlignment="1">
      <alignment horizontal="left" vertical="top"/>
    </xf>
    <xf numFmtId="0" fontId="129" fillId="26" borderId="0" xfId="30099" applyFont="1" applyFill="1" applyAlignment="1">
      <alignment horizontal="left" vertical="top"/>
    </xf>
    <xf numFmtId="0" fontId="129" fillId="26" borderId="60" xfId="30099" applyFont="1" applyFill="1" applyBorder="1" applyAlignment="1">
      <alignment horizontal="left" vertical="top" wrapText="1"/>
    </xf>
    <xf numFmtId="0" fontId="141" fillId="26" borderId="0" xfId="30099" applyFont="1" applyFill="1" applyAlignment="1">
      <alignment horizontal="left" vertical="top"/>
    </xf>
    <xf numFmtId="0" fontId="129" fillId="26" borderId="0" xfId="30099" applyFont="1" applyFill="1" applyAlignment="1">
      <alignment horizontal="left" vertical="center"/>
    </xf>
    <xf numFmtId="14" fontId="129" fillId="0" borderId="69" xfId="30099" applyNumberFormat="1" applyFont="1" applyBorder="1" applyAlignment="1" applyProtection="1">
      <alignment horizontal="center" vertical="center"/>
      <protection locked="0"/>
    </xf>
    <xf numFmtId="0" fontId="129" fillId="26" borderId="0" xfId="30099" applyFont="1" applyFill="1" applyAlignment="1">
      <alignment horizontal="left" vertical="center" wrapText="1"/>
    </xf>
    <xf numFmtId="0" fontId="129" fillId="0" borderId="69" xfId="30099" applyFont="1" applyBorder="1" applyAlignment="1" applyProtection="1">
      <alignment horizontal="center" vertical="center"/>
      <protection locked="0"/>
    </xf>
    <xf numFmtId="0" fontId="145" fillId="26" borderId="0" xfId="30099" applyFont="1" applyFill="1" applyAlignment="1">
      <alignment horizontal="center" vertical="center" wrapText="1"/>
    </xf>
    <xf numFmtId="0" fontId="129" fillId="0" borderId="57" xfId="30099" applyFont="1" applyBorder="1" applyAlignment="1" applyProtection="1">
      <alignment horizontal="center" vertical="center"/>
      <protection locked="0"/>
    </xf>
    <xf numFmtId="0" fontId="129" fillId="26" borderId="0" xfId="30099" applyFont="1" applyFill="1" applyAlignment="1">
      <alignment horizontal="center" vertical="center"/>
    </xf>
    <xf numFmtId="0" fontId="146" fillId="26" borderId="0" xfId="30099" applyFont="1" applyFill="1" applyAlignment="1">
      <alignment horizontal="left" vertical="top" wrapText="1"/>
    </xf>
    <xf numFmtId="0" fontId="146" fillId="0" borderId="57" xfId="30099" applyFont="1" applyBorder="1" applyAlignment="1" applyProtection="1">
      <alignment horizontal="center" vertical="center" wrapText="1"/>
      <protection locked="0"/>
    </xf>
    <xf numFmtId="0" fontId="131" fillId="0" borderId="0" xfId="30099" applyFont="1" applyAlignment="1">
      <alignment horizontal="left"/>
    </xf>
    <xf numFmtId="0" fontId="130" fillId="0" borderId="69" xfId="30099" applyFont="1" applyBorder="1" applyAlignment="1" applyProtection="1">
      <alignment horizontal="center" vertical="center"/>
      <protection locked="0"/>
    </xf>
    <xf numFmtId="0" fontId="129" fillId="26" borderId="0" xfId="30099" applyFont="1" applyFill="1" applyAlignment="1">
      <alignment vertical="top" wrapText="1"/>
    </xf>
    <xf numFmtId="0" fontId="129" fillId="26" borderId="60" xfId="30099" applyFont="1" applyFill="1" applyBorder="1" applyAlignment="1">
      <alignment vertical="top" wrapText="1"/>
    </xf>
    <xf numFmtId="0" fontId="133" fillId="26" borderId="0" xfId="30099" applyFont="1" applyFill="1" applyAlignment="1">
      <alignment horizontal="left" vertical="top"/>
    </xf>
    <xf numFmtId="0" fontId="141" fillId="26" borderId="0" xfId="30099" applyFont="1" applyFill="1" applyAlignment="1">
      <alignment horizontal="left" vertical="top" wrapText="1"/>
    </xf>
    <xf numFmtId="0" fontId="129" fillId="26" borderId="15" xfId="30099" applyFont="1" applyFill="1" applyBorder="1" applyAlignment="1">
      <alignment horizontal="left"/>
    </xf>
    <xf numFmtId="0" fontId="129" fillId="26" borderId="0" xfId="30099" applyFont="1" applyFill="1" applyAlignment="1">
      <alignment horizontal="left"/>
    </xf>
    <xf numFmtId="0" fontId="129" fillId="26" borderId="0" xfId="30099" applyFont="1" applyFill="1" applyAlignment="1">
      <alignment vertical="center" wrapText="1"/>
    </xf>
    <xf numFmtId="0" fontId="141" fillId="26" borderId="0" xfId="30099" applyFont="1" applyFill="1" applyAlignment="1">
      <alignment vertical="center" wrapText="1"/>
    </xf>
    <xf numFmtId="0" fontId="129" fillId="0" borderId="0" xfId="30099" applyFont="1" applyAlignment="1">
      <alignment horizontal="left"/>
    </xf>
    <xf numFmtId="0" fontId="135" fillId="26" borderId="0" xfId="30099" applyFont="1" applyFill="1" applyAlignment="1">
      <alignment horizontal="left"/>
    </xf>
    <xf numFmtId="0" fontId="135" fillId="26" borderId="0" xfId="30099" applyFont="1" applyFill="1" applyAlignment="1">
      <alignment horizontal="right" vertical="center"/>
    </xf>
    <xf numFmtId="0" fontId="135" fillId="26" borderId="0" xfId="30099" applyFont="1" applyFill="1" applyAlignment="1">
      <alignment horizontal="right"/>
    </xf>
    <xf numFmtId="0" fontId="129" fillId="26" borderId="0" xfId="30099" applyFont="1" applyFill="1" applyAlignment="1">
      <alignment horizontal="right" vertical="center" wrapText="1"/>
    </xf>
    <xf numFmtId="14" fontId="129" fillId="26" borderId="0" xfId="30099" applyNumberFormat="1" applyFont="1" applyFill="1" applyAlignment="1">
      <alignment horizontal="left" vertical="center"/>
    </xf>
    <xf numFmtId="0" fontId="150" fillId="79" borderId="0" xfId="30099" applyFont="1" applyFill="1" applyAlignment="1">
      <alignment vertical="center"/>
    </xf>
    <xf numFmtId="0" fontId="150" fillId="79" borderId="0" xfId="30099" applyFont="1" applyFill="1" applyAlignment="1">
      <alignment horizontal="left" vertical="center"/>
    </xf>
    <xf numFmtId="0" fontId="141" fillId="26" borderId="0" xfId="30099" applyFont="1" applyFill="1" applyAlignment="1">
      <alignment horizontal="left" vertical="center" wrapText="1"/>
    </xf>
    <xf numFmtId="0" fontId="141" fillId="26" borderId="60" xfId="30099" applyFont="1" applyFill="1" applyBorder="1" applyAlignment="1">
      <alignment vertical="top" wrapText="1"/>
    </xf>
    <xf numFmtId="0" fontId="129" fillId="26" borderId="40" xfId="30099" applyFont="1" applyFill="1" applyBorder="1" applyAlignment="1">
      <alignment horizontal="left" vertical="top"/>
    </xf>
    <xf numFmtId="0" fontId="129" fillId="26" borderId="41" xfId="30099" applyFont="1" applyFill="1" applyBorder="1" applyAlignment="1">
      <alignment horizontal="left" vertical="top"/>
    </xf>
    <xf numFmtId="0" fontId="129" fillId="26" borderId="41" xfId="30099" applyFont="1" applyFill="1" applyBorder="1" applyAlignment="1">
      <alignment horizontal="right" vertical="center" wrapText="1"/>
    </xf>
    <xf numFmtId="0" fontId="129" fillId="26" borderId="41" xfId="30099" applyFont="1" applyFill="1" applyBorder="1" applyAlignment="1">
      <alignment horizontal="left" vertical="center"/>
    </xf>
    <xf numFmtId="0" fontId="129" fillId="26" borderId="42" xfId="30099" applyFont="1" applyFill="1" applyBorder="1" applyAlignment="1">
      <alignment horizontal="left" vertical="top" wrapText="1"/>
    </xf>
    <xf numFmtId="0" fontId="129" fillId="0" borderId="0" xfId="30099" applyFont="1" applyAlignment="1">
      <alignment horizontal="left" vertical="top" wrapText="1"/>
    </xf>
    <xf numFmtId="2" fontId="129" fillId="0" borderId="0" xfId="30099" applyNumberFormat="1" applyFont="1" applyAlignment="1">
      <alignment horizontal="left" vertical="top"/>
    </xf>
    <xf numFmtId="0" fontId="129" fillId="0" borderId="0" xfId="30099" applyFont="1" applyAlignment="1">
      <alignment horizontal="left" vertical="center" wrapText="1"/>
    </xf>
    <xf numFmtId="14" fontId="129" fillId="0" borderId="0" xfId="30099" applyNumberFormat="1" applyFont="1" applyAlignment="1">
      <alignment horizontal="left" vertical="top"/>
    </xf>
    <xf numFmtId="0" fontId="129"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2" fillId="26" borderId="0" xfId="30099" applyFont="1" applyFill="1" applyAlignment="1">
      <alignment horizontal="center" vertical="center"/>
    </xf>
    <xf numFmtId="164" fontId="135" fillId="26" borderId="0" xfId="30100" applyNumberFormat="1" applyFont="1" applyFill="1" applyBorder="1" applyAlignment="1">
      <alignment vertical="center"/>
    </xf>
    <xf numFmtId="164" fontId="135" fillId="26" borderId="0" xfId="30100" applyNumberFormat="1" applyFont="1" applyFill="1" applyBorder="1" applyAlignment="1">
      <alignment vertical="top"/>
    </xf>
    <xf numFmtId="164" fontId="134" fillId="26" borderId="0" xfId="30100" applyNumberFormat="1" applyFont="1" applyFill="1" applyBorder="1" applyAlignment="1">
      <alignment vertical="center"/>
    </xf>
    <xf numFmtId="164" fontId="133" fillId="26" borderId="0" xfId="30100" applyNumberFormat="1" applyFont="1" applyFill="1" applyBorder="1" applyAlignment="1">
      <alignment vertical="center"/>
    </xf>
    <xf numFmtId="164" fontId="135" fillId="26" borderId="41" xfId="30100" applyNumberFormat="1" applyFont="1" applyFill="1" applyBorder="1" applyAlignment="1">
      <alignment vertical="top"/>
    </xf>
    <xf numFmtId="164" fontId="129" fillId="0" borderId="0" xfId="30100" applyNumberFormat="1" applyFont="1" applyFill="1" applyBorder="1" applyAlignment="1">
      <alignment vertical="top"/>
    </xf>
    <xf numFmtId="49" fontId="135" fillId="26" borderId="0" xfId="30100" applyNumberFormat="1" applyFont="1" applyFill="1" applyBorder="1" applyAlignment="1">
      <alignment horizontal="center" vertical="center"/>
    </xf>
    <xf numFmtId="49" fontId="135" fillId="26" borderId="0" xfId="30100" applyNumberFormat="1" applyFont="1" applyFill="1" applyBorder="1" applyAlignment="1">
      <alignment horizontal="center" vertical="top"/>
    </xf>
    <xf numFmtId="0" fontId="135" fillId="26" borderId="0" xfId="30099" applyFont="1" applyFill="1" applyAlignment="1">
      <alignment horizontal="left" wrapText="1"/>
    </xf>
    <xf numFmtId="0" fontId="135" fillId="26" borderId="0" xfId="30099" applyFont="1" applyFill="1" applyAlignment="1">
      <alignment horizontal="left" vertical="center" wrapText="1"/>
    </xf>
    <xf numFmtId="0" fontId="129" fillId="0" borderId="0" xfId="30099" applyFont="1" applyFill="1" applyAlignment="1">
      <alignment horizontal="left"/>
    </xf>
    <xf numFmtId="0" fontId="131" fillId="0" borderId="0" xfId="30099" applyFont="1" applyFill="1" applyAlignment="1">
      <alignment horizontal="left"/>
    </xf>
    <xf numFmtId="167" fontId="0" fillId="0" borderId="82" xfId="545" applyNumberFormat="1" applyFont="1" applyBorder="1"/>
    <xf numFmtId="10" fontId="0" fillId="0" borderId="82" xfId="4688" applyNumberFormat="1" applyFont="1" applyBorder="1"/>
    <xf numFmtId="0" fontId="0" fillId="0" borderId="0" xfId="0"/>
    <xf numFmtId="2" fontId="0" fillId="0" borderId="82" xfId="439" applyNumberFormat="1" applyFont="1" applyBorder="1"/>
    <xf numFmtId="169" fontId="40" fillId="29" borderId="0" xfId="439" applyNumberFormat="1" applyFont="1" applyFill="1" applyAlignment="1" applyProtection="1">
      <alignment horizontal="center" vertical="center"/>
      <protection locked="0"/>
    </xf>
    <xf numFmtId="174" fontId="40" fillId="29" borderId="0" xfId="439" applyNumberFormat="1" applyFont="1" applyFill="1" applyAlignment="1" applyProtection="1">
      <alignment horizontal="center" vertical="center"/>
      <protection locked="0"/>
    </xf>
    <xf numFmtId="38" fontId="46" fillId="29" borderId="0" xfId="439" applyNumberFormat="1" applyFont="1" applyFill="1" applyAlignment="1" applyProtection="1">
      <alignment horizontal="center" vertical="center" wrapText="1"/>
      <protection locked="0"/>
    </xf>
    <xf numFmtId="9" fontId="0" fillId="0" borderId="82" xfId="4688" applyFont="1" applyBorder="1"/>
    <xf numFmtId="0" fontId="137" fillId="79" borderId="41" xfId="30099" applyFont="1" applyFill="1" applyBorder="1" applyAlignment="1">
      <alignment vertical="center"/>
    </xf>
    <xf numFmtId="0" fontId="40" fillId="0" borderId="43" xfId="0" applyNumberFormat="1" applyFont="1" applyFill="1" applyBorder="1" applyAlignment="1" applyProtection="1">
      <alignment horizontal="center" vertical="center"/>
    </xf>
    <xf numFmtId="0" fontId="40" fillId="0" borderId="0" xfId="0" applyFont="1" applyAlignment="1">
      <alignment horizontal="center"/>
    </xf>
    <xf numFmtId="0" fontId="40" fillId="0" borderId="0" xfId="0" applyFont="1" applyAlignment="1">
      <alignment horizontal="center" wrapText="1"/>
    </xf>
    <xf numFmtId="0" fontId="133" fillId="26" borderId="0" xfId="30099" applyFont="1" applyFill="1" applyAlignment="1">
      <alignment vertical="top" wrapText="1"/>
    </xf>
    <xf numFmtId="0" fontId="154" fillId="26" borderId="0" xfId="30099" applyFont="1" applyFill="1" applyAlignment="1">
      <alignment horizontal="left" vertical="top" wrapText="1"/>
    </xf>
    <xf numFmtId="170" fontId="40" fillId="29" borderId="0" xfId="439" applyNumberFormat="1" applyFont="1" applyFill="1" applyAlignment="1" applyProtection="1">
      <alignment horizontal="center" vertical="center"/>
      <protection locked="0"/>
    </xf>
    <xf numFmtId="0" fontId="40" fillId="78" borderId="84" xfId="0" applyFont="1" applyFill="1" applyBorder="1" applyAlignment="1">
      <alignment horizontal="center"/>
    </xf>
    <xf numFmtId="0" fontId="40" fillId="78" borderId="84" xfId="0" applyFont="1" applyFill="1" applyBorder="1" applyAlignment="1">
      <alignment horizontal="center" wrapText="1"/>
    </xf>
    <xf numFmtId="0" fontId="40" fillId="78" borderId="93" xfId="0" applyFont="1" applyFill="1" applyBorder="1" applyAlignment="1">
      <alignment vertical="center" wrapText="1"/>
    </xf>
    <xf numFmtId="0" fontId="40" fillId="78" borderId="87" xfId="0" applyFont="1" applyFill="1" applyBorder="1" applyAlignment="1">
      <alignment wrapText="1"/>
    </xf>
    <xf numFmtId="0" fontId="40" fillId="78" borderId="84" xfId="0" applyFont="1" applyFill="1" applyBorder="1" applyAlignment="1">
      <alignment wrapText="1"/>
    </xf>
    <xf numFmtId="43" fontId="0" fillId="0" borderId="82" xfId="439" applyNumberFormat="1" applyFont="1" applyBorder="1"/>
    <xf numFmtId="0" fontId="40" fillId="78" borderId="96" xfId="0" applyFont="1" applyFill="1" applyBorder="1" applyAlignment="1">
      <alignment horizontal="center"/>
    </xf>
    <xf numFmtId="0" fontId="40" fillId="78" borderId="91" xfId="0" applyFont="1" applyFill="1" applyBorder="1" applyAlignment="1">
      <alignment horizontal="center"/>
    </xf>
    <xf numFmtId="0" fontId="40" fillId="78" borderId="93" xfId="0" applyFont="1" applyFill="1" applyBorder="1" applyAlignment="1">
      <alignment wrapText="1"/>
    </xf>
    <xf numFmtId="0" fontId="40" fillId="78" borderId="100" xfId="0" applyFont="1" applyFill="1" applyBorder="1" applyAlignment="1">
      <alignment vertical="center" wrapText="1"/>
    </xf>
    <xf numFmtId="38" fontId="40" fillId="29" borderId="0" xfId="439" applyNumberFormat="1" applyFont="1" applyFill="1" applyAlignment="1" applyProtection="1">
      <alignment horizontal="center" vertical="center"/>
      <protection locked="0"/>
    </xf>
    <xf numFmtId="3" fontId="40" fillId="29" borderId="0" xfId="439" applyNumberFormat="1" applyFont="1" applyFill="1" applyAlignment="1" applyProtection="1">
      <alignment horizontal="center" vertical="center"/>
      <protection locked="0"/>
    </xf>
    <xf numFmtId="37" fontId="40"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159" fillId="0" borderId="0" xfId="0" applyFont="1" applyAlignment="1">
      <alignment vertical="center"/>
    </xf>
    <xf numFmtId="0" fontId="159" fillId="0" borderId="0" xfId="30099" applyFont="1" applyAlignment="1">
      <alignment horizontal="left" vertical="top"/>
    </xf>
    <xf numFmtId="0" fontId="155" fillId="26" borderId="0" xfId="30099" applyFont="1" applyFill="1" applyAlignment="1">
      <alignment vertical="center" wrapText="1"/>
    </xf>
    <xf numFmtId="0" fontId="160" fillId="26" borderId="0" xfId="30099" applyFont="1" applyFill="1" applyAlignment="1">
      <alignment vertical="center" wrapText="1"/>
    </xf>
    <xf numFmtId="0" fontId="129" fillId="26" borderId="0" xfId="30099" applyFont="1" applyFill="1" applyAlignment="1">
      <alignment horizontal="left" vertical="center" wrapText="1"/>
    </xf>
    <xf numFmtId="0" fontId="161" fillId="0" borderId="0" xfId="0" applyFont="1"/>
    <xf numFmtId="0" fontId="135" fillId="26" borderId="0" xfId="30100" applyNumberFormat="1" applyFont="1" applyFill="1" applyBorder="1" applyAlignment="1">
      <alignment horizontal="center" vertical="center"/>
    </xf>
    <xf numFmtId="164" fontId="135"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0" xfId="0" applyFill="1" applyAlignment="1">
      <alignment horizontal="center"/>
    </xf>
    <xf numFmtId="0" fontId="55"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40" fillId="0" borderId="26"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43" xfId="0" applyFont="1" applyFill="1" applyBorder="1" applyAlignment="1">
      <alignment horizontal="center" vertical="center"/>
    </xf>
    <xf numFmtId="0" fontId="61" fillId="0" borderId="25" xfId="0" applyFont="1" applyFill="1" applyBorder="1" applyAlignment="1">
      <alignment horizontal="center" vertical="center"/>
    </xf>
    <xf numFmtId="0" fontId="51" fillId="0" borderId="25" xfId="0" applyFont="1" applyFill="1" applyBorder="1" applyAlignment="1">
      <alignment horizontal="center" vertical="center" wrapText="1"/>
    </xf>
    <xf numFmtId="0" fontId="60" fillId="0" borderId="25" xfId="0" applyFont="1" applyFill="1" applyBorder="1" applyAlignment="1">
      <alignment horizontal="center" vertical="center"/>
    </xf>
    <xf numFmtId="0" fontId="40" fillId="0" borderId="63" xfId="0" applyFont="1" applyFill="1" applyBorder="1" applyAlignment="1">
      <alignment horizontal="center" vertical="center"/>
    </xf>
    <xf numFmtId="0" fontId="71" fillId="0" borderId="0" xfId="0" applyFont="1" applyFill="1"/>
    <xf numFmtId="0" fontId="40" fillId="0" borderId="0" xfId="0" applyFont="1" applyFill="1" applyBorder="1" applyAlignment="1">
      <alignment horizontal="center" vertical="center"/>
    </xf>
    <xf numFmtId="0" fontId="54" fillId="0" borderId="30" xfId="0" applyNumberFormat="1" applyFont="1" applyFill="1" applyBorder="1" applyAlignment="1" applyProtection="1">
      <alignment horizontal="left" vertical="center" wrapText="1"/>
    </xf>
    <xf numFmtId="39" fontId="59" fillId="0" borderId="45" xfId="439" applyNumberFormat="1" applyFont="1" applyFill="1" applyBorder="1" applyAlignment="1" applyProtection="1">
      <alignment horizontal="center" vertical="center" wrapText="1"/>
    </xf>
    <xf numFmtId="0" fontId="64" fillId="0" borderId="0" xfId="0" applyNumberFormat="1" applyFont="1" applyFill="1" applyAlignment="1" applyProtection="1">
      <alignment horizontal="left" vertical="center" wrapText="1"/>
    </xf>
    <xf numFmtId="0" fontId="42" fillId="34" borderId="23" xfId="0" applyNumberFormat="1" applyFont="1" applyFill="1" applyBorder="1" applyAlignment="1" applyProtection="1">
      <alignment horizontal="left" vertical="center" wrapText="1"/>
    </xf>
    <xf numFmtId="0" fontId="59" fillId="34" borderId="25" xfId="0" applyNumberFormat="1" applyFont="1" applyFill="1" applyBorder="1" applyAlignment="1" applyProtection="1">
      <alignment horizontal="left" vertical="center" wrapText="1"/>
    </xf>
    <xf numFmtId="0" fontId="40" fillId="34" borderId="24" xfId="0" applyNumberFormat="1" applyFont="1" applyFill="1" applyBorder="1" applyAlignment="1" applyProtection="1">
      <alignment horizontal="center" vertical="center"/>
    </xf>
    <xf numFmtId="180" fontId="59"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40" fillId="0" borderId="45" xfId="439" applyNumberFormat="1" applyFont="1" applyFill="1" applyBorder="1" applyAlignment="1" applyProtection="1">
      <alignment horizontal="center" vertical="center" wrapText="1"/>
    </xf>
    <xf numFmtId="0" fontId="64" fillId="0" borderId="45" xfId="0" applyNumberFormat="1" applyFont="1" applyFill="1" applyBorder="1" applyAlignment="1" applyProtection="1">
      <alignment horizontal="left" vertical="center" wrapText="1"/>
    </xf>
    <xf numFmtId="0" fontId="59" fillId="0" borderId="28" xfId="0" applyNumberFormat="1" applyFont="1" applyFill="1" applyBorder="1" applyAlignment="1" applyProtection="1">
      <alignment horizontal="left" vertical="center" wrapText="1"/>
    </xf>
    <xf numFmtId="0" fontId="54" fillId="0" borderId="45" xfId="0" applyNumberFormat="1" applyFont="1" applyFill="1" applyBorder="1" applyAlignment="1" applyProtection="1">
      <alignment horizontal="left" vertical="center" wrapText="1"/>
    </xf>
    <xf numFmtId="0" fontId="40" fillId="0" borderId="45" xfId="0" applyNumberFormat="1" applyFont="1" applyFill="1" applyBorder="1" applyAlignment="1" applyProtection="1">
      <alignment horizontal="center" vertical="center"/>
    </xf>
    <xf numFmtId="164" fontId="59" fillId="0" borderId="45" xfId="439" applyNumberFormat="1" applyFont="1" applyFill="1" applyBorder="1" applyAlignment="1" applyProtection="1">
      <alignment horizontal="center" vertical="center" wrapText="1"/>
    </xf>
    <xf numFmtId="41" fontId="43"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40" fillId="0" borderId="25" xfId="0" applyNumberFormat="1" applyFont="1" applyFill="1" applyBorder="1" applyAlignment="1" applyProtection="1">
      <alignment horizontal="center" vertical="center"/>
    </xf>
    <xf numFmtId="164" fontId="59" fillId="0" borderId="29" xfId="439" applyNumberFormat="1" applyFont="1" applyFill="1" applyBorder="1" applyAlignment="1" applyProtection="1">
      <alignment horizontal="center" vertical="center" wrapText="1"/>
    </xf>
    <xf numFmtId="164" fontId="59" fillId="0" borderId="23" xfId="439" applyNumberFormat="1" applyFont="1" applyFill="1" applyBorder="1" applyAlignment="1" applyProtection="1">
      <alignment horizontal="center" vertical="center" wrapText="1"/>
    </xf>
    <xf numFmtId="0" fontId="59" fillId="0" borderId="23" xfId="0" applyNumberFormat="1" applyFont="1" applyFill="1" applyBorder="1" applyAlignment="1" applyProtection="1">
      <alignment horizontal="left" vertical="center" wrapText="1"/>
    </xf>
    <xf numFmtId="39" fontId="59" fillId="0" borderId="28" xfId="439" applyNumberFormat="1" applyFont="1" applyFill="1" applyBorder="1" applyAlignment="1" applyProtection="1">
      <alignment horizontal="center" vertical="center" wrapText="1"/>
    </xf>
    <xf numFmtId="164" fontId="59"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9" fillId="34" borderId="23" xfId="0" applyNumberFormat="1" applyFont="1" applyFill="1" applyBorder="1" applyAlignment="1" applyProtection="1">
      <alignment horizontal="left" vertical="center" wrapText="1"/>
    </xf>
    <xf numFmtId="164" fontId="59" fillId="29" borderId="23" xfId="439" applyNumberFormat="1" applyFont="1" applyFill="1" applyBorder="1" applyAlignment="1" applyProtection="1">
      <alignment horizontal="center" vertical="center" wrapText="1"/>
      <protection locked="0"/>
    </xf>
    <xf numFmtId="3" fontId="59" fillId="0" borderId="23" xfId="439" applyNumberFormat="1" applyFont="1" applyFill="1" applyBorder="1" applyAlignment="1" applyProtection="1">
      <alignment horizontal="center" vertical="center" wrapText="1"/>
    </xf>
    <xf numFmtId="3" fontId="59" fillId="34" borderId="23" xfId="439" applyNumberFormat="1" applyFont="1" applyFill="1" applyBorder="1" applyAlignment="1" applyProtection="1">
      <alignment horizontal="center" vertical="center" wrapText="1"/>
    </xf>
    <xf numFmtId="0" fontId="59" fillId="22" borderId="23" xfId="439" applyNumberFormat="1" applyFont="1" applyFill="1" applyBorder="1" applyAlignment="1" applyProtection="1">
      <alignment horizontal="center" vertical="center" wrapText="1"/>
      <protection locked="0"/>
    </xf>
    <xf numFmtId="164" fontId="59" fillId="29" borderId="0" xfId="439" applyNumberFormat="1" applyFont="1" applyFill="1" applyBorder="1" applyAlignment="1" applyProtection="1">
      <alignment horizontal="center" vertical="center" wrapText="1"/>
      <protection locked="0"/>
    </xf>
    <xf numFmtId="37" fontId="40" fillId="0" borderId="0" xfId="439"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3" fontId="59" fillId="0" borderId="45" xfId="439" applyNumberFormat="1" applyFont="1" applyFill="1" applyBorder="1" applyAlignment="1" applyProtection="1">
      <alignment horizontal="center" vertical="center" wrapText="1"/>
    </xf>
    <xf numFmtId="0" fontId="59"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40" fillId="34" borderId="25" xfId="0" applyNumberFormat="1" applyFont="1" applyFill="1" applyBorder="1" applyAlignment="1" applyProtection="1">
      <alignment horizontal="center" vertical="center"/>
    </xf>
    <xf numFmtId="182" fontId="40"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9" fillId="78" borderId="25" xfId="0" applyNumberFormat="1" applyFont="1" applyFill="1" applyBorder="1" applyAlignment="1" applyProtection="1">
      <alignment horizontal="left" vertical="center" wrapText="1"/>
    </xf>
    <xf numFmtId="0" fontId="59" fillId="78" borderId="23" xfId="0" applyNumberFormat="1" applyFont="1" applyFill="1" applyBorder="1" applyAlignment="1" applyProtection="1">
      <alignment horizontal="left" vertical="center" wrapText="1"/>
    </xf>
    <xf numFmtId="0" fontId="40" fillId="78" borderId="43" xfId="0" applyNumberFormat="1" applyFont="1" applyFill="1" applyBorder="1" applyAlignment="1" applyProtection="1">
      <alignment horizontal="center" vertical="center"/>
    </xf>
    <xf numFmtId="0" fontId="40"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40"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1" fillId="0" borderId="0" xfId="0" applyFont="1" applyAlignment="1" applyProtection="1">
      <alignment wrapText="1"/>
      <protection locked="0"/>
    </xf>
    <xf numFmtId="3" fontId="40" fillId="0" borderId="0" xfId="439" applyNumberFormat="1" applyFont="1" applyFill="1" applyAlignment="1" applyProtection="1">
      <alignment horizontal="center" vertical="center" wrapText="1"/>
    </xf>
    <xf numFmtId="164" fontId="46" fillId="0" borderId="0" xfId="439" applyNumberFormat="1" applyFont="1" applyFill="1" applyAlignment="1" applyProtection="1">
      <alignment horizontal="center" vertical="center" wrapText="1"/>
    </xf>
    <xf numFmtId="183" fontId="46" fillId="0" borderId="0" xfId="439" applyNumberFormat="1" applyFont="1" applyFill="1" applyAlignment="1" applyProtection="1">
      <alignment horizontal="center" vertical="center" wrapText="1"/>
    </xf>
    <xf numFmtId="167" fontId="0" fillId="0" borderId="85" xfId="545" applyNumberFormat="1" applyFont="1" applyFill="1" applyBorder="1" applyAlignment="1">
      <alignment horizontal="center"/>
    </xf>
    <xf numFmtId="10" fontId="0" fillId="0" borderId="94" xfId="4688" applyNumberFormat="1" applyFont="1" applyFill="1" applyBorder="1" applyAlignment="1">
      <alignment horizontal="center"/>
    </xf>
    <xf numFmtId="164" fontId="51" fillId="0" borderId="0" xfId="0" applyNumberFormat="1" applyFont="1" applyFill="1" applyAlignment="1" applyProtection="1">
      <alignment wrapText="1"/>
    </xf>
    <xf numFmtId="0" fontId="129" fillId="26" borderId="0" xfId="30099" applyFont="1" applyFill="1" applyAlignment="1">
      <alignment horizontal="left" vertical="top" wrapText="1"/>
    </xf>
    <xf numFmtId="164" fontId="51" fillId="78" borderId="10" xfId="0" applyNumberFormat="1" applyFont="1" applyFill="1" applyBorder="1" applyAlignment="1" applyProtection="1">
      <alignment horizontal="center" vertical="center" wrapText="1"/>
    </xf>
    <xf numFmtId="0" fontId="42" fillId="78" borderId="0" xfId="0" applyFont="1" applyFill="1" applyBorder="1" applyAlignment="1">
      <alignment wrapText="1"/>
    </xf>
    <xf numFmtId="0" fontId="40" fillId="78" borderId="63" xfId="0" applyNumberFormat="1" applyFont="1" applyFill="1" applyBorder="1" applyAlignment="1" applyProtection="1">
      <alignment horizontal="center" vertical="center"/>
    </xf>
    <xf numFmtId="0" fontId="42" fillId="78" borderId="23" xfId="0" applyNumberFormat="1" applyFont="1" applyFill="1" applyBorder="1" applyAlignment="1" applyProtection="1">
      <alignment horizontal="left" vertical="center" wrapText="1"/>
    </xf>
    <xf numFmtId="0" fontId="152" fillId="81" borderId="57" xfId="30099" applyFont="1" applyFill="1" applyBorder="1" applyAlignment="1" applyProtection="1">
      <alignment horizontal="center" vertical="center"/>
      <protection locked="0"/>
    </xf>
    <xf numFmtId="0" fontId="129" fillId="81" borderId="57" xfId="30099" applyFont="1" applyFill="1" applyBorder="1" applyAlignment="1" applyProtection="1">
      <alignment horizontal="center" vertical="center"/>
      <protection locked="0"/>
    </xf>
    <xf numFmtId="14" fontId="129" fillId="81" borderId="57" xfId="30099" applyNumberFormat="1" applyFont="1" applyFill="1" applyBorder="1" applyAlignment="1" applyProtection="1">
      <alignment horizontal="center" vertical="center"/>
      <protection locked="0"/>
    </xf>
    <xf numFmtId="164" fontId="135" fillId="26" borderId="0" xfId="30100" applyNumberFormat="1" applyFont="1" applyFill="1" applyBorder="1" applyAlignment="1"/>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40" fillId="78" borderId="105" xfId="0" applyFont="1" applyFill="1" applyBorder="1" applyAlignment="1">
      <alignment wrapText="1"/>
    </xf>
    <xf numFmtId="0" fontId="40"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40" fillId="78" borderId="105" xfId="0" applyFont="1" applyFill="1" applyBorder="1" applyAlignment="1">
      <alignment vertical="center" wrapText="1"/>
    </xf>
    <xf numFmtId="0" fontId="40"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164" fontId="0" fillId="0" borderId="0" xfId="439" applyNumberFormat="1" applyFont="1" applyFill="1"/>
    <xf numFmtId="172" fontId="0" fillId="0" borderId="0" xfId="439" applyNumberFormat="1" applyFont="1" applyFill="1"/>
    <xf numFmtId="184" fontId="0" fillId="0" borderId="0" xfId="439" applyNumberFormat="1" applyFont="1" applyFill="1"/>
    <xf numFmtId="43" fontId="0" fillId="0" borderId="0" xfId="439" applyNumberFormat="1" applyFont="1" applyFill="1"/>
    <xf numFmtId="38" fontId="0" fillId="0" borderId="0" xfId="0" applyNumberFormat="1" applyFont="1" applyFill="1"/>
    <xf numFmtId="40" fontId="0" fillId="0" borderId="0" xfId="0" applyNumberFormat="1" applyFont="1" applyFill="1"/>
    <xf numFmtId="0" fontId="34" fillId="0" borderId="0" xfId="0" applyFont="1" applyProtection="1"/>
    <xf numFmtId="0" fontId="60" fillId="0" borderId="0" xfId="26000" applyFont="1" applyProtection="1"/>
    <xf numFmtId="0" fontId="60" fillId="0" borderId="0" xfId="26000" applyFont="1" applyAlignment="1" applyProtection="1">
      <alignment horizontal="center" vertical="center"/>
    </xf>
    <xf numFmtId="0" fontId="46" fillId="0" borderId="0" xfId="26000" applyFont="1" applyProtection="1"/>
    <xf numFmtId="0" fontId="46" fillId="0" borderId="0" xfId="26000" applyFont="1" applyFill="1" applyProtection="1"/>
    <xf numFmtId="0" fontId="46" fillId="0" borderId="0" xfId="26000" applyFont="1" applyAlignment="1" applyProtection="1">
      <alignment horizontal="center"/>
    </xf>
    <xf numFmtId="0" fontId="60" fillId="0" borderId="0" xfId="26000" applyFont="1" applyAlignment="1" applyProtection="1">
      <alignment horizontal="left"/>
    </xf>
    <xf numFmtId="0" fontId="60" fillId="84" borderId="0" xfId="26000" applyFont="1" applyFill="1" applyProtection="1"/>
    <xf numFmtId="0" fontId="46" fillId="84" borderId="0" xfId="26000" applyFont="1" applyFill="1" applyProtection="1"/>
    <xf numFmtId="0" fontId="164" fillId="0" borderId="57" xfId="26000" applyFont="1" applyBorder="1" applyProtection="1"/>
    <xf numFmtId="9" fontId="60" fillId="0" borderId="0" xfId="26000" applyNumberFormat="1" applyFont="1" applyAlignment="1" applyProtection="1">
      <alignment horizontal="center"/>
    </xf>
    <xf numFmtId="38" fontId="46" fillId="83" borderId="0" xfId="29549" applyNumberFormat="1" applyFont="1" applyFill="1" applyProtection="1"/>
    <xf numFmtId="38" fontId="46" fillId="0" borderId="0" xfId="29549" applyNumberFormat="1" applyFont="1" applyFill="1" applyProtection="1"/>
    <xf numFmtId="164" fontId="46" fillId="0" borderId="57" xfId="29549" applyNumberFormat="1" applyFont="1" applyBorder="1" applyProtection="1"/>
    <xf numFmtId="164" fontId="46" fillId="0" borderId="0" xfId="29549" applyNumberFormat="1" applyFont="1" applyFill="1" applyBorder="1" applyProtection="1"/>
    <xf numFmtId="38" fontId="46" fillId="83" borderId="0" xfId="26000" applyNumberFormat="1" applyFont="1" applyFill="1" applyProtection="1"/>
    <xf numFmtId="38" fontId="46" fillId="0" borderId="0" xfId="26000" applyNumberFormat="1" applyFont="1" applyProtection="1"/>
    <xf numFmtId="0" fontId="46" fillId="0" borderId="0" xfId="26000" applyFont="1" applyAlignment="1" applyProtection="1">
      <alignment wrapText="1"/>
    </xf>
    <xf numFmtId="43" fontId="46" fillId="83" borderId="57" xfId="29549" applyFont="1" applyFill="1" applyBorder="1" applyAlignment="1" applyProtection="1">
      <alignment horizontal="left"/>
    </xf>
    <xf numFmtId="164" fontId="46" fillId="0" borderId="0" xfId="29549" applyNumberFormat="1" applyFont="1" applyFill="1" applyBorder="1" applyAlignment="1" applyProtection="1">
      <alignment horizontal="left"/>
    </xf>
    <xf numFmtId="172" fontId="46" fillId="0" borderId="0" xfId="29549" applyNumberFormat="1" applyFont="1" applyFill="1" applyBorder="1" applyAlignment="1" applyProtection="1">
      <alignment horizontal="left"/>
    </xf>
    <xf numFmtId="0" fontId="60" fillId="0" borderId="0" xfId="26000" applyFont="1" applyAlignment="1" applyProtection="1">
      <alignment wrapText="1"/>
    </xf>
    <xf numFmtId="164" fontId="46" fillId="83" borderId="57" xfId="29549" applyNumberFormat="1" applyFont="1" applyFill="1" applyBorder="1" applyProtection="1"/>
    <xf numFmtId="164" fontId="46" fillId="0" borderId="57" xfId="29549" applyNumberFormat="1" applyFont="1" applyFill="1" applyBorder="1" applyProtection="1"/>
    <xf numFmtId="40" fontId="46" fillId="83" borderId="0" xfId="26000" applyNumberFormat="1" applyFont="1" applyFill="1" applyProtection="1"/>
    <xf numFmtId="0" fontId="165" fillId="0" borderId="0" xfId="26000" applyFont="1" applyAlignment="1" applyProtection="1">
      <alignment horizontal="right"/>
    </xf>
    <xf numFmtId="164" fontId="46" fillId="0" borderId="0" xfId="29549" applyNumberFormat="1" applyFont="1" applyBorder="1" applyProtection="1"/>
    <xf numFmtId="164" fontId="46" fillId="0" borderId="0" xfId="26000" applyNumberFormat="1" applyFont="1" applyProtection="1"/>
    <xf numFmtId="38" fontId="46" fillId="0" borderId="0" xfId="29549" applyNumberFormat="1" applyFont="1" applyBorder="1" applyProtection="1"/>
    <xf numFmtId="0" fontId="165" fillId="0" borderId="0" xfId="26000" applyFont="1" applyProtection="1"/>
    <xf numFmtId="43" fontId="46" fillId="0" borderId="0" xfId="26000" applyNumberFormat="1" applyFont="1" applyProtection="1"/>
    <xf numFmtId="164" fontId="60" fillId="0" borderId="57" xfId="26000" applyNumberFormat="1" applyFont="1" applyBorder="1" applyProtection="1"/>
    <xf numFmtId="0" fontId="60" fillId="0" borderId="0" xfId="26000" applyFont="1" applyAlignment="1" applyProtection="1">
      <alignment horizontal="center"/>
    </xf>
    <xf numFmtId="0" fontId="60" fillId="0" borderId="70" xfId="26000" applyFont="1" applyBorder="1" applyAlignment="1" applyProtection="1">
      <alignment horizontal="right" vertical="top" wrapText="1"/>
    </xf>
    <xf numFmtId="164" fontId="60" fillId="0" borderId="72" xfId="29549" applyNumberFormat="1" applyFont="1" applyBorder="1" applyProtection="1"/>
    <xf numFmtId="167" fontId="46" fillId="0" borderId="0" xfId="29549" applyNumberFormat="1" applyFont="1" applyProtection="1"/>
    <xf numFmtId="43" fontId="60" fillId="0" borderId="70" xfId="29549" applyFont="1" applyBorder="1" applyProtection="1"/>
    <xf numFmtId="43" fontId="46" fillId="0" borderId="72" xfId="29549" applyFont="1" applyBorder="1" applyAlignment="1" applyProtection="1">
      <alignment horizontal="right"/>
    </xf>
    <xf numFmtId="0" fontId="46" fillId="0" borderId="0" xfId="26000" applyFont="1" applyBorder="1" applyAlignment="1" applyProtection="1">
      <alignment vertical="top"/>
    </xf>
    <xf numFmtId="0" fontId="165" fillId="0" borderId="0" xfId="26000" applyFont="1" applyAlignment="1" applyProtection="1">
      <alignment vertical="top" wrapText="1"/>
    </xf>
    <xf numFmtId="38" fontId="54" fillId="26" borderId="0" xfId="682" applyNumberFormat="1" applyFont="1" applyFill="1"/>
    <xf numFmtId="0" fontId="40" fillId="0" borderId="0" xfId="682" applyFont="1" applyFill="1" applyAlignment="1">
      <alignment wrapText="1"/>
    </xf>
    <xf numFmtId="0" fontId="0" fillId="0" borderId="0" xfId="682" applyFont="1"/>
    <xf numFmtId="0" fontId="166" fillId="26" borderId="0" xfId="682" applyFont="1" applyFill="1"/>
    <xf numFmtId="0" fontId="0" fillId="26" borderId="0" xfId="682" applyFont="1" applyFill="1"/>
    <xf numFmtId="0" fontId="51" fillId="0" borderId="17" xfId="682" applyFont="1" applyBorder="1" applyAlignment="1">
      <alignment horizontal="center"/>
    </xf>
    <xf numFmtId="0" fontId="167" fillId="0" borderId="0" xfId="682" applyFont="1"/>
    <xf numFmtId="0" fontId="167" fillId="0" borderId="0" xfId="682" applyFont="1" applyAlignment="1">
      <alignment vertical="center"/>
    </xf>
    <xf numFmtId="0" fontId="51" fillId="0" borderId="14" xfId="682" applyFont="1" applyBorder="1" applyAlignment="1">
      <alignment horizontal="center" vertical="center" wrapText="1"/>
    </xf>
    <xf numFmtId="0" fontId="168" fillId="0" borderId="0" xfId="682" applyFont="1"/>
    <xf numFmtId="0" fontId="54" fillId="0" borderId="0" xfId="682" applyFont="1"/>
    <xf numFmtId="167" fontId="169" fillId="26" borderId="0" xfId="546" applyNumberFormat="1" applyFont="1" applyFill="1"/>
    <xf numFmtId="167" fontId="54" fillId="0" borderId="0" xfId="546" applyNumberFormat="1" applyFont="1"/>
    <xf numFmtId="38" fontId="169" fillId="26" borderId="0" xfId="682" applyNumberFormat="1" applyFont="1" applyFill="1"/>
    <xf numFmtId="38" fontId="54" fillId="0" borderId="0" xfId="682" applyNumberFormat="1" applyFont="1"/>
    <xf numFmtId="38" fontId="0" fillId="26" borderId="0" xfId="682" applyNumberFormat="1" applyFont="1" applyFill="1"/>
    <xf numFmtId="38" fontId="54" fillId="26" borderId="17" xfId="449" applyNumberFormat="1" applyFont="1" applyFill="1" applyBorder="1"/>
    <xf numFmtId="38" fontId="54" fillId="0" borderId="0" xfId="449" applyNumberFormat="1" applyFont="1"/>
    <xf numFmtId="0" fontId="51" fillId="27" borderId="0" xfId="682" applyFont="1" applyFill="1"/>
    <xf numFmtId="0" fontId="0" fillId="27" borderId="0" xfId="682" applyFont="1" applyFill="1"/>
    <xf numFmtId="0" fontId="54" fillId="27" borderId="0" xfId="682" applyFont="1" applyFill="1"/>
    <xf numFmtId="167" fontId="51" fillId="27" borderId="0" xfId="546" applyNumberFormat="1" applyFont="1" applyFill="1"/>
    <xf numFmtId="167" fontId="54" fillId="27" borderId="0" xfId="546" applyNumberFormat="1" applyFont="1" applyFill="1"/>
    <xf numFmtId="164" fontId="54" fillId="26" borderId="17" xfId="449" applyNumberFormat="1" applyFont="1" applyFill="1" applyBorder="1"/>
    <xf numFmtId="164" fontId="54" fillId="0" borderId="0" xfId="449" applyNumberFormat="1" applyFont="1"/>
    <xf numFmtId="0" fontId="168" fillId="0" borderId="0" xfId="682" applyFont="1" applyAlignment="1">
      <alignment vertical="center"/>
    </xf>
    <xf numFmtId="0" fontId="170" fillId="0" borderId="0" xfId="682" applyFont="1"/>
    <xf numFmtId="38" fontId="54" fillId="26" borderId="0" xfId="449" applyNumberFormat="1" applyFont="1" applyFill="1"/>
    <xf numFmtId="167" fontId="51" fillId="27" borderId="18" xfId="546" applyNumberFormat="1" applyFont="1" applyFill="1" applyBorder="1"/>
    <xf numFmtId="167" fontId="54" fillId="26" borderId="19" xfId="546" applyNumberFormat="1" applyFont="1" applyFill="1" applyBorder="1"/>
    <xf numFmtId="0" fontId="51" fillId="0" borderId="0" xfId="682" applyFont="1"/>
    <xf numFmtId="167" fontId="51" fillId="0" borderId="20" xfId="546" applyNumberFormat="1" applyFont="1" applyBorder="1"/>
    <xf numFmtId="0" fontId="51" fillId="0" borderId="0" xfId="682" applyFont="1" applyAlignment="1">
      <alignment horizontal="center"/>
    </xf>
    <xf numFmtId="167" fontId="169" fillId="0" borderId="0" xfId="546" applyNumberFormat="1" applyFont="1" applyFill="1"/>
    <xf numFmtId="38" fontId="169" fillId="26" borderId="0" xfId="0" applyNumberFormat="1" applyFont="1" applyFill="1"/>
    <xf numFmtId="38" fontId="169" fillId="0" borderId="0" xfId="449" applyNumberFormat="1" applyFont="1" applyFill="1"/>
    <xf numFmtId="38" fontId="169" fillId="26" borderId="17" xfId="0" applyNumberFormat="1" applyFont="1" applyFill="1" applyBorder="1"/>
    <xf numFmtId="38" fontId="169" fillId="0" borderId="17" xfId="449" applyNumberFormat="1" applyFont="1" applyFill="1" applyBorder="1"/>
    <xf numFmtId="167" fontId="54" fillId="0" borderId="19" xfId="546" applyNumberFormat="1" applyFont="1" applyBorder="1"/>
    <xf numFmtId="10" fontId="51" fillId="0" borderId="19" xfId="682" applyNumberFormat="1" applyFont="1" applyBorder="1"/>
    <xf numFmtId="0" fontId="0" fillId="0" borderId="82" xfId="0" applyFont="1" applyBorder="1"/>
    <xf numFmtId="0" fontId="40" fillId="78" borderId="78" xfId="0" applyFont="1" applyFill="1" applyBorder="1" applyAlignment="1">
      <alignment horizontal="left"/>
    </xf>
    <xf numFmtId="0" fontId="0" fillId="78" borderId="78" xfId="0" applyFont="1" applyFill="1" applyBorder="1"/>
    <xf numFmtId="0" fontId="40" fillId="78" borderId="78" xfId="0" applyFont="1" applyFill="1" applyBorder="1"/>
    <xf numFmtId="0" fontId="0" fillId="78" borderId="81" xfId="0" applyFont="1" applyFill="1" applyBorder="1"/>
    <xf numFmtId="0" fontId="0" fillId="73" borderId="10" xfId="0" applyFont="1" applyFill="1" applyBorder="1" applyAlignment="1">
      <alignment horizontal="center" vertical="center" wrapText="1"/>
    </xf>
    <xf numFmtId="0" fontId="0" fillId="78" borderId="81" xfId="0" applyFont="1" applyFill="1" applyBorder="1" applyAlignment="1">
      <alignment wrapText="1"/>
    </xf>
    <xf numFmtId="0" fontId="0" fillId="0" borderId="82" xfId="0" applyFont="1" applyBorder="1" applyAlignment="1">
      <alignment wrapText="1"/>
    </xf>
    <xf numFmtId="1" fontId="0" fillId="0" borderId="82" xfId="0" applyNumberFormat="1" applyFont="1" applyBorder="1"/>
    <xf numFmtId="0" fontId="0" fillId="73" borderId="83" xfId="0" applyFont="1" applyFill="1" applyBorder="1" applyAlignment="1">
      <alignment horizontal="center" vertical="center" wrapText="1"/>
    </xf>
    <xf numFmtId="0" fontId="0" fillId="0" borderId="82" xfId="0" applyFont="1" applyBorder="1" applyAlignment="1">
      <alignment horizontal="center"/>
    </xf>
    <xf numFmtId="0" fontId="0" fillId="0" borderId="81" xfId="0" applyFont="1" applyBorder="1"/>
    <xf numFmtId="0" fontId="172" fillId="78" borderId="99" xfId="0" applyFont="1" applyFill="1" applyBorder="1" applyAlignment="1">
      <alignment wrapText="1"/>
    </xf>
    <xf numFmtId="37" fontId="0" fillId="0" borderId="0" xfId="0" applyNumberFormat="1" applyFont="1" applyBorder="1"/>
    <xf numFmtId="0" fontId="0" fillId="0" borderId="85" xfId="0" applyNumberFormat="1" applyFont="1" applyBorder="1" applyAlignment="1">
      <alignment horizontal="center" wrapText="1"/>
    </xf>
    <xf numFmtId="10" fontId="0" fillId="0" borderId="82" xfId="0" applyNumberFormat="1" applyFont="1" applyBorder="1"/>
    <xf numFmtId="0" fontId="0" fillId="78" borderId="84" xfId="0" applyFont="1" applyFill="1" applyBorder="1"/>
    <xf numFmtId="0" fontId="0" fillId="78" borderId="84" xfId="0" applyFont="1" applyFill="1" applyBorder="1" applyAlignment="1">
      <alignment horizontal="center" wrapText="1"/>
    </xf>
    <xf numFmtId="0" fontId="0" fillId="78" borderId="84" xfId="0" applyFont="1" applyFill="1" applyBorder="1" applyAlignment="1">
      <alignment wrapText="1"/>
    </xf>
    <xf numFmtId="0" fontId="0" fillId="78" borderId="96" xfId="0" applyFont="1" applyFill="1" applyBorder="1" applyAlignment="1">
      <alignment horizontal="center" wrapText="1"/>
    </xf>
    <xf numFmtId="0" fontId="0" fillId="78" borderId="96" xfId="0" applyFont="1" applyFill="1" applyBorder="1"/>
    <xf numFmtId="2" fontId="0" fillId="0" borderId="82" xfId="0" applyNumberFormat="1" applyFont="1" applyBorder="1"/>
    <xf numFmtId="168" fontId="0" fillId="0" borderId="82" xfId="0" applyNumberFormat="1" applyFont="1" applyBorder="1"/>
    <xf numFmtId="2" fontId="0" fillId="80" borderId="86" xfId="0" applyNumberFormat="1" applyFont="1" applyFill="1" applyBorder="1"/>
    <xf numFmtId="0" fontId="0" fillId="78" borderId="91" xfId="0" applyFont="1" applyFill="1" applyBorder="1" applyAlignment="1">
      <alignment horizontal="center" wrapText="1"/>
    </xf>
    <xf numFmtId="0" fontId="0" fillId="78" borderId="91" xfId="0" applyFont="1" applyFill="1" applyBorder="1"/>
    <xf numFmtId="0" fontId="0" fillId="78" borderId="92" xfId="0" applyFont="1" applyFill="1" applyBorder="1"/>
    <xf numFmtId="39" fontId="0" fillId="0" borderId="82" xfId="0" applyNumberFormat="1" applyFont="1" applyBorder="1"/>
    <xf numFmtId="2" fontId="0" fillId="0" borderId="85" xfId="0" applyNumberFormat="1" applyFont="1" applyFill="1" applyBorder="1" applyAlignment="1">
      <alignment horizontal="center"/>
    </xf>
    <xf numFmtId="0" fontId="0" fillId="78" borderId="87" xfId="0" applyFont="1" applyFill="1" applyBorder="1"/>
    <xf numFmtId="0" fontId="0" fillId="78" borderId="87" xfId="0" applyFont="1" applyFill="1" applyBorder="1" applyAlignment="1">
      <alignment horizontal="center" wrapText="1"/>
    </xf>
    <xf numFmtId="0" fontId="0" fillId="78" borderId="87" xfId="0" applyFont="1" applyFill="1" applyBorder="1" applyAlignment="1">
      <alignment wrapText="1"/>
    </xf>
    <xf numFmtId="0" fontId="0" fillId="0" borderId="10" xfId="0" applyFont="1" applyFill="1" applyBorder="1"/>
    <xf numFmtId="0" fontId="0" fillId="0" borderId="10" xfId="0" applyFont="1" applyFill="1" applyBorder="1" applyProtection="1">
      <protection locked="0"/>
    </xf>
    <xf numFmtId="0" fontId="0" fillId="78" borderId="10" xfId="0" applyFont="1" applyFill="1" applyBorder="1" applyAlignment="1">
      <alignment wrapText="1"/>
    </xf>
    <xf numFmtId="0" fontId="0" fillId="78" borderId="104" xfId="0" applyFont="1" applyFill="1" applyBorder="1"/>
    <xf numFmtId="0" fontId="0" fillId="78" borderId="10" xfId="0" quotePrefix="1" applyFont="1" applyFill="1" applyBorder="1" applyAlignment="1">
      <alignment horizontal="center" wrapText="1"/>
    </xf>
    <xf numFmtId="0" fontId="0" fillId="0" borderId="97"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2" xfId="0" applyFont="1" applyFill="1" applyBorder="1" applyAlignment="1">
      <alignment wrapText="1"/>
    </xf>
    <xf numFmtId="0" fontId="0" fillId="0" borderId="98"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2"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0" fontId="40" fillId="0" borderId="78" xfId="0" applyFont="1" applyBorder="1" applyAlignment="1">
      <alignment vertical="center"/>
    </xf>
    <xf numFmtId="0" fontId="172" fillId="78" borderId="103" xfId="0" applyFont="1" applyFill="1" applyBorder="1" applyAlignment="1">
      <alignment wrapText="1"/>
    </xf>
    <xf numFmtId="0" fontId="40" fillId="0" borderId="90" xfId="0" applyFont="1" applyBorder="1" applyAlignment="1">
      <alignment vertical="center"/>
    </xf>
    <xf numFmtId="9" fontId="40" fillId="0" borderId="0" xfId="4688" applyFont="1" applyBorder="1" applyAlignment="1">
      <alignment horizontal="center" wrapText="1"/>
    </xf>
    <xf numFmtId="0" fontId="40" fillId="0" borderId="84" xfId="0" applyFont="1" applyBorder="1" applyAlignment="1">
      <alignment vertical="center"/>
    </xf>
    <xf numFmtId="0" fontId="40" fillId="0" borderId="0" xfId="0" applyFont="1" applyFill="1" applyBorder="1" applyAlignment="1">
      <alignment vertical="center"/>
    </xf>
    <xf numFmtId="0" fontId="40" fillId="0" borderId="87" xfId="0" applyFont="1" applyBorder="1" applyAlignment="1">
      <alignment vertical="center"/>
    </xf>
    <xf numFmtId="0" fontId="40" fillId="0" borderId="82" xfId="0" applyFont="1" applyBorder="1" applyAlignment="1">
      <alignment vertical="center"/>
    </xf>
    <xf numFmtId="0" fontId="162" fillId="73" borderId="92" xfId="0" applyFont="1" applyFill="1" applyBorder="1" applyAlignment="1">
      <alignment horizontal="center" vertical="center" wrapText="1"/>
    </xf>
    <xf numFmtId="0" fontId="40" fillId="78" borderId="12" xfId="0" applyFont="1" applyFill="1" applyBorder="1"/>
    <xf numFmtId="0" fontId="172" fillId="78" borderId="109" xfId="0" applyFont="1" applyFill="1" applyBorder="1" applyAlignment="1">
      <alignment wrapText="1"/>
    </xf>
    <xf numFmtId="0" fontId="40" fillId="78" borderId="12" xfId="0" applyFont="1" applyFill="1" applyBorder="1" applyAlignment="1">
      <alignment horizontal="center"/>
    </xf>
    <xf numFmtId="0" fontId="40" fillId="78" borderId="12" xfId="0" applyFont="1" applyFill="1" applyBorder="1" applyAlignment="1">
      <alignment horizontal="center" wrapText="1"/>
    </xf>
    <xf numFmtId="0" fontId="0" fillId="78" borderId="110" xfId="0" applyFont="1" applyFill="1" applyBorder="1"/>
    <xf numFmtId="0" fontId="0" fillId="78" borderId="10" xfId="0" applyFont="1" applyFill="1" applyBorder="1"/>
    <xf numFmtId="0" fontId="40" fillId="78" borderId="10" xfId="0" applyFont="1" applyFill="1" applyBorder="1" applyAlignment="1">
      <alignment horizontal="center"/>
    </xf>
    <xf numFmtId="0" fontId="40" fillId="78" borderId="10" xfId="0" applyFont="1" applyFill="1" applyBorder="1" applyAlignment="1">
      <alignment horizontal="center" wrapText="1"/>
    </xf>
    <xf numFmtId="0" fontId="162"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9"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9"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6"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3" fillId="76" borderId="62"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6"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3"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59"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7"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4"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4"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4" xfId="439" applyNumberFormat="1" applyFont="1" applyFill="1" applyBorder="1" applyAlignment="1" applyProtection="1">
      <alignment horizontal="center" vertical="center"/>
    </xf>
    <xf numFmtId="49" fontId="0" fillId="74" borderId="63" xfId="439" applyNumberFormat="1" applyFont="1" applyFill="1" applyBorder="1" applyAlignment="1" applyProtection="1">
      <alignment horizontal="center" vertical="center"/>
    </xf>
    <xf numFmtId="0" fontId="0" fillId="31" borderId="65" xfId="0" applyFont="1" applyFill="1" applyBorder="1"/>
    <xf numFmtId="49" fontId="0" fillId="31" borderId="0" xfId="0" applyNumberFormat="1" applyFont="1" applyFill="1" applyAlignment="1" applyProtection="1">
      <alignment horizontal="center"/>
    </xf>
    <xf numFmtId="41" fontId="0" fillId="0" borderId="65"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3"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3"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3" xfId="439" applyNumberFormat="1" applyFont="1" applyFill="1" applyBorder="1" applyAlignment="1" applyProtection="1">
      <alignment horizontal="center" vertical="center"/>
    </xf>
    <xf numFmtId="169" fontId="0" fillId="74" borderId="64"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59"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6"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6" fillId="0" borderId="0" xfId="439" applyNumberFormat="1" applyFont="1" applyFill="1" applyProtection="1"/>
    <xf numFmtId="38" fontId="46" fillId="0" borderId="45" xfId="439" applyNumberFormat="1" applyFont="1" applyFill="1" applyBorder="1" applyAlignment="1" applyProtection="1">
      <alignment horizontal="center" vertical="center" wrapText="1"/>
    </xf>
    <xf numFmtId="0" fontId="40" fillId="0" borderId="59" xfId="0" applyFont="1" applyFill="1" applyBorder="1" applyAlignment="1">
      <alignment vertical="center"/>
    </xf>
    <xf numFmtId="174" fontId="40" fillId="28" borderId="0" xfId="439" applyNumberFormat="1" applyFont="1" applyFill="1" applyAlignment="1" applyProtection="1">
      <alignment horizontal="center" vertical="center"/>
      <protection locked="0"/>
    </xf>
    <xf numFmtId="181" fontId="159" fillId="82" borderId="0" xfId="30099" applyNumberFormat="1" applyFont="1" applyFill="1" applyAlignment="1">
      <alignment horizontal="right" vertical="top" indent="1" shrinkToFit="1"/>
    </xf>
    <xf numFmtId="0" fontId="46" fillId="0" borderId="0" xfId="30099" applyFont="1" applyAlignment="1">
      <alignment horizontal="left" vertical="top" wrapText="1" indent="1"/>
    </xf>
    <xf numFmtId="1" fontId="159" fillId="0" borderId="0" xfId="30099" applyNumberFormat="1" applyFont="1" applyAlignment="1">
      <alignment horizontal="center" vertical="top" shrinkToFit="1"/>
    </xf>
    <xf numFmtId="0" fontId="46" fillId="0" borderId="0" xfId="0" applyNumberFormat="1" applyFont="1" applyFill="1" applyAlignment="1" applyProtection="1">
      <alignment horizontal="left" vertical="center" wrapText="1"/>
    </xf>
    <xf numFmtId="181" fontId="159" fillId="0" borderId="0" xfId="30099" applyNumberFormat="1" applyFont="1" applyFill="1" applyAlignment="1">
      <alignment horizontal="right" vertical="top" indent="1" shrinkToFit="1"/>
    </xf>
    <xf numFmtId="1" fontId="159" fillId="82" borderId="0" xfId="30099" applyNumberFormat="1" applyFont="1" applyFill="1" applyAlignment="1">
      <alignment horizontal="left" vertical="top" indent="3" shrinkToFit="1"/>
    </xf>
    <xf numFmtId="181" fontId="159" fillId="0" borderId="0" xfId="30099" applyNumberFormat="1" applyFont="1" applyAlignment="1">
      <alignment horizontal="right" vertical="top" indent="1" shrinkToFit="1"/>
    </xf>
    <xf numFmtId="1" fontId="159" fillId="0" borderId="0" xfId="30099" applyNumberFormat="1" applyFont="1" applyFill="1" applyAlignment="1">
      <alignment horizontal="left" vertical="top" indent="3" shrinkToFit="1"/>
    </xf>
    <xf numFmtId="0" fontId="46" fillId="0" borderId="0" xfId="30099" applyFont="1" applyFill="1" applyAlignment="1">
      <alignment horizontal="left" vertical="top" wrapText="1"/>
    </xf>
    <xf numFmtId="164" fontId="34" fillId="0" borderId="0" xfId="439" applyNumberFormat="1" applyFont="1"/>
    <xf numFmtId="0" fontId="46" fillId="0" borderId="0" xfId="30099" applyFont="1" applyAlignment="1">
      <alignment horizontal="left" vertical="top" wrapText="1" indent="2"/>
    </xf>
    <xf numFmtId="0" fontId="55" fillId="0" borderId="0" xfId="0" applyFont="1" applyFill="1" applyAlignment="1" applyProtection="1">
      <alignment horizontal="left" vertical="center" wrapText="1"/>
    </xf>
    <xf numFmtId="164" fontId="34" fillId="0" borderId="0" xfId="439" applyNumberFormat="1" applyFont="1" applyAlignment="1">
      <alignment horizontal="center" vertical="center" wrapText="1"/>
    </xf>
    <xf numFmtId="0" fontId="34" fillId="0" borderId="0" xfId="439" applyNumberFormat="1" applyFont="1" applyAlignment="1">
      <alignment horizontal="center" vertical="center"/>
    </xf>
    <xf numFmtId="0" fontId="0" fillId="0" borderId="32" xfId="0" applyFont="1" applyFill="1" applyBorder="1" applyAlignment="1">
      <alignment horizontal="center" wrapText="1"/>
    </xf>
    <xf numFmtId="1" fontId="159" fillId="0" borderId="0" xfId="30099" applyNumberFormat="1" applyFont="1" applyFill="1" applyAlignment="1">
      <alignment horizontal="center" vertical="top" shrinkToFit="1"/>
    </xf>
    <xf numFmtId="0" fontId="46" fillId="0" borderId="0" xfId="0" applyFont="1" applyFill="1" applyAlignment="1" applyProtection="1">
      <alignment horizontal="left" vertical="center" wrapText="1"/>
      <protection hidden="1"/>
    </xf>
    <xf numFmtId="0" fontId="46" fillId="0" borderId="0" xfId="30099" applyFont="1" applyAlignment="1">
      <alignment horizontal="left" vertical="top" wrapText="1"/>
    </xf>
    <xf numFmtId="0" fontId="46" fillId="0" borderId="61" xfId="0" applyFont="1" applyFill="1" applyBorder="1" applyAlignment="1">
      <alignment vertical="center" wrapText="1"/>
    </xf>
    <xf numFmtId="1" fontId="159" fillId="82" borderId="0" xfId="30099" applyNumberFormat="1" applyFont="1" applyFill="1" applyAlignment="1">
      <alignment horizontal="center" vertical="top" shrinkToFit="1"/>
    </xf>
    <xf numFmtId="1" fontId="159" fillId="0" borderId="0" xfId="30099" applyNumberFormat="1" applyFont="1" applyAlignment="1">
      <alignment horizontal="left" vertical="top" indent="3" shrinkToFit="1"/>
    </xf>
    <xf numFmtId="0" fontId="46" fillId="0" borderId="0" xfId="30099" applyFont="1" applyAlignment="1">
      <alignment horizontal="center" vertical="top" wrapText="1"/>
    </xf>
    <xf numFmtId="0" fontId="159" fillId="0" borderId="0" xfId="30099" applyFont="1" applyAlignment="1">
      <alignment horizontal="left" wrapText="1"/>
    </xf>
    <xf numFmtId="0" fontId="46" fillId="82" borderId="0" xfId="30099" applyFont="1" applyFill="1" applyAlignment="1">
      <alignment horizontal="left" vertical="top" wrapText="1" indent="1"/>
    </xf>
    <xf numFmtId="0" fontId="46" fillId="82" borderId="0" xfId="30099" applyFont="1" applyFill="1" applyAlignment="1">
      <alignment horizontal="left" vertical="top" wrapText="1" indent="2"/>
    </xf>
    <xf numFmtId="0" fontId="0" fillId="0" borderId="0" xfId="0" applyFont="1" applyAlignment="1">
      <alignment horizontal="center" vertical="center" wrapText="1"/>
    </xf>
    <xf numFmtId="0" fontId="72" fillId="0" borderId="45" xfId="0" applyNumberFormat="1" applyFont="1" applyFill="1" applyBorder="1" applyAlignment="1" applyProtection="1">
      <alignment horizontal="left" vertical="center" wrapText="1"/>
    </xf>
    <xf numFmtId="0" fontId="64" fillId="0" borderId="61"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40" fillId="0" borderId="0" xfId="0" applyFont="1" applyFill="1" applyAlignment="1" applyProtection="1">
      <alignment horizontal="right"/>
    </xf>
    <xf numFmtId="0" fontId="40"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40"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6" fillId="21" borderId="16" xfId="0" applyNumberFormat="1" applyFont="1" applyFill="1" applyBorder="1" applyProtection="1"/>
    <xf numFmtId="41" fontId="0" fillId="21" borderId="12" xfId="0" applyNumberFormat="1" applyFont="1" applyFill="1" applyBorder="1" applyAlignment="1" applyProtection="1">
      <alignment wrapText="1"/>
    </xf>
    <xf numFmtId="0" fontId="40" fillId="21" borderId="10" xfId="0" applyFont="1" applyFill="1" applyBorder="1" applyAlignment="1" applyProtection="1">
      <alignment horizontal="center" wrapText="1"/>
    </xf>
    <xf numFmtId="0" fontId="40" fillId="21" borderId="0" xfId="0" applyFont="1" applyFill="1" applyBorder="1" applyAlignment="1" applyProtection="1">
      <alignment horizontal="center"/>
    </xf>
    <xf numFmtId="164" fontId="72" fillId="21" borderId="12" xfId="439" applyNumberFormat="1" applyFont="1" applyFill="1" applyBorder="1" applyAlignment="1" applyProtection="1">
      <alignment horizontal="center" wrapText="1"/>
    </xf>
    <xf numFmtId="0" fontId="40" fillId="21" borderId="22" xfId="0" applyFont="1" applyFill="1" applyBorder="1" applyAlignment="1" applyProtection="1">
      <alignment horizontal="center" wrapText="1"/>
    </xf>
    <xf numFmtId="41" fontId="71" fillId="28" borderId="0" xfId="439" applyNumberFormat="1" applyFont="1" applyFill="1" applyAlignment="1" applyProtection="1">
      <alignment wrapText="1"/>
    </xf>
    <xf numFmtId="41" fontId="72"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1"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1"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1" fillId="0" borderId="0" xfId="0" applyNumberFormat="1" applyFont="1" applyFill="1" applyAlignment="1" applyProtection="1">
      <alignment wrapText="1"/>
    </xf>
    <xf numFmtId="41" fontId="72" fillId="0" borderId="0" xfId="0" applyNumberFormat="1" applyFont="1" applyFill="1" applyBorder="1" applyAlignment="1" applyProtection="1">
      <alignment wrapText="1"/>
      <protection locked="0"/>
    </xf>
    <xf numFmtId="0" fontId="71" fillId="0" borderId="0" xfId="0" applyFont="1" applyFill="1" applyProtection="1"/>
    <xf numFmtId="164" fontId="0" fillId="0" borderId="45" xfId="0" applyNumberFormat="1" applyFont="1" applyFill="1" applyBorder="1" applyAlignment="1" applyProtection="1">
      <alignment wrapText="1"/>
      <protection locked="0"/>
    </xf>
    <xf numFmtId="0" fontId="72" fillId="0" borderId="0" xfId="0" applyFont="1" applyFill="1" applyAlignment="1" applyProtection="1">
      <alignment wrapText="1"/>
    </xf>
    <xf numFmtId="0" fontId="40" fillId="0" borderId="0" xfId="0" applyFont="1" applyFill="1" applyAlignment="1" applyProtection="1">
      <alignment horizontal="center" vertical="center" wrapText="1"/>
    </xf>
    <xf numFmtId="0" fontId="72" fillId="0" borderId="0" xfId="0" applyFont="1" applyFill="1" applyAlignment="1" applyProtection="1">
      <alignment horizontal="left" wrapText="1" indent="2"/>
    </xf>
    <xf numFmtId="0" fontId="0" fillId="0" borderId="0" xfId="0" applyFont="1" applyBorder="1" applyAlignment="1" applyProtection="1">
      <alignment wrapText="1"/>
    </xf>
    <xf numFmtId="41" fontId="72" fillId="0" borderId="45" xfId="0" applyNumberFormat="1" applyFont="1" applyFill="1" applyBorder="1" applyAlignment="1" applyProtection="1">
      <alignment wrapText="1"/>
    </xf>
    <xf numFmtId="41" fontId="72" fillId="0" borderId="45" xfId="0" applyNumberFormat="1" applyFont="1" applyBorder="1" applyAlignment="1">
      <alignment wrapText="1"/>
    </xf>
    <xf numFmtId="41" fontId="72"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2"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40"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2" fillId="0" borderId="0" xfId="0" applyNumberFormat="1" applyFont="1" applyFill="1" applyAlignment="1" applyProtection="1">
      <alignment horizontal="center" wrapText="1"/>
    </xf>
    <xf numFmtId="0" fontId="4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1" fillId="0" borderId="0" xfId="439" applyNumberFormat="1" applyFont="1" applyFill="1" applyAlignment="1" applyProtection="1">
      <alignment vertical="center" wrapText="1"/>
    </xf>
    <xf numFmtId="39" fontId="71"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40"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40"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1" fillId="0" borderId="0" xfId="439" applyNumberFormat="1" applyFont="1" applyFill="1" applyAlignment="1" applyProtection="1">
      <alignment vertical="center" wrapText="1"/>
      <protection locked="0"/>
    </xf>
    <xf numFmtId="0" fontId="40" fillId="31" borderId="37" xfId="0" applyFont="1" applyFill="1" applyBorder="1" applyAlignment="1">
      <alignment horizontal="center" vertical="center" wrapText="1"/>
    </xf>
    <xf numFmtId="0" fontId="40" fillId="31" borderId="39" xfId="0" applyFont="1" applyFill="1" applyBorder="1" applyAlignment="1">
      <alignment horizontal="center" vertical="center" wrapText="1"/>
    </xf>
    <xf numFmtId="41" fontId="71"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6"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40"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80"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6" fillId="0" borderId="45" xfId="0" applyFont="1" applyFill="1" applyBorder="1" applyAlignment="1" applyProtection="1">
      <alignment wrapText="1"/>
    </xf>
    <xf numFmtId="0" fontId="180" fillId="0" borderId="0" xfId="0" applyFont="1" applyFill="1" applyAlignment="1" applyProtection="1">
      <alignment horizontal="left" vertical="center" wrapText="1"/>
    </xf>
    <xf numFmtId="0" fontId="64" fillId="0" borderId="36" xfId="0" applyNumberFormat="1" applyFont="1" applyFill="1" applyBorder="1" applyAlignment="1" applyProtection="1">
      <alignment horizontal="left" vertical="center" wrapText="1"/>
    </xf>
    <xf numFmtId="0" fontId="46" fillId="0" borderId="0" xfId="0" applyFont="1" applyFill="1" applyAlignment="1" applyProtection="1">
      <alignment wrapText="1"/>
    </xf>
    <xf numFmtId="0" fontId="64" fillId="0" borderId="0" xfId="0" applyFont="1" applyAlignment="1">
      <alignment wrapText="1"/>
    </xf>
    <xf numFmtId="0" fontId="46" fillId="0" borderId="45" xfId="0" applyFont="1" applyBorder="1" applyAlignment="1">
      <alignment horizontal="center" vertical="center" wrapText="1"/>
    </xf>
    <xf numFmtId="0" fontId="40"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6" fillId="0" borderId="0" xfId="0" applyFont="1" applyFill="1" applyAlignment="1" applyProtection="1">
      <alignment horizontal="center" vertical="center" wrapText="1"/>
    </xf>
    <xf numFmtId="0" fontId="46"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6" fillId="0" borderId="45" xfId="0" applyFont="1" applyFill="1" applyBorder="1" applyAlignment="1" applyProtection="1">
      <alignment horizontal="center" vertical="center" wrapText="1"/>
    </xf>
    <xf numFmtId="0" fontId="40"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6" fillId="34" borderId="0" xfId="0" applyFont="1" applyFill="1" applyAlignment="1" applyProtection="1">
      <alignment horizontal="center" vertical="center" wrapText="1"/>
    </xf>
    <xf numFmtId="0" fontId="64" fillId="0" borderId="0" xfId="0" applyFont="1" applyFill="1" applyAlignment="1" applyProtection="1">
      <alignment horizontal="center" vertical="center" wrapText="1"/>
    </xf>
    <xf numFmtId="3" fontId="187" fillId="0" borderId="0" xfId="1540" applyFont="1" applyFill="1" applyAlignment="1" applyProtection="1">
      <alignment vertical="center" wrapText="1"/>
    </xf>
    <xf numFmtId="0" fontId="60" fillId="0" borderId="0" xfId="30099" applyFont="1" applyFill="1" applyAlignment="1">
      <alignment horizontal="left" vertical="top" wrapText="1"/>
    </xf>
    <xf numFmtId="0" fontId="60"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38" fontId="0" fillId="0" borderId="0" xfId="0" applyNumberFormat="1" applyFont="1" applyProtection="1">
      <protection locked="0"/>
    </xf>
    <xf numFmtId="0" fontId="40" fillId="74" borderId="0" xfId="0" applyFont="1" applyFill="1" applyAlignment="1" applyProtection="1">
      <alignment horizontal="left" vertical="center" wrapText="1"/>
    </xf>
    <xf numFmtId="0" fontId="40" fillId="74" borderId="0" xfId="0" applyFont="1" applyFill="1" applyAlignment="1" applyProtection="1">
      <alignment vertical="center" wrapText="1"/>
    </xf>
    <xf numFmtId="0" fontId="40" fillId="74" borderId="0" xfId="0" applyFont="1" applyFill="1" applyAlignment="1" applyProtection="1">
      <alignment vertical="center"/>
    </xf>
    <xf numFmtId="0" fontId="40" fillId="74" borderId="0" xfId="0" applyFont="1" applyFill="1" applyAlignment="1" applyProtection="1"/>
    <xf numFmtId="0" fontId="0" fillId="74" borderId="0" xfId="0" applyFont="1" applyFill="1" applyAlignment="1" applyProtection="1"/>
    <xf numFmtId="0" fontId="40" fillId="74" borderId="0" xfId="0" applyFont="1" applyFill="1" applyAlignment="1" applyProtection="1">
      <alignment wrapText="1"/>
    </xf>
    <xf numFmtId="2" fontId="40" fillId="74" borderId="0" xfId="0" applyNumberFormat="1" applyFont="1" applyFill="1" applyAlignment="1" applyProtection="1">
      <alignment horizontal="center" vertical="center" wrapText="1"/>
      <protection locked="0"/>
    </xf>
    <xf numFmtId="0" fontId="72"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1" fillId="74" borderId="0" xfId="439" applyNumberFormat="1" applyFont="1" applyFill="1" applyAlignment="1" applyProtection="1">
      <alignment wrapText="1"/>
    </xf>
    <xf numFmtId="0" fontId="4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2" fillId="74" borderId="0" xfId="439" applyNumberFormat="1" applyFont="1" applyFill="1" applyAlignment="1" applyProtection="1">
      <alignment wrapText="1"/>
    </xf>
    <xf numFmtId="0" fontId="60" fillId="74" borderId="0" xfId="0" applyFont="1" applyFill="1" applyAlignment="1" applyProtection="1">
      <alignment horizontal="left" vertical="center"/>
    </xf>
    <xf numFmtId="0" fontId="46"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40" fillId="74" borderId="0" xfId="439" applyNumberFormat="1" applyFont="1" applyFill="1" applyAlignment="1" applyProtection="1">
      <alignment horizontal="center" vertical="center"/>
      <protection locked="0"/>
    </xf>
    <xf numFmtId="41" fontId="72" fillId="74" borderId="0" xfId="0" applyNumberFormat="1" applyFont="1" applyFill="1" applyAlignment="1" applyProtection="1">
      <alignment wrapText="1"/>
    </xf>
    <xf numFmtId="0" fontId="40" fillId="74" borderId="0" xfId="0" applyFont="1" applyFill="1" applyAlignment="1" applyProtection="1">
      <alignment horizontal="center" vertical="center"/>
      <protection locked="0"/>
    </xf>
    <xf numFmtId="0" fontId="72" fillId="74" borderId="0" xfId="0" applyFont="1" applyFill="1" applyAlignment="1" applyProtection="1"/>
    <xf numFmtId="0" fontId="40" fillId="74" borderId="0" xfId="0" applyFont="1" applyFill="1" applyAlignment="1" applyProtection="1">
      <alignment horizontal="center" vertical="center" wrapText="1"/>
      <protection locked="0"/>
    </xf>
    <xf numFmtId="0" fontId="72" fillId="74" borderId="0" xfId="0" applyFont="1" applyFill="1" applyAlignment="1" applyProtection="1">
      <alignment horizontal="left" wrapText="1" indent="2"/>
    </xf>
    <xf numFmtId="0" fontId="40"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40"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4" fillId="74" borderId="0" xfId="0" applyFont="1" applyFill="1" applyAlignment="1" applyProtection="1">
      <alignment horizontal="left" vertical="center"/>
    </xf>
    <xf numFmtId="3" fontId="40" fillId="74" borderId="0" xfId="0" applyNumberFormat="1" applyFont="1" applyFill="1" applyAlignment="1" applyProtection="1">
      <alignment horizontal="center" vertical="center"/>
      <protection locked="0"/>
    </xf>
    <xf numFmtId="3" fontId="40" fillId="74" borderId="0" xfId="0" applyNumberFormat="1" applyFont="1" applyFill="1" applyAlignment="1" applyProtection="1">
      <alignment horizontal="center" vertical="center" wrapText="1"/>
      <protection locked="0"/>
    </xf>
    <xf numFmtId="0" fontId="72" fillId="74" borderId="0" xfId="0" applyFont="1" applyFill="1" applyAlignment="1" applyProtection="1">
      <alignment vertical="center"/>
    </xf>
    <xf numFmtId="3" fontId="40" fillId="74" borderId="0" xfId="439" applyNumberFormat="1" applyFont="1" applyFill="1" applyAlignment="1" applyProtection="1">
      <alignment horizontal="center" vertical="center"/>
      <protection locked="0"/>
    </xf>
    <xf numFmtId="38" fontId="46"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40" fillId="74" borderId="0" xfId="0" applyNumberFormat="1" applyFont="1" applyFill="1" applyAlignment="1" applyProtection="1">
      <alignment wrapText="1"/>
    </xf>
    <xf numFmtId="164" fontId="40" fillId="74" borderId="0" xfId="439" applyNumberFormat="1" applyFont="1" applyFill="1" applyAlignment="1" applyProtection="1">
      <alignment horizontal="center" wrapText="1"/>
    </xf>
    <xf numFmtId="3" fontId="40" fillId="74" borderId="0" xfId="439" applyNumberFormat="1" applyFont="1" applyFill="1" applyAlignment="1" applyProtection="1">
      <alignment horizontal="center" vertical="center" wrapText="1"/>
    </xf>
    <xf numFmtId="41" fontId="71" fillId="74" borderId="0" xfId="0" applyNumberFormat="1" applyFont="1" applyFill="1" applyAlignment="1" applyProtection="1">
      <alignment wrapText="1"/>
    </xf>
    <xf numFmtId="3" fontId="40"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6" fillId="74" borderId="0" xfId="439" applyNumberFormat="1" applyFont="1" applyFill="1" applyProtection="1"/>
    <xf numFmtId="0" fontId="189"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40" fillId="74" borderId="0" xfId="0" applyNumberFormat="1" applyFont="1" applyFill="1" applyAlignment="1" applyProtection="1">
      <alignment horizontal="left" vertical="center"/>
    </xf>
    <xf numFmtId="0" fontId="72"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40"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90" fillId="74" borderId="0" xfId="0" applyFont="1" applyFill="1" applyAlignment="1" applyProtection="1">
      <alignment horizontal="left" vertical="center"/>
    </xf>
    <xf numFmtId="0" fontId="84" fillId="74" borderId="0" xfId="0" applyFont="1" applyFill="1" applyAlignment="1" applyProtection="1">
      <alignment vertical="center"/>
    </xf>
    <xf numFmtId="0" fontId="191" fillId="74" borderId="0" xfId="0" applyFont="1" applyFill="1" applyAlignment="1" applyProtection="1">
      <alignment vertical="center"/>
      <protection locked="0"/>
    </xf>
    <xf numFmtId="0" fontId="64" fillId="74" borderId="36" xfId="0" applyNumberFormat="1" applyFont="1" applyFill="1" applyBorder="1" applyAlignment="1" applyProtection="1">
      <alignment horizontal="left" vertical="center" wrapText="1"/>
    </xf>
    <xf numFmtId="0" fontId="55" fillId="74" borderId="0" xfId="0" applyNumberFormat="1" applyFont="1" applyFill="1" applyAlignment="1" applyProtection="1">
      <alignment horizontal="left" vertical="center" wrapText="1"/>
    </xf>
    <xf numFmtId="168" fontId="40" fillId="29" borderId="0" xfId="439" applyNumberFormat="1" applyFont="1" applyFill="1" applyAlignment="1" applyProtection="1">
      <alignment horizontal="center" vertical="center"/>
      <protection locked="0"/>
    </xf>
    <xf numFmtId="0" fontId="60" fillId="74" borderId="0" xfId="0" applyFont="1" applyFill="1" applyAlignment="1">
      <alignment vertical="center" wrapText="1"/>
    </xf>
    <xf numFmtId="41" fontId="72" fillId="36" borderId="112" xfId="439" applyNumberFormat="1" applyFont="1" applyFill="1" applyBorder="1" applyAlignment="1">
      <alignment vertical="center" wrapText="1"/>
    </xf>
    <xf numFmtId="41" fontId="72" fillId="36" borderId="0" xfId="439" applyNumberFormat="1" applyFont="1" applyFill="1" applyAlignment="1">
      <alignment vertical="center" wrapText="1"/>
    </xf>
    <xf numFmtId="41" fontId="72" fillId="36" borderId="113" xfId="439" applyNumberFormat="1" applyFont="1" applyFill="1" applyBorder="1" applyAlignment="1">
      <alignment vertical="center" wrapText="1"/>
    </xf>
    <xf numFmtId="41" fontId="192" fillId="0" borderId="0" xfId="0" applyNumberFormat="1" applyFont="1" applyFill="1" applyAlignment="1" applyProtection="1">
      <alignment wrapText="1"/>
    </xf>
    <xf numFmtId="0" fontId="60"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6" fillId="22" borderId="0" xfId="439" applyNumberFormat="1" applyFont="1" applyFill="1" applyAlignment="1" applyProtection="1">
      <alignment horizontal="center" vertical="center" wrapText="1"/>
    </xf>
    <xf numFmtId="167" fontId="0" fillId="80" borderId="86" xfId="545" applyNumberFormat="1" applyFont="1" applyFill="1" applyBorder="1"/>
    <xf numFmtId="37" fontId="0" fillId="0" borderId="102" xfId="0" applyNumberFormat="1" applyFont="1" applyFill="1" applyBorder="1" applyAlignment="1">
      <alignment horizontal="center" wrapText="1"/>
    </xf>
    <xf numFmtId="37" fontId="84" fillId="0" borderId="102" xfId="0" applyNumberFormat="1" applyFont="1" applyFill="1" applyBorder="1" applyAlignment="1">
      <alignment horizontal="center" wrapText="1"/>
    </xf>
    <xf numFmtId="41" fontId="72"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2"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5" xfId="0" applyNumberFormat="1" applyFont="1" applyFill="1" applyBorder="1" applyAlignment="1">
      <alignment horizontal="center" wrapText="1"/>
    </xf>
    <xf numFmtId="37" fontId="0" fillId="0" borderId="88" xfId="0" applyNumberFormat="1" applyFont="1" applyFill="1" applyBorder="1" applyAlignment="1">
      <alignment horizontal="center" wrapText="1"/>
    </xf>
    <xf numFmtId="10" fontId="0" fillId="0" borderId="94" xfId="0" applyNumberFormat="1" applyFont="1" applyFill="1" applyBorder="1" applyAlignment="1">
      <alignment horizontal="center" wrapText="1"/>
    </xf>
    <xf numFmtId="0" fontId="40" fillId="78" borderId="10" xfId="0" applyFont="1" applyFill="1" applyBorder="1" applyAlignment="1">
      <alignment wrapText="1"/>
    </xf>
    <xf numFmtId="0" fontId="40" fillId="78" borderId="114" xfId="0" applyFont="1" applyFill="1" applyBorder="1" applyAlignment="1">
      <alignment wrapText="1"/>
    </xf>
    <xf numFmtId="10" fontId="0" fillId="0" borderId="83" xfId="4688" applyNumberFormat="1" applyFont="1" applyFill="1" applyBorder="1"/>
    <xf numFmtId="10" fontId="0" fillId="0" borderId="83" xfId="0" applyNumberFormat="1" applyFont="1" applyFill="1" applyBorder="1" applyAlignment="1">
      <alignment horizontal="center" wrapText="1"/>
    </xf>
    <xf numFmtId="0" fontId="0" fillId="0" borderId="115"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6" fillId="0" borderId="0" xfId="439" applyNumberFormat="1" applyFont="1" applyFill="1" applyAlignment="1" applyProtection="1">
      <alignment horizontal="center" vertical="center" wrapText="1"/>
    </xf>
    <xf numFmtId="0" fontId="0" fillId="78" borderId="85" xfId="0" applyFont="1" applyFill="1" applyBorder="1" applyAlignment="1">
      <alignment vertical="center" wrapText="1"/>
    </xf>
    <xf numFmtId="0" fontId="0" fillId="78" borderId="95" xfId="0" applyFont="1" applyFill="1" applyBorder="1" applyAlignment="1">
      <alignment vertical="center" wrapText="1"/>
    </xf>
    <xf numFmtId="0" fontId="0" fillId="78" borderId="101" xfId="0" applyFont="1" applyFill="1" applyBorder="1" applyAlignment="1">
      <alignment vertical="center" wrapText="1"/>
    </xf>
    <xf numFmtId="0" fontId="0" fillId="78" borderId="94"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3" xfId="0" quotePrefix="1" applyFont="1" applyFill="1" applyBorder="1" applyAlignment="1">
      <alignment horizontal="center" vertical="center" wrapText="1"/>
    </xf>
    <xf numFmtId="0" fontId="0" fillId="78" borderId="83" xfId="0" applyFont="1" applyFill="1" applyBorder="1" applyAlignment="1">
      <alignment vertical="center" wrapText="1"/>
    </xf>
    <xf numFmtId="164" fontId="46" fillId="0" borderId="10" xfId="439" applyNumberFormat="1" applyFont="1" applyFill="1" applyBorder="1" applyAlignment="1">
      <alignment horizontal="center"/>
    </xf>
    <xf numFmtId="0" fontId="0" fillId="78" borderId="0" xfId="0" applyFont="1" applyFill="1" applyBorder="1" applyProtection="1">
      <protection locked="0"/>
    </xf>
    <xf numFmtId="0" fontId="172" fillId="78" borderId="116" xfId="0" applyFont="1" applyFill="1" applyBorder="1" applyAlignment="1">
      <alignment wrapText="1"/>
    </xf>
    <xf numFmtId="9" fontId="0" fillId="78" borderId="83" xfId="4688" applyFont="1" applyFill="1" applyBorder="1" applyAlignment="1">
      <alignment horizontal="center" wrapText="1"/>
    </xf>
    <xf numFmtId="0" fontId="0" fillId="78" borderId="94" xfId="0" applyFont="1" applyFill="1" applyBorder="1" applyAlignment="1">
      <alignment horizontal="center" vertical="center" wrapText="1"/>
    </xf>
    <xf numFmtId="37" fontId="0" fillId="78" borderId="102" xfId="0" applyNumberFormat="1" applyFont="1" applyFill="1" applyBorder="1" applyAlignment="1">
      <alignment horizontal="center" wrapText="1"/>
    </xf>
    <xf numFmtId="0" fontId="0" fillId="78" borderId="97" xfId="0" applyFont="1" applyFill="1" applyBorder="1" applyProtection="1">
      <protection locked="0"/>
    </xf>
    <xf numFmtId="43" fontId="0" fillId="0" borderId="10" xfId="439" applyNumberFormat="1" applyFont="1" applyFill="1" applyBorder="1" applyAlignment="1">
      <alignment horizontal="center"/>
    </xf>
    <xf numFmtId="43" fontId="46" fillId="0" borderId="10" xfId="439" applyNumberFormat="1" applyFont="1" applyFill="1" applyBorder="1" applyAlignment="1">
      <alignment horizontal="center"/>
    </xf>
    <xf numFmtId="0" fontId="134" fillId="78" borderId="15" xfId="30099" applyFont="1" applyFill="1" applyBorder="1" applyAlignment="1">
      <alignment horizontal="left" wrapText="1"/>
    </xf>
    <xf numFmtId="0" fontId="134" fillId="78" borderId="0" xfId="30099" applyFont="1" applyFill="1" applyAlignment="1">
      <alignment horizontal="left" wrapText="1"/>
    </xf>
    <xf numFmtId="0" fontId="134"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17" xfId="0" applyBorder="1"/>
    <xf numFmtId="0" fontId="0" fillId="0" borderId="81" xfId="0" applyBorder="1"/>
    <xf numFmtId="0" fontId="0" fillId="0" borderId="82" xfId="0" applyBorder="1"/>
    <xf numFmtId="0" fontId="0" fillId="0" borderId="120" xfId="0" applyBorder="1"/>
    <xf numFmtId="0" fontId="196" fillId="0" borderId="10" xfId="0" applyFont="1" applyBorder="1" applyAlignment="1">
      <alignment horizontal="center" vertical="center" wrapText="1"/>
    </xf>
    <xf numFmtId="0" fontId="0" fillId="0" borderId="74" xfId="0" applyBorder="1" applyAlignment="1">
      <alignment horizontal="center" wrapText="1"/>
    </xf>
    <xf numFmtId="1" fontId="0" fillId="0" borderId="0" xfId="0" applyNumberFormat="1"/>
    <xf numFmtId="0" fontId="196" fillId="0" borderId="83" xfId="0" applyFont="1" applyBorder="1" applyAlignment="1">
      <alignment horizontal="center" vertical="center" wrapText="1"/>
    </xf>
    <xf numFmtId="0" fontId="0" fillId="0" borderId="0" xfId="0" applyAlignment="1">
      <alignment horizontal="center" wrapText="1"/>
    </xf>
    <xf numFmtId="2" fontId="0" fillId="0" borderId="0" xfId="0" applyNumberFormat="1"/>
    <xf numFmtId="0" fontId="0" fillId="0" borderId="57" xfId="0" applyBorder="1" applyAlignment="1">
      <alignment horizontal="center" wrapText="1"/>
    </xf>
    <xf numFmtId="0" fontId="0" fillId="78" borderId="57" xfId="0" applyFill="1" applyBorder="1" applyAlignment="1">
      <alignment wrapText="1"/>
    </xf>
    <xf numFmtId="37" fontId="0" fillId="0" borderId="57" xfId="0" applyNumberFormat="1" applyBorder="1" applyAlignment="1">
      <alignment horizontal="center" wrapText="1"/>
    </xf>
    <xf numFmtId="0" fontId="0" fillId="78" borderId="84" xfId="0" applyFill="1" applyBorder="1"/>
    <xf numFmtId="0" fontId="40" fillId="78" borderId="89" xfId="0" applyFont="1" applyFill="1" applyBorder="1" applyAlignment="1">
      <alignment horizontal="center" wrapText="1"/>
    </xf>
    <xf numFmtId="0" fontId="40" fillId="78" borderId="70" xfId="0" applyFont="1" applyFill="1" applyBorder="1" applyAlignment="1">
      <alignment horizontal="center"/>
    </xf>
    <xf numFmtId="37" fontId="0" fillId="0" borderId="57" xfId="0" applyNumberFormat="1" applyBorder="1" applyAlignment="1">
      <alignment horizontal="center"/>
    </xf>
    <xf numFmtId="0" fontId="0" fillId="0" borderId="122" xfId="0" applyBorder="1"/>
    <xf numFmtId="0" fontId="0" fillId="85" borderId="57" xfId="0" applyFill="1" applyBorder="1" applyAlignment="1">
      <alignment horizontal="center" wrapText="1"/>
    </xf>
    <xf numFmtId="37" fontId="46" fillId="0" borderId="57" xfId="0" applyNumberFormat="1" applyFont="1" applyBorder="1" applyAlignment="1">
      <alignment horizontal="center"/>
    </xf>
    <xf numFmtId="37" fontId="46" fillId="0" borderId="57" xfId="0" applyNumberFormat="1" applyFont="1" applyBorder="1" applyAlignment="1">
      <alignment horizontal="center" wrapText="1"/>
    </xf>
    <xf numFmtId="0" fontId="0" fillId="0" borderId="87" xfId="0" applyBorder="1"/>
    <xf numFmtId="0" fontId="0" fillId="0" borderId="87" xfId="0" applyBorder="1" applyAlignment="1">
      <alignment wrapText="1"/>
    </xf>
    <xf numFmtId="0" fontId="0" fillId="0" borderId="82" xfId="0" applyBorder="1" applyAlignment="1">
      <alignment wrapText="1"/>
    </xf>
    <xf numFmtId="0" fontId="0" fillId="0" borderId="118" xfId="0" applyBorder="1"/>
    <xf numFmtId="0" fontId="38" fillId="78" borderId="57" xfId="0" applyFont="1" applyFill="1" applyBorder="1" applyAlignment="1">
      <alignment vertical="center" wrapText="1"/>
    </xf>
    <xf numFmtId="0" fontId="162" fillId="0" borderId="0" xfId="0" applyFont="1" applyFill="1" applyBorder="1" applyAlignment="1">
      <alignment vertical="center" wrapText="1"/>
    </xf>
    <xf numFmtId="0" fontId="0" fillId="0" borderId="119" xfId="0" applyBorder="1" applyAlignment="1">
      <alignment wrapText="1"/>
    </xf>
    <xf numFmtId="0" fontId="38" fillId="78" borderId="57" xfId="0" applyFont="1" applyFill="1" applyBorder="1" applyAlignment="1">
      <alignment horizontal="justify" vertical="center"/>
    </xf>
    <xf numFmtId="0" fontId="47" fillId="78" borderId="13" xfId="0" applyFont="1" applyFill="1" applyBorder="1" applyAlignment="1">
      <alignment vertical="center" wrapText="1"/>
    </xf>
    <xf numFmtId="0" fontId="0" fillId="0" borderId="57" xfId="0" applyFill="1" applyBorder="1" applyAlignment="1">
      <alignment horizontal="justify" vertical="center"/>
    </xf>
    <xf numFmtId="0" fontId="41" fillId="78" borderId="13" xfId="0" applyFont="1" applyFill="1" applyBorder="1" applyAlignment="1">
      <alignment horizontal="center" vertical="center"/>
    </xf>
    <xf numFmtId="0" fontId="47" fillId="78" borderId="123" xfId="0" applyFont="1" applyFill="1" applyBorder="1" applyAlignment="1">
      <alignment vertical="center" wrapText="1"/>
    </xf>
    <xf numFmtId="0" fontId="64" fillId="0" borderId="0" xfId="0" applyFont="1" applyFill="1" applyBorder="1" applyAlignment="1">
      <alignment vertical="center" wrapText="1"/>
    </xf>
    <xf numFmtId="0" fontId="0" fillId="0" borderId="0" xfId="0" applyNumberFormat="1" applyFont="1" applyFill="1" applyBorder="1" applyAlignment="1">
      <alignment horizontal="center"/>
    </xf>
    <xf numFmtId="3" fontId="0" fillId="0" borderId="0" xfId="0" applyNumberFormat="1"/>
    <xf numFmtId="4" fontId="0" fillId="0" borderId="0" xfId="0" applyNumberFormat="1"/>
    <xf numFmtId="43" fontId="0" fillId="0" borderId="0" xfId="1562" applyFont="1"/>
    <xf numFmtId="0" fontId="0" fillId="0" borderId="0" xfId="0"/>
    <xf numFmtId="1" fontId="197" fillId="0" borderId="0" xfId="31254" applyNumberFormat="1" applyFont="1" applyAlignment="1">
      <alignment horizontal="center" wrapText="1"/>
    </xf>
    <xf numFmtId="0" fontId="0" fillId="0" borderId="0" xfId="0" applyAlignment="1">
      <alignment horizontal="center"/>
    </xf>
    <xf numFmtId="0" fontId="42" fillId="0" borderId="0" xfId="0" applyFont="1" applyAlignment="1">
      <alignment wrapText="1"/>
    </xf>
    <xf numFmtId="166" fontId="42" fillId="0" borderId="0" xfId="0" applyNumberFormat="1" applyFont="1" applyAlignment="1">
      <alignment horizontal="center" vertical="center" wrapText="1"/>
    </xf>
    <xf numFmtId="0" fontId="0" fillId="0" borderId="0" xfId="0" applyAlignment="1">
      <alignment wrapText="1"/>
    </xf>
    <xf numFmtId="38" fontId="64" fillId="0" borderId="0" xfId="0" applyNumberFormat="1" applyFont="1"/>
    <xf numFmtId="0" fontId="71" fillId="0" borderId="0" xfId="0" applyFont="1" applyAlignment="1">
      <alignment wrapText="1"/>
    </xf>
    <xf numFmtId="0" fontId="40" fillId="0" borderId="0" xfId="683" applyFont="1" applyAlignment="1">
      <alignment horizontal="center" vertical="center"/>
    </xf>
    <xf numFmtId="0" fontId="198" fillId="24" borderId="0" xfId="31722" applyFill="1" applyAlignment="1">
      <alignment horizontal="left"/>
    </xf>
    <xf numFmtId="38" fontId="64" fillId="24" borderId="0" xfId="0" applyNumberFormat="1" applyFont="1" applyFill="1"/>
    <xf numFmtId="0" fontId="198" fillId="0" borderId="0" xfId="31722" applyAlignment="1">
      <alignment horizontal="left"/>
    </xf>
    <xf numFmtId="0" fontId="198" fillId="73" borderId="0" xfId="31722" applyFill="1" applyAlignment="1">
      <alignment horizontal="left" wrapText="1"/>
    </xf>
    <xf numFmtId="38" fontId="64" fillId="73" borderId="0" xfId="0" applyNumberFormat="1" applyFont="1" applyFill="1"/>
    <xf numFmtId="0" fontId="198" fillId="73" borderId="0" xfId="31722" applyFill="1" applyAlignment="1">
      <alignment horizontal="left"/>
    </xf>
    <xf numFmtId="0" fontId="40" fillId="0" borderId="0" xfId="705" applyFont="1" applyAlignment="1">
      <alignment horizontal="center" vertical="center"/>
    </xf>
    <xf numFmtId="0" fontId="61" fillId="75" borderId="0" xfId="31254" applyFont="1" applyFill="1" applyAlignment="1">
      <alignment horizontal="left" vertical="center" wrapText="1"/>
    </xf>
    <xf numFmtId="0" fontId="0" fillId="73" borderId="0" xfId="0" applyFill="1" applyAlignment="1">
      <alignment wrapText="1"/>
    </xf>
    <xf numFmtId="0" fontId="34" fillId="86" borderId="23" xfId="705" applyFill="1" applyBorder="1" applyAlignment="1">
      <alignment vertical="center" wrapText="1"/>
    </xf>
    <xf numFmtId="0" fontId="34" fillId="86" borderId="0" xfId="705" applyFill="1" applyAlignment="1">
      <alignment vertical="center" wrapText="1"/>
    </xf>
    <xf numFmtId="0" fontId="199" fillId="0" borderId="23" xfId="683" applyFont="1" applyBorder="1" applyAlignment="1">
      <alignment vertical="center" wrapText="1"/>
    </xf>
    <xf numFmtId="0" fontId="199" fillId="0" borderId="0" xfId="683" applyFont="1" applyAlignment="1">
      <alignment vertical="center" wrapText="1"/>
    </xf>
    <xf numFmtId="0" fontId="34" fillId="34" borderId="0" xfId="622" applyFill="1" applyAlignment="1">
      <alignment wrapText="1"/>
    </xf>
    <xf numFmtId="0" fontId="34" fillId="75" borderId="0" xfId="622" applyFill="1" applyAlignment="1">
      <alignment wrapText="1"/>
    </xf>
    <xf numFmtId="40" fontId="64" fillId="73" borderId="0" xfId="0" applyNumberFormat="1" applyFont="1" applyFill="1"/>
    <xf numFmtId="0" fontId="34" fillId="34" borderId="0" xfId="31723" applyFill="1" applyAlignment="1">
      <alignment wrapText="1"/>
    </xf>
    <xf numFmtId="0" fontId="34" fillId="23" borderId="0" xfId="31723" applyFill="1" applyAlignment="1">
      <alignment wrapText="1"/>
    </xf>
    <xf numFmtId="0" fontId="34" fillId="0" borderId="0" xfId="31723" applyAlignment="1">
      <alignment wrapText="1"/>
    </xf>
    <xf numFmtId="0" fontId="25" fillId="0" borderId="0" xfId="3627" applyFont="1" applyAlignment="1">
      <alignment horizontal="right" vertical="center" wrapText="1"/>
    </xf>
    <xf numFmtId="38" fontId="0" fillId="0" borderId="0" xfId="0" applyNumberFormat="1"/>
    <xf numFmtId="0" fontId="45" fillId="0" borderId="0" xfId="3627" applyFont="1" applyAlignment="1">
      <alignment wrapText="1"/>
    </xf>
    <xf numFmtId="38" fontId="64" fillId="0" borderId="0" xfId="0" applyNumberFormat="1" applyFont="1" applyAlignment="1">
      <alignment horizontal="right" vertical="center" wrapText="1"/>
    </xf>
    <xf numFmtId="0" fontId="35" fillId="0" borderId="0" xfId="3627"/>
    <xf numFmtId="0" fontId="114" fillId="0" borderId="0" xfId="0" applyFont="1"/>
    <xf numFmtId="10" fontId="0" fillId="0" borderId="0" xfId="0" applyNumberFormat="1"/>
    <xf numFmtId="164" fontId="35" fillId="0" borderId="0" xfId="3627" applyNumberFormat="1"/>
    <xf numFmtId="2" fontId="64" fillId="0" borderId="0" xfId="0" applyNumberFormat="1" applyFont="1" applyAlignment="1">
      <alignment horizontal="center" vertical="center"/>
    </xf>
    <xf numFmtId="0" fontId="25" fillId="0" borderId="0" xfId="3627" applyFont="1" applyAlignment="1">
      <alignment horizontal="left" vertical="center" wrapText="1"/>
    </xf>
    <xf numFmtId="0" fontId="0" fillId="0" borderId="0" xfId="0" applyAlignment="1">
      <alignment horizontal="center" vertical="center" wrapText="1"/>
    </xf>
    <xf numFmtId="164" fontId="64" fillId="0" borderId="0" xfId="440" applyNumberFormat="1" applyFont="1" applyFill="1" applyAlignment="1" applyProtection="1">
      <alignment horizontal="center" vertical="center"/>
    </xf>
    <xf numFmtId="40" fontId="0" fillId="0" borderId="0" xfId="0" applyNumberFormat="1"/>
    <xf numFmtId="0" fontId="34" fillId="86" borderId="28" xfId="705" applyFill="1" applyBorder="1" applyAlignment="1">
      <alignment vertical="center" wrapText="1"/>
    </xf>
    <xf numFmtId="0" fontId="0" fillId="86" borderId="23" xfId="705" applyFont="1" applyFill="1" applyBorder="1" applyAlignment="1">
      <alignment vertical="center" wrapText="1"/>
    </xf>
    <xf numFmtId="0" fontId="0" fillId="86" borderId="0" xfId="705" applyFont="1" applyFill="1" applyAlignment="1">
      <alignment vertical="center" wrapText="1"/>
    </xf>
    <xf numFmtId="0" fontId="0" fillId="87" borderId="0" xfId="0" applyFill="1"/>
    <xf numFmtId="40" fontId="0" fillId="87" borderId="0" xfId="0" applyNumberFormat="1" applyFill="1"/>
    <xf numFmtId="0" fontId="35" fillId="0" borderId="0" xfId="31254" applyAlignment="1">
      <alignment horizontal="center"/>
    </xf>
    <xf numFmtId="0" fontId="71" fillId="0" borderId="0" xfId="0" applyFont="1" applyAlignment="1">
      <alignment horizontal="center"/>
    </xf>
    <xf numFmtId="0" fontId="35" fillId="0" borderId="25" xfId="31254" applyBorder="1" applyAlignment="1">
      <alignment horizontal="center"/>
    </xf>
    <xf numFmtId="2" fontId="0" fillId="36" borderId="82" xfId="0" applyNumberFormat="1" applyFont="1" applyFill="1" applyBorder="1"/>
    <xf numFmtId="167" fontId="0" fillId="36" borderId="82" xfId="545" applyNumberFormat="1" applyFont="1" applyFill="1" applyBorder="1"/>
    <xf numFmtId="10" fontId="0" fillId="36" borderId="82" xfId="4688" applyNumberFormat="1" applyFont="1" applyFill="1" applyBorder="1"/>
    <xf numFmtId="41" fontId="72" fillId="0" borderId="0" xfId="439" applyNumberFormat="1" applyFont="1" applyFill="1" applyAlignment="1" applyProtection="1">
      <alignment horizontal="center" vertical="center" wrapText="1"/>
      <protection locked="0"/>
    </xf>
    <xf numFmtId="0" fontId="135" fillId="26" borderId="0" xfId="30099" applyFont="1" applyFill="1" applyAlignment="1">
      <alignment horizontal="left" wrapText="1"/>
    </xf>
    <xf numFmtId="0" fontId="129" fillId="26" borderId="0" xfId="30099" applyFont="1" applyFill="1" applyAlignment="1">
      <alignment horizontal="left" vertical="top" wrapText="1"/>
    </xf>
    <xf numFmtId="166" fontId="42" fillId="0" borderId="0" xfId="0" applyNumberFormat="1" applyFont="1" applyAlignment="1">
      <alignment horizontal="left" vertical="center"/>
    </xf>
    <xf numFmtId="166" fontId="42" fillId="36" borderId="0" xfId="0" applyNumberFormat="1" applyFont="1" applyFill="1" applyAlignment="1">
      <alignment horizontal="left" vertical="center"/>
    </xf>
    <xf numFmtId="0" fontId="133" fillId="78" borderId="15" xfId="30099" applyFont="1" applyFill="1" applyBorder="1" applyAlignment="1">
      <alignment vertical="top"/>
    </xf>
    <xf numFmtId="0" fontId="133" fillId="78" borderId="0" xfId="30099" applyFont="1" applyFill="1" applyAlignment="1">
      <alignment vertical="top"/>
    </xf>
    <xf numFmtId="0" fontId="134" fillId="78" borderId="0" xfId="30099" applyFont="1" applyFill="1" applyAlignment="1">
      <alignment vertical="top"/>
    </xf>
    <xf numFmtId="0" fontId="134" fillId="78" borderId="60" xfId="30099" applyFont="1" applyFill="1" applyBorder="1" applyAlignment="1">
      <alignment vertical="top"/>
    </xf>
    <xf numFmtId="0" fontId="200" fillId="77" borderId="57" xfId="0" applyFont="1" applyFill="1" applyBorder="1" applyAlignment="1">
      <alignment horizontal="center" vertical="center" wrapText="1"/>
    </xf>
    <xf numFmtId="0" fontId="194" fillId="0" borderId="0" xfId="0" applyFont="1"/>
    <xf numFmtId="0" fontId="201" fillId="73" borderId="0" xfId="0" applyFont="1" applyFill="1" applyAlignment="1">
      <alignment horizontal="justify" vertical="center"/>
    </xf>
    <xf numFmtId="0" fontId="201" fillId="73" borderId="0" xfId="0" applyFont="1" applyFill="1" applyAlignment="1">
      <alignment vertical="center"/>
    </xf>
    <xf numFmtId="0" fontId="0" fillId="0" borderId="0" xfId="0" applyAlignment="1">
      <alignment vertical="center"/>
    </xf>
    <xf numFmtId="0" fontId="201" fillId="73" borderId="0" xfId="0" applyFont="1" applyFill="1" applyAlignment="1">
      <alignment vertical="center" wrapText="1"/>
    </xf>
    <xf numFmtId="0" fontId="205" fillId="73" borderId="0" xfId="611" applyFont="1" applyFill="1" applyAlignment="1">
      <alignment vertical="center"/>
    </xf>
    <xf numFmtId="0" fontId="206" fillId="73" borderId="0" xfId="0" applyFont="1" applyFill="1" applyAlignment="1">
      <alignment vertical="center"/>
    </xf>
    <xf numFmtId="0" fontId="207" fillId="73" borderId="0" xfId="611" applyFont="1" applyFill="1" applyAlignment="1" applyProtection="1">
      <alignment vertical="center"/>
      <protection locked="0"/>
    </xf>
    <xf numFmtId="0" fontId="206" fillId="73" borderId="0" xfId="0" applyFont="1" applyFill="1"/>
    <xf numFmtId="0" fontId="207" fillId="73" borderId="0" xfId="611" applyFont="1" applyFill="1" applyProtection="1">
      <protection locked="0"/>
    </xf>
    <xf numFmtId="0" fontId="121" fillId="73" borderId="0" xfId="30098" applyFont="1" applyFill="1" applyAlignment="1">
      <alignment horizontal="left" vertical="center" wrapText="1" indent="1"/>
    </xf>
    <xf numFmtId="0" fontId="121" fillId="73" borderId="0" xfId="30098" quotePrefix="1" applyFont="1" applyFill="1" applyAlignment="1">
      <alignment horizontal="left" vertical="center" wrapText="1" indent="1"/>
    </xf>
    <xf numFmtId="0" fontId="210" fillId="73" borderId="0" xfId="30098" applyFont="1" applyFill="1" applyAlignment="1">
      <alignment vertical="center" wrapText="1"/>
    </xf>
    <xf numFmtId="0" fontId="36" fillId="0" borderId="0" xfId="611"/>
    <xf numFmtId="0" fontId="201" fillId="73" borderId="0" xfId="30098" applyFont="1" applyFill="1" applyAlignment="1">
      <alignment vertical="center" wrapText="1"/>
    </xf>
    <xf numFmtId="0" fontId="207" fillId="73" borderId="0" xfId="611" applyFont="1" applyFill="1" applyAlignment="1">
      <alignment vertical="center"/>
    </xf>
    <xf numFmtId="0" fontId="40" fillId="78" borderId="84" xfId="0" applyFont="1" applyFill="1" applyBorder="1" applyAlignment="1">
      <alignment horizontal="left"/>
    </xf>
    <xf numFmtId="0" fontId="0" fillId="78" borderId="126" xfId="0" applyFill="1" applyBorder="1"/>
    <xf numFmtId="14" fontId="0" fillId="0" borderId="0" xfId="0" applyNumberFormat="1" applyFont="1" applyProtection="1"/>
    <xf numFmtId="0" fontId="0" fillId="34" borderId="25" xfId="0" applyNumberFormat="1" applyFont="1" applyFill="1" applyBorder="1" applyAlignment="1" applyProtection="1">
      <alignment horizontal="center" vertical="center" wrapText="1"/>
    </xf>
    <xf numFmtId="164" fontId="59" fillId="34" borderId="29" xfId="439" applyNumberFormat="1" applyFont="1" applyFill="1" applyBorder="1" applyAlignment="1" applyProtection="1">
      <alignment horizontal="center" vertical="center" wrapText="1"/>
    </xf>
    <xf numFmtId="0" fontId="146" fillId="26" borderId="0" xfId="30099" applyFont="1" applyFill="1" applyAlignment="1">
      <alignment horizontal="right" vertical="center" wrapText="1"/>
    </xf>
    <xf numFmtId="0" fontId="151" fillId="26" borderId="0" xfId="30099" applyFont="1" applyFill="1" applyAlignment="1">
      <alignment vertical="center" wrapText="1"/>
    </xf>
    <xf numFmtId="0" fontId="155" fillId="26" borderId="0" xfId="30099" applyFont="1" applyFill="1" applyAlignment="1">
      <alignment horizontal="left" vertical="center" wrapText="1"/>
    </xf>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40" fillId="0" borderId="13" xfId="0" applyFont="1" applyBorder="1" applyAlignment="1">
      <alignment horizontal="center"/>
    </xf>
    <xf numFmtId="0" fontId="40" fillId="0" borderId="16" xfId="0" applyFont="1" applyBorder="1" applyAlignment="1">
      <alignment horizontal="center"/>
    </xf>
    <xf numFmtId="0" fontId="40" fillId="0" borderId="11" xfId="0" applyFont="1" applyBorder="1" applyAlignment="1">
      <alignment horizontal="center"/>
    </xf>
    <xf numFmtId="0" fontId="60" fillId="74" borderId="111" xfId="0" applyFont="1" applyFill="1" applyBorder="1" applyAlignment="1">
      <alignment horizontal="center" vertical="center" wrapText="1"/>
    </xf>
    <xf numFmtId="0" fontId="143" fillId="26" borderId="0" xfId="30099" applyFont="1" applyFill="1" applyAlignment="1">
      <alignment horizontal="left" vertical="center" wrapText="1"/>
    </xf>
    <xf numFmtId="0" fontId="129" fillId="0" borderId="66" xfId="30099" applyFont="1" applyBorder="1" applyAlignment="1" applyProtection="1">
      <alignment horizontal="left" vertical="center"/>
      <protection locked="0"/>
    </xf>
    <xf numFmtId="0" fontId="129" fillId="0" borderId="67" xfId="30099" applyFont="1" applyBorder="1" applyAlignment="1" applyProtection="1">
      <alignment horizontal="left" vertical="center"/>
      <protection locked="0"/>
    </xf>
    <xf numFmtId="0" fontId="129" fillId="0" borderId="68" xfId="30099" applyFont="1" applyBorder="1" applyAlignment="1" applyProtection="1">
      <alignment horizontal="left" vertical="center"/>
      <protection locked="0"/>
    </xf>
    <xf numFmtId="0" fontId="129" fillId="26" borderId="0" xfId="30099" applyFont="1" applyFill="1" applyAlignment="1">
      <alignment horizontal="left" vertical="center" wrapText="1"/>
    </xf>
    <xf numFmtId="0" fontId="119" fillId="0" borderId="66" xfId="29597" applyFill="1" applyBorder="1" applyAlignment="1" applyProtection="1">
      <alignment horizontal="left" vertical="center"/>
      <protection locked="0"/>
    </xf>
    <xf numFmtId="0" fontId="130" fillId="78" borderId="13" xfId="30099" applyFont="1" applyFill="1" applyBorder="1" applyAlignment="1">
      <alignment horizontal="center" vertical="center" wrapText="1"/>
    </xf>
    <xf numFmtId="0" fontId="130" fillId="78" borderId="16" xfId="30099" applyFont="1" applyFill="1" applyBorder="1" applyAlignment="1">
      <alignment horizontal="center" vertical="center" wrapText="1"/>
    </xf>
    <xf numFmtId="0" fontId="130" fillId="78" borderId="11" xfId="30099" applyFont="1" applyFill="1" applyBorder="1" applyAlignment="1">
      <alignment horizontal="center" vertical="center" wrapText="1"/>
    </xf>
    <xf numFmtId="0" fontId="130" fillId="78" borderId="13" xfId="30099" applyFont="1" applyFill="1" applyBorder="1" applyAlignment="1">
      <alignment horizontal="center" vertical="top" wrapText="1"/>
    </xf>
    <xf numFmtId="0" fontId="130" fillId="78" borderId="16" xfId="30099" applyFont="1" applyFill="1" applyBorder="1" applyAlignment="1">
      <alignment horizontal="center" vertical="top" wrapText="1"/>
    </xf>
    <xf numFmtId="0" fontId="130" fillId="78" borderId="11" xfId="30099" applyFont="1" applyFill="1" applyBorder="1" applyAlignment="1">
      <alignment horizontal="center" vertical="top" wrapText="1"/>
    </xf>
    <xf numFmtId="164" fontId="132" fillId="79" borderId="13" xfId="30100" applyNumberFormat="1" applyFont="1" applyFill="1" applyBorder="1" applyAlignment="1">
      <alignment horizontal="center" vertical="center"/>
    </xf>
    <xf numFmtId="164" fontId="132" fillId="79" borderId="16" xfId="30100" applyNumberFormat="1" applyFont="1" applyFill="1" applyBorder="1" applyAlignment="1">
      <alignment horizontal="center" vertical="center"/>
    </xf>
    <xf numFmtId="164" fontId="132" fillId="79" borderId="11" xfId="30100" applyNumberFormat="1" applyFont="1" applyFill="1" applyBorder="1" applyAlignment="1">
      <alignment horizontal="center" vertical="center"/>
    </xf>
    <xf numFmtId="0" fontId="146" fillId="0" borderId="66" xfId="30099" applyFont="1" applyBorder="1" applyAlignment="1" applyProtection="1">
      <alignment horizontal="left" vertical="center"/>
      <protection locked="0"/>
    </xf>
    <xf numFmtId="0" fontId="146" fillId="0" borderId="67" xfId="30099" applyFont="1" applyBorder="1" applyAlignment="1" applyProtection="1">
      <alignment horizontal="left" vertical="center"/>
      <protection locked="0"/>
    </xf>
    <xf numFmtId="0" fontId="146" fillId="0" borderId="68" xfId="30099" applyFont="1" applyBorder="1" applyAlignment="1" applyProtection="1">
      <alignment horizontal="left" vertical="center"/>
      <protection locked="0"/>
    </xf>
    <xf numFmtId="0" fontId="129" fillId="0" borderId="13" xfId="30099" applyFont="1" applyBorder="1" applyAlignment="1" applyProtection="1">
      <alignment horizontal="left" vertical="center"/>
      <protection locked="0"/>
    </xf>
    <xf numFmtId="0" fontId="129" fillId="0" borderId="11" xfId="30099" applyFont="1" applyBorder="1" applyAlignment="1" applyProtection="1">
      <alignment horizontal="left" vertical="center"/>
      <protection locked="0"/>
    </xf>
    <xf numFmtId="0" fontId="145" fillId="26" borderId="0" xfId="30099" applyFont="1" applyFill="1" applyAlignment="1">
      <alignment horizontal="center" vertical="center" wrapText="1"/>
    </xf>
    <xf numFmtId="0" fontId="141" fillId="26" borderId="15" xfId="30099" applyFont="1" applyFill="1" applyBorder="1" applyAlignment="1">
      <alignment horizontal="center" vertical="top"/>
    </xf>
    <xf numFmtId="0" fontId="141" fillId="26" borderId="0" xfId="30099" applyFont="1" applyFill="1" applyAlignment="1">
      <alignment horizontal="center" vertical="top"/>
    </xf>
    <xf numFmtId="0" fontId="141" fillId="26" borderId="0" xfId="30099" applyFont="1" applyFill="1" applyAlignment="1">
      <alignment horizontal="center" vertical="top" wrapText="1"/>
    </xf>
    <xf numFmtId="0" fontId="129" fillId="26" borderId="0" xfId="30099" applyFont="1" applyFill="1" applyAlignment="1">
      <alignment horizontal="left" wrapText="1"/>
    </xf>
    <xf numFmtId="0" fontId="129" fillId="26" borderId="71" xfId="30099" applyFont="1" applyFill="1" applyBorder="1" applyAlignment="1">
      <alignment horizontal="left" wrapText="1"/>
    </xf>
    <xf numFmtId="0" fontId="134" fillId="78" borderId="40" xfId="30099" applyFont="1" applyFill="1" applyBorder="1" applyAlignment="1">
      <alignment horizontal="left" wrapText="1"/>
    </xf>
    <xf numFmtId="0" fontId="134" fillId="78" borderId="41" xfId="30099" applyFont="1" applyFill="1" applyBorder="1" applyAlignment="1">
      <alignment horizontal="left" wrapText="1"/>
    </xf>
    <xf numFmtId="0" fontId="134" fillId="78" borderId="42" xfId="30099" applyFont="1" applyFill="1" applyBorder="1" applyAlignment="1">
      <alignment horizontal="left" wrapText="1"/>
    </xf>
    <xf numFmtId="0" fontId="134" fillId="78" borderId="15" xfId="30099" applyFont="1" applyFill="1" applyBorder="1" applyAlignment="1">
      <alignment horizontal="left" wrapText="1"/>
    </xf>
    <xf numFmtId="0" fontId="134" fillId="78" borderId="0" xfId="30099" applyFont="1" applyFill="1" applyAlignment="1">
      <alignment horizontal="left" wrapText="1"/>
    </xf>
    <xf numFmtId="0" fontId="134" fillId="78" borderId="60" xfId="30099" applyFont="1" applyFill="1" applyBorder="1" applyAlignment="1">
      <alignment horizontal="left" wrapText="1"/>
    </xf>
    <xf numFmtId="0" fontId="129" fillId="26" borderId="0" xfId="30099" applyFont="1" applyFill="1" applyAlignment="1">
      <alignment horizontal="left" vertical="top" wrapText="1"/>
    </xf>
    <xf numFmtId="0" fontId="129" fillId="26" borderId="71" xfId="30099" applyFont="1" applyFill="1" applyBorder="1" applyAlignment="1">
      <alignment horizontal="left" vertical="center" wrapText="1"/>
    </xf>
    <xf numFmtId="0" fontId="145" fillId="26" borderId="41" xfId="30099" applyFont="1" applyFill="1" applyBorder="1" applyAlignment="1">
      <alignment horizontal="center" vertical="center" wrapText="1"/>
    </xf>
    <xf numFmtId="164" fontId="136" fillId="79" borderId="13" xfId="30100" applyNumberFormat="1" applyFont="1" applyFill="1" applyBorder="1" applyAlignment="1">
      <alignment horizontal="center" vertical="center" wrapText="1"/>
    </xf>
    <xf numFmtId="164" fontId="136" fillId="79" borderId="16" xfId="30100" applyNumberFormat="1" applyFont="1" applyFill="1" applyBorder="1" applyAlignment="1">
      <alignment horizontal="center" vertical="center" wrapText="1"/>
    </xf>
    <xf numFmtId="164" fontId="136" fillId="79" borderId="11" xfId="30100" applyNumberFormat="1" applyFont="1" applyFill="1" applyBorder="1" applyAlignment="1">
      <alignment horizontal="center" vertical="center" wrapText="1"/>
    </xf>
    <xf numFmtId="0" fontId="149" fillId="26" borderId="0" xfId="30099" applyFont="1" applyFill="1" applyAlignment="1">
      <alignment horizontal="right" vertical="center" wrapText="1"/>
    </xf>
    <xf numFmtId="0" fontId="141" fillId="26" borderId="0" xfId="30099" applyFont="1" applyFill="1" applyAlignment="1">
      <alignment horizontal="left" vertical="center" wrapText="1"/>
    </xf>
    <xf numFmtId="0" fontId="129" fillId="26" borderId="60" xfId="30099" applyFont="1" applyFill="1" applyBorder="1" applyAlignment="1">
      <alignment horizontal="left" vertical="center" wrapText="1"/>
    </xf>
    <xf numFmtId="0" fontId="135" fillId="26" borderId="0" xfId="30099" applyFont="1" applyFill="1" applyAlignment="1">
      <alignment horizontal="left" wrapText="1"/>
    </xf>
    <xf numFmtId="0" fontId="135" fillId="26" borderId="60" xfId="30099" applyFont="1" applyFill="1" applyBorder="1" applyAlignment="1">
      <alignment horizontal="left" wrapText="1"/>
    </xf>
    <xf numFmtId="0" fontId="135" fillId="26" borderId="0" xfId="30099" applyFont="1" applyFill="1" applyBorder="1" applyAlignment="1">
      <alignment horizontal="left" wrapText="1"/>
    </xf>
    <xf numFmtId="0" fontId="195" fillId="0" borderId="40" xfId="0" applyFont="1" applyBorder="1" applyAlignment="1">
      <alignment horizontal="center" vertical="center"/>
    </xf>
    <xf numFmtId="0" fontId="195" fillId="0" borderId="41" xfId="0" applyFont="1" applyBorder="1" applyAlignment="1">
      <alignment horizontal="center" vertical="center"/>
    </xf>
    <xf numFmtId="0" fontId="162" fillId="73" borderId="70" xfId="0" applyFont="1" applyFill="1" applyBorder="1" applyAlignment="1">
      <alignment horizontal="center" vertical="center" wrapText="1"/>
    </xf>
    <xf numFmtId="0" fontId="162" fillId="73" borderId="121" xfId="0" applyFont="1" applyFill="1" applyBorder="1" applyAlignment="1">
      <alignment horizontal="center" vertical="center" wrapText="1"/>
    </xf>
    <xf numFmtId="0" fontId="162" fillId="73" borderId="60" xfId="0" applyFont="1" applyFill="1" applyBorder="1" applyAlignment="1">
      <alignment horizontal="center" vertical="center" wrapText="1"/>
    </xf>
    <xf numFmtId="0" fontId="162" fillId="73" borderId="42" xfId="0" applyFont="1" applyFill="1" applyBorder="1" applyAlignment="1">
      <alignment horizontal="center" vertical="center" wrapText="1"/>
    </xf>
    <xf numFmtId="0" fontId="40" fillId="78" borderId="70" xfId="0" applyFont="1" applyFill="1" applyBorder="1" applyAlignment="1">
      <alignment horizontal="center" vertical="center" wrapText="1"/>
    </xf>
    <xf numFmtId="0" fontId="40" fillId="78" borderId="121" xfId="0" applyFont="1" applyFill="1" applyBorder="1" applyAlignment="1">
      <alignment horizontal="center" vertical="center" wrapText="1"/>
    </xf>
    <xf numFmtId="0" fontId="40" fillId="78" borderId="72" xfId="0" applyFont="1" applyFill="1" applyBorder="1" applyAlignment="1">
      <alignment horizontal="center" vertical="center" wrapText="1"/>
    </xf>
    <xf numFmtId="0" fontId="40" fillId="78" borderId="13" xfId="0" applyFont="1" applyFill="1" applyBorder="1" applyAlignment="1">
      <alignment horizontal="left" wrapText="1"/>
    </xf>
    <xf numFmtId="0" fontId="40" fillId="78" borderId="16" xfId="0" applyFont="1" applyFill="1" applyBorder="1" applyAlignment="1">
      <alignment horizontal="left" wrapText="1"/>
    </xf>
    <xf numFmtId="0" fontId="40" fillId="78" borderId="11" xfId="0" applyFont="1" applyFill="1" applyBorder="1" applyAlignment="1">
      <alignment horizontal="left" wrapText="1"/>
    </xf>
    <xf numFmtId="0" fontId="60" fillId="78" borderId="13" xfId="0" applyFont="1" applyFill="1" applyBorder="1" applyAlignment="1">
      <alignment horizontal="left" wrapText="1"/>
    </xf>
    <xf numFmtId="0" fontId="60" fillId="78" borderId="16" xfId="0" applyFont="1" applyFill="1" applyBorder="1" applyAlignment="1">
      <alignment horizontal="left" wrapText="1"/>
    </xf>
    <xf numFmtId="0" fontId="60" fillId="78" borderId="11" xfId="0" applyFont="1" applyFill="1" applyBorder="1" applyAlignment="1">
      <alignment horizontal="left" wrapText="1"/>
    </xf>
    <xf numFmtId="0" fontId="60" fillId="78" borderId="41" xfId="0" applyFont="1" applyFill="1" applyBorder="1" applyAlignment="1">
      <alignment horizontal="left" wrapText="1"/>
    </xf>
    <xf numFmtId="0" fontId="60" fillId="78" borderId="124" xfId="0" applyFont="1" applyFill="1" applyBorder="1" applyAlignment="1">
      <alignment horizontal="left" wrapText="1"/>
    </xf>
    <xf numFmtId="0" fontId="40" fillId="78" borderId="57" xfId="0" applyFont="1" applyFill="1" applyBorder="1" applyAlignment="1">
      <alignment horizontal="left" wrapText="1"/>
    </xf>
    <xf numFmtId="0" fontId="195" fillId="0" borderId="13" xfId="0" applyFont="1" applyBorder="1" applyAlignment="1">
      <alignment horizontal="center" vertical="center"/>
    </xf>
    <xf numFmtId="0" fontId="195" fillId="0" borderId="16" xfId="0" applyFont="1" applyBorder="1" applyAlignment="1">
      <alignment horizontal="center" vertical="center"/>
    </xf>
    <xf numFmtId="0" fontId="195" fillId="0" borderId="11" xfId="0" applyFont="1" applyBorder="1" applyAlignment="1">
      <alignment horizontal="center" vertical="center"/>
    </xf>
    <xf numFmtId="0" fontId="60" fillId="34" borderId="13" xfId="0" applyFont="1" applyFill="1" applyBorder="1" applyAlignment="1">
      <alignment horizontal="center" vertical="center" wrapText="1"/>
    </xf>
    <xf numFmtId="0" fontId="60" fillId="34" borderId="16" xfId="0" applyFont="1" applyFill="1" applyBorder="1" applyAlignment="1">
      <alignment horizontal="center" vertical="center" wrapText="1"/>
    </xf>
    <xf numFmtId="0" fontId="60" fillId="34" borderId="11" xfId="0" applyFont="1" applyFill="1" applyBorder="1" applyAlignment="1">
      <alignment horizontal="center" vertical="center" wrapText="1"/>
    </xf>
    <xf numFmtId="0" fontId="0" fillId="78" borderId="127" xfId="0" applyFill="1" applyBorder="1" applyAlignment="1">
      <alignment horizontal="center"/>
    </xf>
    <xf numFmtId="0" fontId="0" fillId="78" borderId="17" xfId="0" applyFill="1" applyBorder="1" applyAlignment="1">
      <alignment horizontal="center"/>
    </xf>
    <xf numFmtId="0" fontId="50" fillId="0" borderId="10" xfId="0" applyFont="1" applyBorder="1" applyAlignment="1">
      <alignment horizontal="center" vertical="center" wrapText="1"/>
    </xf>
    <xf numFmtId="0" fontId="40" fillId="0" borderId="73" xfId="0" applyFont="1" applyBorder="1" applyAlignment="1">
      <alignment horizontal="center" vertical="center"/>
    </xf>
    <xf numFmtId="0" fontId="40" fillId="0" borderId="74" xfId="0" applyFont="1" applyBorder="1" applyAlignment="1">
      <alignment horizontal="center" vertical="center"/>
    </xf>
    <xf numFmtId="0" fontId="40" fillId="0" borderId="125" xfId="0" applyFont="1" applyBorder="1" applyAlignment="1">
      <alignment horizontal="center" vertical="center"/>
    </xf>
    <xf numFmtId="0" fontId="40" fillId="0" borderId="41" xfId="0" applyFont="1" applyBorder="1" applyAlignment="1">
      <alignment horizontal="center" vertical="center"/>
    </xf>
    <xf numFmtId="0" fontId="40" fillId="0" borderId="83" xfId="0" applyFont="1" applyBorder="1" applyAlignment="1">
      <alignment horizontal="center" vertical="center"/>
    </xf>
    <xf numFmtId="0" fontId="40" fillId="0" borderId="128" xfId="0" applyFont="1" applyBorder="1" applyAlignment="1">
      <alignment horizontal="center" vertical="center"/>
    </xf>
    <xf numFmtId="0" fontId="50" fillId="0" borderId="102" xfId="0" applyFont="1" applyBorder="1" applyAlignment="1">
      <alignment horizontal="center" vertical="center"/>
    </xf>
    <xf numFmtId="0" fontId="40" fillId="78" borderId="106" xfId="0" applyFont="1" applyFill="1" applyBorder="1" applyAlignment="1">
      <alignment horizontal="left" wrapText="1"/>
    </xf>
    <xf numFmtId="0" fontId="40" fillId="78" borderId="102" xfId="0" applyFont="1" applyFill="1" applyBorder="1" applyAlignment="1">
      <alignment horizontal="left" wrapText="1"/>
    </xf>
    <xf numFmtId="0" fontId="0" fillId="78" borderId="79" xfId="0" applyFont="1" applyFill="1" applyBorder="1" applyAlignment="1">
      <alignment horizontal="center"/>
    </xf>
    <xf numFmtId="0" fontId="0" fillId="78" borderId="80" xfId="0" applyFont="1" applyFill="1" applyBorder="1" applyAlignment="1">
      <alignment horizontal="center"/>
    </xf>
    <xf numFmtId="0" fontId="50" fillId="73" borderId="10" xfId="0" applyFont="1" applyFill="1" applyBorder="1" applyAlignment="1">
      <alignment horizontal="center" vertical="center" wrapText="1"/>
    </xf>
    <xf numFmtId="0" fontId="47" fillId="73" borderId="10" xfId="0" applyFont="1" applyFill="1" applyBorder="1" applyAlignment="1">
      <alignment horizontal="center" vertical="center" wrapText="1"/>
    </xf>
    <xf numFmtId="0" fontId="47" fillId="73" borderId="83" xfId="0" applyFont="1" applyFill="1" applyBorder="1" applyAlignment="1">
      <alignment horizontal="center" vertical="center" wrapText="1"/>
    </xf>
    <xf numFmtId="0" fontId="0" fillId="73" borderId="10" xfId="0" applyFont="1" applyFill="1" applyBorder="1" applyAlignment="1">
      <alignment horizontal="center" vertical="center"/>
    </xf>
    <xf numFmtId="0" fontId="162" fillId="73" borderId="74" xfId="0" applyFont="1" applyFill="1" applyBorder="1" applyAlignment="1">
      <alignment horizontal="center" vertical="center" wrapText="1"/>
    </xf>
    <xf numFmtId="0" fontId="162" fillId="73" borderId="0" xfId="0" applyFont="1" applyFill="1" applyBorder="1" applyAlignment="1">
      <alignment horizontal="center" vertical="center" wrapText="1"/>
    </xf>
    <xf numFmtId="0" fontId="163" fillId="73" borderId="107" xfId="0" applyFont="1" applyFill="1" applyBorder="1" applyAlignment="1">
      <alignment horizontal="center" vertical="center" wrapText="1"/>
    </xf>
    <xf numFmtId="0" fontId="163" fillId="73" borderId="108" xfId="0" applyFont="1" applyFill="1" applyBorder="1" applyAlignment="1">
      <alignment horizontal="center" vertical="center" wrapText="1"/>
    </xf>
    <xf numFmtId="0" fontId="54" fillId="0" borderId="0" xfId="682" applyFont="1" applyAlignment="1">
      <alignment horizontal="left" wrapText="1"/>
    </xf>
    <xf numFmtId="0" fontId="171" fillId="27" borderId="0" xfId="682" applyFont="1" applyFill="1" applyAlignment="1">
      <alignment horizontal="left" vertical="center" wrapText="1"/>
    </xf>
    <xf numFmtId="0" fontId="168" fillId="0" borderId="0" xfId="682" applyFont="1" applyAlignment="1">
      <alignment horizontal="center" vertical="center"/>
    </xf>
    <xf numFmtId="0" fontId="40" fillId="27" borderId="0" xfId="682" applyFont="1" applyFill="1" applyAlignment="1">
      <alignment horizontal="left" wrapText="1"/>
    </xf>
    <xf numFmtId="0" fontId="46" fillId="0" borderId="0" xfId="30099" applyFont="1" applyAlignment="1">
      <alignment horizontal="left" vertical="top" wrapText="1" indent="4"/>
    </xf>
    <xf numFmtId="0" fontId="46" fillId="0" borderId="0" xfId="30099" applyFont="1" applyAlignment="1">
      <alignment horizontal="center" vertical="top" wrapText="1"/>
    </xf>
    <xf numFmtId="0" fontId="46" fillId="0" borderId="0" xfId="30099" applyFont="1" applyAlignment="1">
      <alignment horizontal="left" vertical="top" wrapText="1" indent="8"/>
    </xf>
    <xf numFmtId="0" fontId="46" fillId="0" borderId="0" xfId="30099" applyFont="1" applyAlignment="1">
      <alignment horizontal="left" vertical="center" wrapText="1" indent="1"/>
    </xf>
    <xf numFmtId="0" fontId="46" fillId="0" borderId="0" xfId="30099" applyFont="1" applyAlignment="1">
      <alignment horizontal="left" vertical="top" wrapText="1" indent="1"/>
    </xf>
    <xf numFmtId="0" fontId="46" fillId="0" borderId="0" xfId="30099" applyFont="1" applyAlignment="1">
      <alignment horizontal="left" vertical="top" wrapText="1" indent="5"/>
    </xf>
    <xf numFmtId="0" fontId="46" fillId="0" borderId="37" xfId="26000" applyFont="1" applyBorder="1" applyAlignment="1" applyProtection="1">
      <alignment horizontal="left" vertical="top" wrapText="1"/>
    </xf>
    <xf numFmtId="0" fontId="46" fillId="0" borderId="38" xfId="26000" applyFont="1" applyBorder="1" applyAlignment="1" applyProtection="1">
      <alignment horizontal="left" vertical="top" wrapText="1"/>
    </xf>
    <xf numFmtId="0" fontId="46" fillId="0" borderId="39" xfId="26000" applyFont="1" applyBorder="1" applyAlignment="1" applyProtection="1">
      <alignment horizontal="left" vertical="top" wrapText="1"/>
    </xf>
    <xf numFmtId="0" fontId="46" fillId="0" borderId="15" xfId="26000" applyFont="1" applyBorder="1" applyAlignment="1" applyProtection="1">
      <alignment horizontal="left" vertical="top" wrapText="1"/>
    </xf>
    <xf numFmtId="0" fontId="46" fillId="0" borderId="0" xfId="26000" applyFont="1" applyAlignment="1" applyProtection="1">
      <alignment horizontal="left" vertical="top" wrapText="1"/>
    </xf>
    <xf numFmtId="0" fontId="46" fillId="0" borderId="60" xfId="26000" applyFont="1" applyBorder="1" applyAlignment="1" applyProtection="1">
      <alignment horizontal="left" vertical="top" wrapText="1"/>
    </xf>
    <xf numFmtId="0" fontId="46" fillId="0" borderId="40" xfId="26000" applyFont="1" applyBorder="1" applyAlignment="1" applyProtection="1">
      <alignment horizontal="left" vertical="top" wrapText="1"/>
    </xf>
    <xf numFmtId="0" fontId="46" fillId="0" borderId="41" xfId="26000" applyFont="1" applyBorder="1" applyAlignment="1" applyProtection="1">
      <alignment horizontal="left" vertical="top" wrapText="1"/>
    </xf>
    <xf numFmtId="0" fontId="46" fillId="0" borderId="42" xfId="26000" applyFont="1" applyBorder="1" applyAlignment="1" applyProtection="1">
      <alignment horizontal="left" vertical="top" wrapText="1"/>
    </xf>
    <xf numFmtId="0" fontId="60" fillId="0" borderId="0" xfId="26000" applyFont="1" applyAlignment="1" applyProtection="1">
      <alignment horizontal="center" vertical="top"/>
    </xf>
    <xf numFmtId="0" fontId="60" fillId="0" borderId="0" xfId="26000" applyFont="1" applyAlignment="1" applyProtection="1">
      <alignment horizontal="center" vertical="top" wrapText="1"/>
    </xf>
    <xf numFmtId="0" fontId="165" fillId="0" borderId="73" xfId="26000" applyFont="1" applyBorder="1" applyAlignment="1" applyProtection="1">
      <alignment horizontal="left" vertical="top" wrapText="1"/>
    </xf>
    <xf numFmtId="0" fontId="165" fillId="0" borderId="74" xfId="26000" applyFont="1" applyBorder="1" applyAlignment="1" applyProtection="1">
      <alignment horizontal="left" vertical="top" wrapText="1"/>
    </xf>
    <xf numFmtId="0" fontId="165" fillId="0" borderId="75" xfId="26000" applyFont="1" applyBorder="1" applyAlignment="1" applyProtection="1">
      <alignment horizontal="left" vertical="top" wrapText="1"/>
    </xf>
    <xf numFmtId="0" fontId="165" fillId="0" borderId="22" xfId="26000" applyFont="1" applyBorder="1" applyAlignment="1" applyProtection="1">
      <alignment horizontal="left" vertical="top" wrapText="1"/>
    </xf>
    <xf numFmtId="0" fontId="165" fillId="0" borderId="0" xfId="26000" applyFont="1" applyAlignment="1" applyProtection="1">
      <alignment horizontal="left" vertical="top" wrapText="1"/>
    </xf>
    <xf numFmtId="0" fontId="165" fillId="0" borderId="56" xfId="26000" applyFont="1" applyBorder="1" applyAlignment="1" applyProtection="1">
      <alignment horizontal="left" vertical="top" wrapText="1"/>
    </xf>
    <xf numFmtId="0" fontId="165" fillId="0" borderId="76" xfId="26000" applyFont="1" applyBorder="1" applyAlignment="1" applyProtection="1">
      <alignment horizontal="left" vertical="top" wrapText="1"/>
    </xf>
    <xf numFmtId="0" fontId="165" fillId="0" borderId="17" xfId="26000" applyFont="1" applyBorder="1" applyAlignment="1" applyProtection="1">
      <alignment horizontal="left" vertical="top" wrapText="1"/>
    </xf>
    <xf numFmtId="0" fontId="165" fillId="0" borderId="77" xfId="26000" applyFont="1" applyBorder="1" applyAlignment="1" applyProtection="1">
      <alignment horizontal="left" vertical="top" wrapText="1"/>
    </xf>
    <xf numFmtId="0" fontId="60" fillId="0" borderId="41" xfId="26000" applyFont="1" applyBorder="1" applyAlignment="1" applyProtection="1">
      <alignment horizontal="left"/>
    </xf>
  </cellXfs>
  <cellStyles count="31724">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3" xr:uid="{AFE378B3-707E-419D-B277-9981B662F519}"/>
    <cellStyle name="Normal 25" xfId="30098" xr:uid="{07506169-A6FD-44A0-8C52-1A1EF451F172}"/>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5 8" xfId="31722" xr:uid="{E824486A-BC4B-4CCF-BDCF-C717531291C5}"/>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5" formatCode=";;;"/>
    </dxf>
    <dxf>
      <numFmt numFmtId="185" formatCode=";;;"/>
    </dxf>
    <dxf>
      <numFmt numFmtId="185" formatCode=";;;"/>
    </dxf>
    <dxf>
      <numFmt numFmtId="185" formatCode=";;;"/>
    </dxf>
    <dxf>
      <numFmt numFmtId="185"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16"/>
      <tableStyleElement type="headerRow" dxfId="115"/>
      <tableStyleElement type="firstRowStripe" dxfId="114"/>
    </tableStyle>
  </tableStyles>
  <colors>
    <mruColors>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1962146</xdr:colOff>
      <xdr:row>46</xdr:row>
      <xdr:rowOff>228600</xdr:rowOff>
    </xdr:from>
    <xdr:to>
      <xdr:col>5</xdr:col>
      <xdr:colOff>3516626</xdr:colOff>
      <xdr:row>51</xdr:row>
      <xdr:rowOff>95250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857871" y="4752975"/>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CBB7-1E59-4F70-A059-F1B18ACBDBB6}">
  <sheetPr codeName="Sheet1">
    <tabColor theme="4" tint="0.79998168889431442"/>
  </sheetPr>
  <dimension ref="B1:N58"/>
  <sheetViews>
    <sheetView tabSelected="1" zoomScaleNormal="100" workbookViewId="0">
      <selection activeCell="B2" sqref="B2"/>
    </sheetView>
  </sheetViews>
  <sheetFormatPr defaultColWidth="9.109375" defaultRowHeight="14.4" x14ac:dyDescent="0.3"/>
  <cols>
    <col min="1" max="1" width="1.6640625" style="990" customWidth="1"/>
    <col min="2" max="2" width="187.109375" style="990" customWidth="1"/>
    <col min="3" max="4" width="9.109375" style="990" hidden="1" customWidth="1"/>
    <col min="5" max="5" width="2.33203125" style="990" customWidth="1"/>
    <col min="6" max="6" width="8.109375" style="990" customWidth="1"/>
    <col min="7" max="16384" width="9.109375" style="990"/>
  </cols>
  <sheetData>
    <row r="1" spans="2:14" ht="9.6" customHeight="1" thickBot="1" x14ac:dyDescent="0.35">
      <c r="B1" s="177"/>
    </row>
    <row r="2" spans="2:14" ht="85.8" customHeight="1" thickBot="1" x14ac:dyDescent="0.35">
      <c r="B2" s="1051" t="s">
        <v>1439</v>
      </c>
    </row>
    <row r="3" spans="2:14" ht="58.2" customHeight="1" x14ac:dyDescent="0.3">
      <c r="B3" s="188" t="s">
        <v>1440</v>
      </c>
    </row>
    <row r="4" spans="2:14" ht="72.599999999999994" customHeight="1" x14ac:dyDescent="0.4">
      <c r="B4" s="188" t="s">
        <v>1441</v>
      </c>
      <c r="F4" s="1052"/>
      <c r="G4" s="1052"/>
      <c r="H4" s="1052"/>
      <c r="I4" s="1052"/>
      <c r="J4" s="1052"/>
      <c r="K4" s="1052"/>
      <c r="L4" s="1052"/>
      <c r="M4" s="1052"/>
      <c r="N4" s="1052"/>
    </row>
    <row r="5" spans="2:14" ht="49.2" customHeight="1" x14ac:dyDescent="0.3">
      <c r="B5" s="188" t="s">
        <v>1442</v>
      </c>
    </row>
    <row r="6" spans="2:14" ht="123" customHeight="1" x14ac:dyDescent="0.3">
      <c r="B6" s="178" t="s">
        <v>1443</v>
      </c>
    </row>
    <row r="7" spans="2:14" ht="25.95" customHeight="1" x14ac:dyDescent="0.3">
      <c r="B7" s="190" t="s">
        <v>553</v>
      </c>
    </row>
    <row r="8" spans="2:14" ht="43.2" customHeight="1" x14ac:dyDescent="0.3">
      <c r="B8" s="1053" t="s">
        <v>1444</v>
      </c>
    </row>
    <row r="9" spans="2:14" ht="37.950000000000003" customHeight="1" x14ac:dyDescent="0.3">
      <c r="B9" s="1053" t="s">
        <v>554</v>
      </c>
    </row>
    <row r="10" spans="2:14" s="1055" customFormat="1" ht="28.95" customHeight="1" x14ac:dyDescent="0.3">
      <c r="B10" s="1054" t="s">
        <v>555</v>
      </c>
    </row>
    <row r="11" spans="2:14" s="1055" customFormat="1" ht="48" customHeight="1" x14ac:dyDescent="0.3">
      <c r="B11" s="1056" t="s">
        <v>1445</v>
      </c>
    </row>
    <row r="12" spans="2:14" ht="48.6" customHeight="1" x14ac:dyDescent="0.3">
      <c r="B12" s="1056" t="s">
        <v>1446</v>
      </c>
    </row>
    <row r="13" spans="2:14" ht="34.799999999999997" customHeight="1" x14ac:dyDescent="0.3">
      <c r="B13" s="1057" t="s">
        <v>1447</v>
      </c>
    </row>
    <row r="14" spans="2:14" ht="25.95" customHeight="1" x14ac:dyDescent="0.3">
      <c r="B14" s="190" t="s">
        <v>556</v>
      </c>
    </row>
    <row r="15" spans="2:14" x14ac:dyDescent="0.3">
      <c r="B15" s="177"/>
    </row>
    <row r="16" spans="2:14" x14ac:dyDescent="0.3">
      <c r="B16" s="1058" t="s">
        <v>37</v>
      </c>
    </row>
    <row r="17" spans="2:2" ht="15.6" customHeight="1" x14ac:dyDescent="0.3">
      <c r="B17" s="1059" t="s">
        <v>1448</v>
      </c>
    </row>
    <row r="18" spans="2:2" x14ac:dyDescent="0.3">
      <c r="B18" s="1060"/>
    </row>
    <row r="19" spans="2:2" x14ac:dyDescent="0.3">
      <c r="B19" s="1058" t="s">
        <v>38</v>
      </c>
    </row>
    <row r="20" spans="2:2" ht="15.6" customHeight="1" x14ac:dyDescent="0.3">
      <c r="B20" s="1061" t="s">
        <v>379</v>
      </c>
    </row>
    <row r="21" spans="2:2" ht="13.2" customHeight="1" x14ac:dyDescent="0.3">
      <c r="B21" s="177"/>
    </row>
    <row r="22" spans="2:2" ht="25.95" customHeight="1" x14ac:dyDescent="0.3">
      <c r="B22" s="190" t="s">
        <v>557</v>
      </c>
    </row>
    <row r="23" spans="2:2" s="1055" customFormat="1" ht="70.2" customHeight="1" x14ac:dyDescent="0.3">
      <c r="B23" s="1053" t="s">
        <v>1449</v>
      </c>
    </row>
    <row r="24" spans="2:2" s="1055" customFormat="1" ht="75.599999999999994" customHeight="1" x14ac:dyDescent="0.3">
      <c r="B24" s="1053" t="s">
        <v>1450</v>
      </c>
    </row>
    <row r="25" spans="2:2" s="1055" customFormat="1" ht="82.8" customHeight="1" x14ac:dyDescent="0.3">
      <c r="B25" s="1053" t="s">
        <v>558</v>
      </c>
    </row>
    <row r="26" spans="2:2" ht="28.8" customHeight="1" x14ac:dyDescent="0.3">
      <c r="B26" s="180" t="s">
        <v>1451</v>
      </c>
    </row>
    <row r="27" spans="2:2" ht="8.4" customHeight="1" x14ac:dyDescent="0.3">
      <c r="B27" s="179"/>
    </row>
    <row r="28" spans="2:2" ht="25.95" customHeight="1" x14ac:dyDescent="0.3">
      <c r="B28" s="190" t="s">
        <v>1452</v>
      </c>
    </row>
    <row r="29" spans="2:2" ht="29.4" customHeight="1" x14ac:dyDescent="0.3">
      <c r="B29" s="191" t="s">
        <v>1453</v>
      </c>
    </row>
    <row r="30" spans="2:2" ht="25.2" customHeight="1" x14ac:dyDescent="0.3">
      <c r="B30" s="191" t="s">
        <v>1454</v>
      </c>
    </row>
    <row r="31" spans="2:2" ht="23.4" customHeight="1" x14ac:dyDescent="0.3">
      <c r="B31" s="1062" t="s">
        <v>1455</v>
      </c>
    </row>
    <row r="32" spans="2:2" ht="25.2" customHeight="1" x14ac:dyDescent="0.3">
      <c r="B32" s="1062" t="s">
        <v>1456</v>
      </c>
    </row>
    <row r="33" spans="2:7" ht="23.4" customHeight="1" x14ac:dyDescent="0.3">
      <c r="B33" s="1063" t="s">
        <v>1457</v>
      </c>
    </row>
    <row r="34" spans="2:7" ht="25.95" customHeight="1" x14ac:dyDescent="0.3">
      <c r="B34" s="1064" t="s">
        <v>1458</v>
      </c>
    </row>
    <row r="35" spans="2:7" ht="52.8" customHeight="1" x14ac:dyDescent="0.3">
      <c r="B35" s="191" t="s">
        <v>1459</v>
      </c>
    </row>
    <row r="36" spans="2:7" ht="25.95" customHeight="1" x14ac:dyDescent="0.3">
      <c r="B36" s="191" t="s">
        <v>1460</v>
      </c>
    </row>
    <row r="37" spans="2:7" ht="12" customHeight="1" x14ac:dyDescent="0.3">
      <c r="B37" s="191"/>
    </row>
    <row r="38" spans="2:7" ht="25.95" customHeight="1" x14ac:dyDescent="0.3">
      <c r="B38" s="190" t="s">
        <v>807</v>
      </c>
    </row>
    <row r="39" spans="2:7" x14ac:dyDescent="0.3">
      <c r="B39" s="189"/>
      <c r="G39" s="1065"/>
    </row>
    <row r="40" spans="2:7" ht="48.6" customHeight="1" x14ac:dyDescent="0.3">
      <c r="B40" s="1066" t="s">
        <v>1461</v>
      </c>
    </row>
    <row r="41" spans="2:7" ht="19.95" customHeight="1" x14ac:dyDescent="0.3">
      <c r="B41" s="1067" t="s">
        <v>1447</v>
      </c>
    </row>
    <row r="42" spans="2:7" ht="11.4" customHeight="1" x14ac:dyDescent="0.3">
      <c r="B42" s="192"/>
    </row>
    <row r="43" spans="2:7" ht="15" x14ac:dyDescent="0.3">
      <c r="B43" s="193"/>
    </row>
    <row r="44" spans="2:7" ht="7.2" customHeight="1" x14ac:dyDescent="0.3">
      <c r="B44" s="191"/>
    </row>
    <row r="45" spans="2:7" ht="25.95" customHeight="1" x14ac:dyDescent="0.3">
      <c r="B45" s="190" t="s">
        <v>808</v>
      </c>
    </row>
    <row r="46" spans="2:7" ht="35.4" customHeight="1" x14ac:dyDescent="0.3">
      <c r="B46" s="1066" t="s">
        <v>1462</v>
      </c>
    </row>
    <row r="47" spans="2:7" ht="15" x14ac:dyDescent="0.3">
      <c r="B47" s="193"/>
    </row>
    <row r="57" ht="44.25" customHeight="1" x14ac:dyDescent="0.3"/>
    <row r="58" ht="44.25" customHeight="1" x14ac:dyDescent="0.3"/>
  </sheetData>
  <sheetProtection algorithmName="SHA-512" hashValue="YPBr2dGQnY1wbws3Ci1MZshmr5p+yZkCN8niG91H0zhI99aihKw9RWC6Oo3U3o63Ssck2ln3ygxybesmPJlEPQ==" saltValue="voSVg18NkgQDm/bpY8Vs2Q==" spinCount="100000" sheet="1" formatCells="0" formatColumns="0" formatRows="0"/>
  <hyperlinks>
    <hyperlink ref="B17" r:id="rId1" xr:uid="{15599962-3F4E-483C-B28F-1960428F729C}"/>
    <hyperlink ref="B20" r:id="rId2" xr:uid="{0A8A7E98-989A-43D5-A2F5-85E7DD65FBC6}"/>
    <hyperlink ref="B41" r:id="rId3" xr:uid="{5A6202D1-F792-4914-A3C3-EDCF57C9DB5E}"/>
    <hyperlink ref="B13" r:id="rId4" xr:uid="{300BBC85-55F9-4B2A-B9A6-80653F8285F1}"/>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40" activePane="bottomLeft" state="frozen"/>
      <selection activeCell="K179" sqref="K179"/>
      <selection pane="bottomLeft" activeCell="D2" sqref="D2"/>
    </sheetView>
  </sheetViews>
  <sheetFormatPr defaultColWidth="9.109375" defaultRowHeight="14.4" x14ac:dyDescent="0.3"/>
  <cols>
    <col min="1" max="1" width="8.5546875" style="18" customWidth="1"/>
    <col min="2" max="2" width="16.33203125" style="5" customWidth="1"/>
    <col min="3" max="3" width="17.44140625" style="5" customWidth="1"/>
    <col min="4" max="4" width="46.33203125" style="710" customWidth="1"/>
    <col min="5" max="5" width="17.109375" style="18" customWidth="1"/>
    <col min="6" max="6" width="21.5546875" style="710" customWidth="1"/>
    <col min="7" max="7" width="26.6640625" style="804" customWidth="1"/>
    <col min="8" max="8" width="25.109375" style="594" customWidth="1"/>
    <col min="9" max="9" width="24" style="710"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296" hidden="1" customWidth="1"/>
    <col min="15" max="15" width="2.109375" style="18" hidden="1" customWidth="1"/>
    <col min="16" max="16" width="0" style="18" hidden="1" customWidth="1"/>
    <col min="17" max="17" width="15.109375" style="18" hidden="1" customWidth="1"/>
    <col min="18" max="25" width="9.109375" style="18"/>
    <col min="26" max="26" width="30.6640625" style="636" customWidth="1"/>
    <col min="27" max="1881" width="9.109375" style="18"/>
    <col min="1882" max="16384" width="9.109375" style="710"/>
  </cols>
  <sheetData>
    <row r="1" spans="1:44" ht="15" thickBot="1" x14ac:dyDescent="0.35">
      <c r="B1" s="806" t="s">
        <v>451</v>
      </c>
      <c r="C1" s="806"/>
      <c r="E1" s="713" t="s">
        <v>36</v>
      </c>
      <c r="F1" s="714">
        <v>2021</v>
      </c>
      <c r="G1" s="123" t="s">
        <v>126</v>
      </c>
      <c r="H1" s="715"/>
      <c r="I1" s="716"/>
      <c r="J1" s="717" t="s">
        <v>977</v>
      </c>
      <c r="M1" s="18" t="s">
        <v>51</v>
      </c>
      <c r="O1" s="18">
        <v>1</v>
      </c>
    </row>
    <row r="2" spans="1:44" ht="44.25" customHeight="1" thickBot="1" x14ac:dyDescent="0.35">
      <c r="B2" s="1085" t="s">
        <v>304</v>
      </c>
      <c r="C2" s="1086"/>
      <c r="D2" s="718" t="s">
        <v>1256</v>
      </c>
      <c r="E2" s="1083" t="s">
        <v>318</v>
      </c>
      <c r="F2" s="1083"/>
      <c r="G2" s="1084"/>
      <c r="H2" s="1070" t="s">
        <v>1465</v>
      </c>
      <c r="M2" s="18" t="s">
        <v>52</v>
      </c>
      <c r="N2" s="296">
        <v>50</v>
      </c>
      <c r="O2" s="18">
        <v>2</v>
      </c>
    </row>
    <row r="3" spans="1:44" ht="15" thickBot="1" x14ac:dyDescent="0.35">
      <c r="B3" s="807" t="s">
        <v>0</v>
      </c>
      <c r="C3" s="808"/>
      <c r="D3" s="720" t="e">
        <f>VLOOKUP(D2,'Unit Names(H)'!A2:B151,2,FALSE)</f>
        <v>#N/A</v>
      </c>
      <c r="E3" s="917"/>
      <c r="F3" s="721"/>
      <c r="G3" s="722"/>
      <c r="H3" s="719"/>
      <c r="N3" s="296">
        <v>51</v>
      </c>
      <c r="O3" s="18">
        <v>3</v>
      </c>
    </row>
    <row r="4" spans="1:44" ht="15" thickBot="1" x14ac:dyDescent="0.35">
      <c r="B4" s="809" t="s">
        <v>1094</v>
      </c>
      <c r="C4" s="810"/>
      <c r="D4" s="723"/>
      <c r="E4" s="723"/>
      <c r="F4" s="724"/>
      <c r="G4" s="725"/>
      <c r="H4" s="719"/>
      <c r="I4" s="2"/>
      <c r="M4" s="18" t="s">
        <v>350</v>
      </c>
      <c r="N4" s="296">
        <v>52</v>
      </c>
      <c r="O4" s="18">
        <v>4</v>
      </c>
    </row>
    <row r="5" spans="1:44" ht="37.5" customHeight="1" x14ac:dyDescent="0.3">
      <c r="A5" s="672" t="s">
        <v>448</v>
      </c>
      <c r="B5" s="561" t="s">
        <v>111</v>
      </c>
      <c r="C5" s="561" t="s">
        <v>128</v>
      </c>
      <c r="D5" s="726" t="s">
        <v>1</v>
      </c>
      <c r="E5" s="726">
        <v>2020</v>
      </c>
      <c r="F5" s="727">
        <v>2021</v>
      </c>
      <c r="G5" s="728" t="s">
        <v>1216</v>
      </c>
      <c r="H5" s="729" t="s">
        <v>322</v>
      </c>
      <c r="I5" s="714" t="s">
        <v>13</v>
      </c>
      <c r="M5" s="18" t="s">
        <v>520</v>
      </c>
    </row>
    <row r="6" spans="1:44" ht="22.5" hidden="1" customHeight="1" x14ac:dyDescent="0.3">
      <c r="A6" s="560"/>
      <c r="B6" s="856" t="s">
        <v>127</v>
      </c>
      <c r="C6" s="857"/>
      <c r="D6" s="858"/>
      <c r="E6" s="859"/>
      <c r="F6" s="860"/>
      <c r="G6" s="852"/>
      <c r="H6" s="17"/>
      <c r="M6" s="18" t="s">
        <v>499</v>
      </c>
    </row>
    <row r="7" spans="1:44" s="18" customFormat="1" ht="63.75" hidden="1" customHeight="1" thickBot="1" x14ac:dyDescent="0.35">
      <c r="A7" s="108">
        <v>333</v>
      </c>
      <c r="B7" s="636" t="s">
        <v>67</v>
      </c>
      <c r="C7" s="636" t="s">
        <v>129</v>
      </c>
      <c r="D7" s="709" t="s">
        <v>1095</v>
      </c>
      <c r="E7" s="670" t="e">
        <f>HLOOKUP($D$2,'2020 Data(H)'!$C$1:$AB$426,99,FALSE)</f>
        <v>#N/A</v>
      </c>
      <c r="F7" s="295">
        <v>0</v>
      </c>
      <c r="G7" s="731">
        <f>IF(F7&lt;0,"Note: Number is normally positive.",)</f>
        <v>0</v>
      </c>
      <c r="H7" s="732"/>
      <c r="I7" s="733"/>
      <c r="J7" s="576" t="s">
        <v>956</v>
      </c>
      <c r="L7" s="696"/>
      <c r="M7" s="18" t="s">
        <v>521</v>
      </c>
      <c r="N7" s="296"/>
      <c r="Q7" s="295">
        <v>475882</v>
      </c>
      <c r="Z7" s="108"/>
      <c r="AA7" s="108"/>
      <c r="AB7" s="108"/>
      <c r="AC7" s="108"/>
      <c r="AD7" s="108"/>
      <c r="AE7" s="108"/>
      <c r="AF7" s="108"/>
      <c r="AG7" s="108"/>
      <c r="AH7" s="108"/>
      <c r="AI7" s="108"/>
      <c r="AJ7" s="108"/>
      <c r="AK7" s="108"/>
      <c r="AL7" s="108"/>
      <c r="AM7" s="108"/>
      <c r="AN7" s="108"/>
      <c r="AO7" s="108"/>
      <c r="AP7" s="108"/>
      <c r="AQ7" s="108"/>
      <c r="AR7" s="108"/>
    </row>
    <row r="8" spans="1:44" s="18" customFormat="1" ht="51" hidden="1" customHeight="1" thickBot="1" x14ac:dyDescent="0.35">
      <c r="A8" s="108">
        <v>500</v>
      </c>
      <c r="B8" s="636" t="s">
        <v>55</v>
      </c>
      <c r="C8" s="636" t="s">
        <v>129</v>
      </c>
      <c r="D8" s="709" t="s">
        <v>1096</v>
      </c>
      <c r="E8" s="670" t="e">
        <f>HLOOKUP($D$2,'2020 Data(H)'!$C$1:$AB$426,150,FALSE)</f>
        <v>#N/A</v>
      </c>
      <c r="F8" s="295">
        <v>0</v>
      </c>
      <c r="G8" s="731">
        <f>IF(F8&lt;0,"Note: Number is normally positive.",)</f>
        <v>0</v>
      </c>
      <c r="H8" s="732"/>
      <c r="I8" s="732"/>
      <c r="J8" s="576"/>
      <c r="L8" s="705"/>
      <c r="M8" s="18" t="s">
        <v>522</v>
      </c>
      <c r="N8" s="296"/>
      <c r="Q8" s="295">
        <v>1528687</v>
      </c>
      <c r="Z8" s="108"/>
      <c r="AA8" s="108"/>
      <c r="AB8" s="108"/>
      <c r="AC8" s="108"/>
      <c r="AD8" s="108"/>
      <c r="AE8" s="108"/>
      <c r="AF8" s="108"/>
      <c r="AG8" s="108"/>
      <c r="AH8" s="108"/>
      <c r="AI8" s="108"/>
      <c r="AJ8" s="108"/>
      <c r="AK8" s="108"/>
      <c r="AL8" s="108"/>
      <c r="AM8" s="108"/>
      <c r="AN8" s="108"/>
      <c r="AO8" s="108"/>
      <c r="AP8" s="108"/>
      <c r="AQ8" s="108"/>
      <c r="AR8" s="108"/>
    </row>
    <row r="9" spans="1:44" ht="51" hidden="1" customHeight="1" thickBot="1" x14ac:dyDescent="0.35">
      <c r="A9" s="108">
        <v>385</v>
      </c>
      <c r="B9" s="594" t="s">
        <v>60</v>
      </c>
      <c r="C9" s="636" t="s">
        <v>129</v>
      </c>
      <c r="D9" s="107" t="s">
        <v>130</v>
      </c>
      <c r="E9" s="670" t="e">
        <f>HLOOKUP($D$2,'2020 Data(H)'!$C$1:$AB$426,144,FALSE)</f>
        <v>#N/A</v>
      </c>
      <c r="F9" s="295">
        <v>0</v>
      </c>
      <c r="G9" s="731">
        <f>IF((F7+F8)&gt;F9,"Error: Please review Account numbers (333+500)&gt;385",)</f>
        <v>0</v>
      </c>
      <c r="H9" s="17"/>
      <c r="I9" s="732"/>
      <c r="J9" s="576"/>
      <c r="L9" s="705"/>
      <c r="Q9" s="295">
        <v>4566372</v>
      </c>
      <c r="Z9" s="108"/>
      <c r="AA9" s="108"/>
      <c r="AB9" s="108"/>
      <c r="AC9" s="108"/>
      <c r="AD9" s="108"/>
      <c r="AE9" s="108"/>
      <c r="AF9" s="108"/>
      <c r="AG9" s="108"/>
      <c r="AH9" s="108"/>
      <c r="AI9" s="108"/>
      <c r="AJ9" s="108"/>
      <c r="AK9" s="108"/>
      <c r="AL9" s="108"/>
      <c r="AM9" s="108"/>
      <c r="AN9" s="108"/>
      <c r="AO9" s="108"/>
      <c r="AP9" s="108"/>
      <c r="AQ9" s="108"/>
      <c r="AR9" s="108"/>
    </row>
    <row r="10" spans="1:44" s="18" customFormat="1" ht="90" hidden="1" customHeight="1" thickBot="1" x14ac:dyDescent="0.35">
      <c r="A10" s="108">
        <v>575</v>
      </c>
      <c r="B10" s="636" t="s">
        <v>70</v>
      </c>
      <c r="C10" s="636" t="s">
        <v>129</v>
      </c>
      <c r="D10" s="811" t="s">
        <v>1097</v>
      </c>
      <c r="E10" s="670" t="e">
        <f>HLOOKUP($D$2,'2020 Data(H)'!$C$1:$AB$426,225,FALSE)</f>
        <v>#N/A</v>
      </c>
      <c r="F10" s="295">
        <v>0</v>
      </c>
      <c r="G10" s="731">
        <f>IF(F10&lt;0,"Note: Number is normally positive.",)</f>
        <v>0</v>
      </c>
      <c r="H10" s="734"/>
      <c r="I10" s="735"/>
      <c r="L10" s="705"/>
      <c r="N10" s="296"/>
      <c r="Q10" s="295">
        <v>0</v>
      </c>
      <c r="Z10" s="108"/>
      <c r="AA10" s="108"/>
      <c r="AB10" s="108"/>
      <c r="AC10" s="108"/>
      <c r="AD10" s="108"/>
      <c r="AE10" s="108"/>
      <c r="AF10" s="108"/>
      <c r="AG10" s="108"/>
      <c r="AH10" s="108"/>
      <c r="AI10" s="108"/>
      <c r="AJ10" s="108"/>
      <c r="AK10" s="108"/>
      <c r="AL10" s="108"/>
      <c r="AM10" s="108"/>
      <c r="AN10" s="108"/>
      <c r="AO10" s="108"/>
      <c r="AP10" s="108"/>
      <c r="AQ10" s="108"/>
      <c r="AR10" s="108"/>
    </row>
    <row r="11" spans="1:44" s="18" customFormat="1" ht="93.75" hidden="1" customHeight="1" thickBot="1" x14ac:dyDescent="0.35">
      <c r="A11" s="108">
        <v>576</v>
      </c>
      <c r="B11" s="636" t="s">
        <v>70</v>
      </c>
      <c r="C11" s="636" t="s">
        <v>129</v>
      </c>
      <c r="D11" s="811" t="s">
        <v>1098</v>
      </c>
      <c r="E11" s="670" t="e">
        <f>HLOOKUP($D$2,'2020 Data(H)'!$C$1:$AB$426,226,FALSE)</f>
        <v>#N/A</v>
      </c>
      <c r="F11" s="295">
        <v>0</v>
      </c>
      <c r="G11" s="731">
        <f>IF(F11&lt;0,"Error: Enter as positive.",)</f>
        <v>0</v>
      </c>
      <c r="H11" s="734"/>
      <c r="I11" s="735"/>
      <c r="J11" s="576"/>
      <c r="L11" s="705"/>
      <c r="N11" s="296"/>
      <c r="Q11" s="295">
        <v>0</v>
      </c>
      <c r="Z11" s="108"/>
      <c r="AA11" s="108"/>
      <c r="AB11" s="108"/>
      <c r="AC11" s="108"/>
      <c r="AD11" s="108"/>
      <c r="AE11" s="108"/>
      <c r="AF11" s="108"/>
      <c r="AG11" s="108"/>
      <c r="AH11" s="108"/>
      <c r="AI11" s="108"/>
      <c r="AJ11" s="108"/>
      <c r="AK11" s="108"/>
      <c r="AL11" s="108"/>
      <c r="AM11" s="108"/>
      <c r="AN11" s="108"/>
      <c r="AO11" s="108"/>
      <c r="AP11" s="108"/>
      <c r="AQ11" s="108"/>
      <c r="AR11" s="108"/>
    </row>
    <row r="12" spans="1:44" ht="85.5" hidden="1" customHeight="1" thickBot="1" x14ac:dyDescent="0.35">
      <c r="A12" s="309">
        <v>626</v>
      </c>
      <c r="B12" s="812" t="s">
        <v>542</v>
      </c>
      <c r="C12" s="812" t="s">
        <v>129</v>
      </c>
      <c r="D12" s="339" t="s">
        <v>1099</v>
      </c>
      <c r="E12" s="670" t="e">
        <f>HLOOKUP($D$2,'2020 Data(H)'!$C$1:$AB$426,285,FALSE)</f>
        <v>#N/A</v>
      </c>
      <c r="F12" s="295">
        <v>0</v>
      </c>
      <c r="G12" s="731">
        <f>IF(F12&lt;0,"Error: Enter as positive.",)</f>
        <v>0</v>
      </c>
      <c r="H12" s="736"/>
      <c r="I12" s="736"/>
      <c r="J12" s="576"/>
      <c r="L12" s="705"/>
      <c r="Q12" s="295">
        <v>136667</v>
      </c>
      <c r="Z12" s="309"/>
      <c r="AA12" s="309"/>
      <c r="AB12" s="309"/>
      <c r="AC12" s="309"/>
      <c r="AD12" s="309"/>
      <c r="AE12" s="309"/>
      <c r="AF12" s="309"/>
      <c r="AG12" s="309"/>
      <c r="AH12" s="309"/>
      <c r="AI12" s="309"/>
      <c r="AJ12" s="309"/>
      <c r="AK12" s="309"/>
      <c r="AL12" s="309"/>
      <c r="AM12" s="309"/>
      <c r="AN12" s="309"/>
      <c r="AO12" s="309"/>
      <c r="AP12" s="309"/>
      <c r="AQ12" s="309"/>
      <c r="AR12" s="309"/>
    </row>
    <row r="13" spans="1:44" ht="89.25" hidden="1" customHeight="1" thickBot="1" x14ac:dyDescent="0.35">
      <c r="A13" s="308">
        <v>627</v>
      </c>
      <c r="B13" s="813" t="s">
        <v>416</v>
      </c>
      <c r="C13" s="812" t="s">
        <v>129</v>
      </c>
      <c r="D13" s="339" t="s">
        <v>1100</v>
      </c>
      <c r="E13" s="670" t="e">
        <f>HLOOKUP($D$2,'2020 Data(H)'!$C$1:$AB$426,286,FALSE)</f>
        <v>#N/A</v>
      </c>
      <c r="F13" s="295">
        <v>0</v>
      </c>
      <c r="G13" s="731">
        <f>IF(F13&gt;F12,"Please review account numbers 627 &gt;626",)</f>
        <v>0</v>
      </c>
      <c r="H13" s="736"/>
      <c r="I13" s="736"/>
      <c r="J13" s="576"/>
      <c r="L13" s="705"/>
      <c r="Q13" s="295">
        <v>0</v>
      </c>
      <c r="Z13" s="308"/>
      <c r="AA13" s="308"/>
      <c r="AB13" s="308"/>
      <c r="AC13" s="308"/>
      <c r="AD13" s="308"/>
      <c r="AE13" s="308"/>
      <c r="AF13" s="308"/>
      <c r="AG13" s="308"/>
      <c r="AH13" s="308"/>
      <c r="AI13" s="308"/>
      <c r="AJ13" s="308"/>
      <c r="AK13" s="308"/>
      <c r="AL13" s="308"/>
      <c r="AM13" s="308"/>
      <c r="AN13" s="308"/>
      <c r="AO13" s="308"/>
      <c r="AP13" s="308"/>
      <c r="AQ13" s="308"/>
      <c r="AR13" s="308"/>
    </row>
    <row r="14" spans="1:44" ht="105" hidden="1" customHeight="1" thickBot="1" x14ac:dyDescent="0.35">
      <c r="A14" s="308">
        <v>628</v>
      </c>
      <c r="B14" s="813" t="s">
        <v>416</v>
      </c>
      <c r="C14" s="812" t="s">
        <v>129</v>
      </c>
      <c r="D14" s="339" t="s">
        <v>1101</v>
      </c>
      <c r="E14" s="670" t="e">
        <f>HLOOKUP($D$2,'2020 Data(H)'!$C$1:$AB$426,287,FALSE)</f>
        <v>#N/A</v>
      </c>
      <c r="F14" s="295">
        <v>0</v>
      </c>
      <c r="G14" s="731">
        <f>IF(F14&gt;F12,"Please review account numbers 628 &gt; 626",)</f>
        <v>0</v>
      </c>
      <c r="H14" s="736"/>
      <c r="I14" s="736"/>
      <c r="J14" s="576"/>
      <c r="L14" s="705"/>
      <c r="Q14" s="295">
        <v>56141</v>
      </c>
      <c r="Z14" s="308"/>
      <c r="AA14" s="308"/>
      <c r="AB14" s="308"/>
      <c r="AC14" s="308"/>
      <c r="AD14" s="308"/>
      <c r="AE14" s="308"/>
      <c r="AF14" s="308"/>
      <c r="AG14" s="308"/>
      <c r="AH14" s="308"/>
      <c r="AI14" s="308"/>
      <c r="AJ14" s="308"/>
      <c r="AK14" s="308"/>
      <c r="AL14" s="308"/>
      <c r="AM14" s="308"/>
      <c r="AN14" s="308"/>
      <c r="AO14" s="308"/>
      <c r="AP14" s="308"/>
      <c r="AQ14" s="308"/>
      <c r="AR14" s="308"/>
    </row>
    <row r="15" spans="1:44" ht="95.25" hidden="1" customHeight="1" thickBot="1" x14ac:dyDescent="0.35">
      <c r="A15" s="308">
        <v>629</v>
      </c>
      <c r="B15" s="813" t="s">
        <v>416</v>
      </c>
      <c r="C15" s="812" t="s">
        <v>129</v>
      </c>
      <c r="D15" s="339" t="s">
        <v>1102</v>
      </c>
      <c r="E15" s="670" t="e">
        <f>HLOOKUP($D$2,'2020 Data(H)'!$C$1:$AB$426,288,FALSE)</f>
        <v>#N/A</v>
      </c>
      <c r="F15" s="295">
        <v>0</v>
      </c>
      <c r="G15" s="731">
        <f>IF(F15&gt;F12,"Please review account numbers 629 &gt; 626",)</f>
        <v>0</v>
      </c>
      <c r="H15" s="736"/>
      <c r="I15" s="736"/>
      <c r="J15" s="576"/>
      <c r="L15" s="705"/>
      <c r="Q15" s="295">
        <v>0</v>
      </c>
      <c r="Z15" s="308"/>
      <c r="AA15" s="308"/>
      <c r="AB15" s="308"/>
      <c r="AC15" s="308"/>
      <c r="AD15" s="308"/>
      <c r="AE15" s="308"/>
      <c r="AF15" s="308"/>
      <c r="AG15" s="308"/>
      <c r="AH15" s="308"/>
      <c r="AI15" s="308"/>
      <c r="AJ15" s="308"/>
      <c r="AK15" s="308"/>
      <c r="AL15" s="308"/>
      <c r="AM15" s="308"/>
      <c r="AN15" s="308"/>
      <c r="AO15" s="308"/>
      <c r="AP15" s="308"/>
      <c r="AQ15" s="308"/>
      <c r="AR15" s="308"/>
    </row>
    <row r="16" spans="1:44" ht="69" hidden="1" customHeight="1" thickBot="1" x14ac:dyDescent="0.35">
      <c r="A16" s="308">
        <v>630</v>
      </c>
      <c r="B16" s="813" t="s">
        <v>416</v>
      </c>
      <c r="C16" s="812" t="s">
        <v>129</v>
      </c>
      <c r="D16" s="339" t="s">
        <v>515</v>
      </c>
      <c r="E16" s="670" t="e">
        <f>HLOOKUP($D$2,'2020 Data(H)'!$C$1:$AB$426,289,FALSE)</f>
        <v>#N/A</v>
      </c>
      <c r="F16" s="295">
        <v>0</v>
      </c>
      <c r="G16" s="731">
        <f>IF(F16&gt;F12,"Please review account numbers 630 &gt; 626",)</f>
        <v>0</v>
      </c>
      <c r="H16" s="736"/>
      <c r="I16" s="736"/>
      <c r="J16" s="576"/>
      <c r="L16" s="705"/>
      <c r="Q16" s="295">
        <v>0</v>
      </c>
      <c r="Z16" s="308"/>
      <c r="AA16" s="308"/>
      <c r="AB16" s="308"/>
      <c r="AC16" s="308"/>
      <c r="AD16" s="308"/>
      <c r="AE16" s="308"/>
      <c r="AF16" s="308"/>
      <c r="AG16" s="308"/>
      <c r="AH16" s="308"/>
      <c r="AI16" s="308"/>
      <c r="AJ16" s="308"/>
      <c r="AK16" s="308"/>
      <c r="AL16" s="308"/>
      <c r="AM16" s="308"/>
      <c r="AN16" s="308"/>
      <c r="AO16" s="308"/>
      <c r="AP16" s="308"/>
      <c r="AQ16" s="308"/>
      <c r="AR16" s="308"/>
    </row>
    <row r="17" spans="1:44" ht="95.25" hidden="1" customHeight="1" thickBot="1" x14ac:dyDescent="0.35">
      <c r="A17" s="308">
        <v>631</v>
      </c>
      <c r="B17" s="813" t="s">
        <v>416</v>
      </c>
      <c r="C17" s="812" t="s">
        <v>129</v>
      </c>
      <c r="D17" s="339" t="s">
        <v>1103</v>
      </c>
      <c r="E17" s="670" t="e">
        <f>HLOOKUP($D$2,'2020 Data(H)'!$C$1:$AB$426,290,FALSE)</f>
        <v>#N/A</v>
      </c>
      <c r="F17" s="295">
        <v>0</v>
      </c>
      <c r="G17" s="731">
        <f>IF(F17&gt;F12,"Please review account numbers 631 &gt; 626",)</f>
        <v>0</v>
      </c>
      <c r="H17" s="736"/>
      <c r="I17" s="736"/>
      <c r="J17" s="576"/>
      <c r="L17" s="705"/>
      <c r="Q17" s="295">
        <v>0</v>
      </c>
      <c r="Z17" s="308"/>
      <c r="AA17" s="308"/>
      <c r="AB17" s="308"/>
      <c r="AC17" s="308"/>
      <c r="AD17" s="308"/>
      <c r="AE17" s="308"/>
      <c r="AF17" s="308"/>
      <c r="AG17" s="308"/>
      <c r="AH17" s="308"/>
      <c r="AI17" s="308"/>
      <c r="AJ17" s="308"/>
      <c r="AK17" s="308"/>
      <c r="AL17" s="308"/>
      <c r="AM17" s="308"/>
      <c r="AN17" s="308"/>
      <c r="AO17" s="308"/>
      <c r="AP17" s="308"/>
      <c r="AQ17" s="308"/>
      <c r="AR17" s="308"/>
    </row>
    <row r="18" spans="1:44" ht="111.75" hidden="1" customHeight="1" thickBot="1" x14ac:dyDescent="0.35">
      <c r="A18" s="308">
        <v>632</v>
      </c>
      <c r="B18" s="813" t="s">
        <v>416</v>
      </c>
      <c r="C18" s="812" t="s">
        <v>129</v>
      </c>
      <c r="D18" s="339" t="s">
        <v>1104</v>
      </c>
      <c r="E18" s="670" t="e">
        <f>HLOOKUP($D$2,'2020 Data(H)'!$C$1:$AB$426,291,FALSE)</f>
        <v>#N/A</v>
      </c>
      <c r="F18" s="295">
        <v>0</v>
      </c>
      <c r="G18" s="731">
        <f>IF(F18&gt;F12,"Please review account numbers 632 &gt; 626",)</f>
        <v>0</v>
      </c>
      <c r="H18" s="736"/>
      <c r="I18" s="736"/>
      <c r="J18" s="576"/>
      <c r="L18" s="705"/>
      <c r="Q18" s="295">
        <v>0</v>
      </c>
      <c r="Z18" s="308"/>
      <c r="AA18" s="308"/>
      <c r="AB18" s="308"/>
      <c r="AC18" s="308"/>
      <c r="AD18" s="308"/>
      <c r="AE18" s="308"/>
      <c r="AF18" s="308"/>
      <c r="AG18" s="308"/>
      <c r="AH18" s="308"/>
      <c r="AI18" s="308"/>
      <c r="AJ18" s="308"/>
      <c r="AK18" s="308"/>
      <c r="AL18" s="308"/>
      <c r="AM18" s="308"/>
      <c r="AN18" s="308"/>
      <c r="AO18" s="308"/>
      <c r="AP18" s="308"/>
      <c r="AQ18" s="308"/>
      <c r="AR18" s="308"/>
    </row>
    <row r="19" spans="1:44" ht="55.5" hidden="1" customHeight="1" thickBot="1" x14ac:dyDescent="0.35">
      <c r="A19" s="108">
        <v>338</v>
      </c>
      <c r="B19" s="594" t="s">
        <v>56</v>
      </c>
      <c r="C19" s="636" t="s">
        <v>129</v>
      </c>
      <c r="D19" s="107" t="s">
        <v>131</v>
      </c>
      <c r="E19" s="670" t="e">
        <f>HLOOKUP($D$2,'2020 Data(H)'!$C$1:$AB$426,104,FALSE)</f>
        <v>#N/A</v>
      </c>
      <c r="F19" s="295">
        <v>0</v>
      </c>
      <c r="G19" s="731" t="str">
        <f>IF(F12&gt;F19,"Error: Please review accts 626 &gt; 338","")</f>
        <v/>
      </c>
      <c r="H19" s="17"/>
      <c r="I19" s="732"/>
      <c r="J19" s="576"/>
      <c r="L19" s="705"/>
      <c r="Q19" s="295">
        <v>1131889</v>
      </c>
      <c r="Z19" s="108"/>
      <c r="AA19" s="108"/>
      <c r="AB19" s="108"/>
      <c r="AC19" s="108"/>
      <c r="AD19" s="108"/>
      <c r="AE19" s="108"/>
      <c r="AF19" s="108"/>
      <c r="AG19" s="108"/>
      <c r="AH19" s="108"/>
      <c r="AI19" s="108"/>
      <c r="AJ19" s="108"/>
      <c r="AK19" s="108"/>
      <c r="AL19" s="108"/>
      <c r="AM19" s="108"/>
      <c r="AN19" s="108"/>
      <c r="AO19" s="108"/>
      <c r="AP19" s="108"/>
      <c r="AQ19" s="108"/>
      <c r="AR19" s="108"/>
    </row>
    <row r="20" spans="1:44" ht="89.25" hidden="1" customHeight="1" thickBot="1" x14ac:dyDescent="0.35">
      <c r="A20" s="108">
        <v>335</v>
      </c>
      <c r="B20" s="594" t="s">
        <v>56</v>
      </c>
      <c r="C20" s="636" t="s">
        <v>129</v>
      </c>
      <c r="D20" s="709" t="s">
        <v>1105</v>
      </c>
      <c r="E20" s="670" t="e">
        <f>HLOOKUP($D$2,'2020 Data(H)'!$C$1:$AB$426,101,FALSE)</f>
        <v>#N/A</v>
      </c>
      <c r="F20" s="295">
        <v>0</v>
      </c>
      <c r="G20" s="731">
        <f>IF(F20&lt;0,"Error: Enter as positive.",)</f>
        <v>0</v>
      </c>
      <c r="H20" s="17"/>
      <c r="I20" s="374"/>
      <c r="J20" s="576"/>
      <c r="L20" s="705"/>
      <c r="Q20" s="295">
        <v>0</v>
      </c>
      <c r="Z20" s="108"/>
      <c r="AA20" s="108"/>
      <c r="AB20" s="108"/>
      <c r="AC20" s="108"/>
      <c r="AD20" s="108"/>
      <c r="AE20" s="108"/>
      <c r="AF20" s="108"/>
      <c r="AG20" s="108"/>
      <c r="AH20" s="108"/>
      <c r="AI20" s="108"/>
      <c r="AJ20" s="108"/>
      <c r="AK20" s="108"/>
      <c r="AL20" s="108"/>
      <c r="AM20" s="108"/>
      <c r="AN20" s="108"/>
      <c r="AO20" s="108"/>
      <c r="AP20" s="108"/>
      <c r="AQ20" s="108"/>
      <c r="AR20" s="108"/>
    </row>
    <row r="21" spans="1:44" ht="48.75" hidden="1" customHeight="1" thickBot="1" x14ac:dyDescent="0.35">
      <c r="A21" s="108">
        <v>252</v>
      </c>
      <c r="B21" s="594" t="s">
        <v>56</v>
      </c>
      <c r="C21" s="636" t="s">
        <v>129</v>
      </c>
      <c r="D21" s="107" t="s">
        <v>132</v>
      </c>
      <c r="E21" s="670" t="e">
        <f>HLOOKUP($D$2,'2020 Data(H)'!$C$1:$AB$426,78,FALSE)</f>
        <v>#N/A</v>
      </c>
      <c r="F21" s="295">
        <v>0</v>
      </c>
      <c r="G21" s="737"/>
      <c r="H21" s="17"/>
      <c r="I21" s="79"/>
      <c r="J21" s="576"/>
      <c r="L21" s="705"/>
      <c r="Q21" s="295">
        <v>1656465</v>
      </c>
      <c r="Z21" s="108"/>
      <c r="AA21" s="108"/>
      <c r="AB21" s="108"/>
      <c r="AC21" s="108"/>
      <c r="AD21" s="108"/>
      <c r="AE21" s="108"/>
      <c r="AF21" s="108"/>
      <c r="AG21" s="108"/>
      <c r="AH21" s="108"/>
      <c r="AI21" s="108"/>
      <c r="AJ21" s="108"/>
      <c r="AK21" s="108"/>
      <c r="AL21" s="108"/>
      <c r="AM21" s="108"/>
      <c r="AN21" s="108"/>
      <c r="AO21" s="108"/>
      <c r="AP21" s="108"/>
      <c r="AQ21" s="108"/>
      <c r="AR21" s="108"/>
    </row>
    <row r="22" spans="1:44" ht="43.8" hidden="1" thickBot="1" x14ac:dyDescent="0.35">
      <c r="A22" s="108">
        <v>253</v>
      </c>
      <c r="B22" s="594" t="s">
        <v>56</v>
      </c>
      <c r="C22" s="636" t="s">
        <v>129</v>
      </c>
      <c r="D22" s="107" t="s">
        <v>133</v>
      </c>
      <c r="E22" s="670" t="e">
        <f>HLOOKUP($D$2,'2020 Data(H)'!$C$1:$AB$426,79,FALSE)</f>
        <v>#N/A</v>
      </c>
      <c r="F22" s="295">
        <v>0</v>
      </c>
      <c r="G22" s="731"/>
      <c r="H22" s="17"/>
      <c r="I22" s="79"/>
      <c r="J22" s="576"/>
      <c r="L22" s="705"/>
      <c r="Q22" s="295">
        <v>172269</v>
      </c>
      <c r="Z22" s="108"/>
      <c r="AA22" s="108"/>
      <c r="AB22" s="108"/>
      <c r="AC22" s="108"/>
      <c r="AD22" s="108"/>
      <c r="AE22" s="108"/>
      <c r="AF22" s="108"/>
      <c r="AG22" s="108"/>
      <c r="AH22" s="108"/>
      <c r="AI22" s="108"/>
      <c r="AJ22" s="108"/>
      <c r="AK22" s="108"/>
      <c r="AL22" s="108"/>
      <c r="AM22" s="108"/>
      <c r="AN22" s="108"/>
      <c r="AO22" s="108"/>
      <c r="AP22" s="108"/>
      <c r="AQ22" s="108"/>
      <c r="AR22" s="108"/>
    </row>
    <row r="23" spans="1:44" ht="73.5" hidden="1" customHeight="1" thickBot="1" x14ac:dyDescent="0.35">
      <c r="A23" s="108">
        <v>254</v>
      </c>
      <c r="B23" s="594" t="s">
        <v>56</v>
      </c>
      <c r="C23" s="636" t="s">
        <v>129</v>
      </c>
      <c r="D23" s="107" t="s">
        <v>1106</v>
      </c>
      <c r="E23" s="670" t="e">
        <f>HLOOKUP($D$2,'2020 Data(H)'!$C$1:$AB$426,80,FALSE)</f>
        <v>#N/A</v>
      </c>
      <c r="F23" s="295">
        <v>0</v>
      </c>
      <c r="G23" s="731">
        <f>IF(H23=0,,"Error: Total assets and deferred outflows less total liabilities and deferred inflows do not equal total net position. Account numbers  385-338-252-253-254 = 0.  The amount the formula is off is located in the cell to the right")</f>
        <v>0</v>
      </c>
      <c r="H23" s="734">
        <f>F9-F19-F21-F22-F23</f>
        <v>0</v>
      </c>
      <c r="I23" s="79"/>
      <c r="J23" s="576"/>
      <c r="L23" s="705"/>
      <c r="Q23" s="295">
        <v>1605749</v>
      </c>
      <c r="Z23" s="108"/>
      <c r="AA23" s="108"/>
      <c r="AB23" s="108"/>
      <c r="AC23" s="108"/>
      <c r="AD23" s="108"/>
      <c r="AE23" s="108"/>
      <c r="AF23" s="108"/>
      <c r="AG23" s="108"/>
      <c r="AH23" s="108"/>
      <c r="AI23" s="108"/>
      <c r="AJ23" s="108"/>
      <c r="AK23" s="108"/>
      <c r="AL23" s="108"/>
      <c r="AM23" s="108"/>
      <c r="AN23" s="108"/>
      <c r="AO23" s="108"/>
      <c r="AP23" s="108"/>
      <c r="AQ23" s="108"/>
      <c r="AR23" s="108"/>
    </row>
    <row r="24" spans="1:44" ht="21.75" hidden="1" customHeight="1" thickBot="1" x14ac:dyDescent="0.35">
      <c r="A24" s="108"/>
      <c r="B24" s="844" t="s">
        <v>134</v>
      </c>
      <c r="C24" s="845"/>
      <c r="D24" s="849"/>
      <c r="E24" s="850"/>
      <c r="F24" s="861"/>
      <c r="G24" s="862"/>
      <c r="H24" s="17"/>
      <c r="I24" s="79"/>
      <c r="L24" s="705"/>
      <c r="Z24" s="108"/>
      <c r="AA24" s="108"/>
      <c r="AB24" s="108"/>
      <c r="AC24" s="108"/>
      <c r="AD24" s="108"/>
      <c r="AE24" s="108"/>
      <c r="AF24" s="108"/>
      <c r="AG24" s="108"/>
      <c r="AH24" s="108"/>
      <c r="AI24" s="108"/>
      <c r="AJ24" s="108"/>
      <c r="AK24" s="108"/>
      <c r="AL24" s="108"/>
      <c r="AM24" s="108"/>
      <c r="AN24" s="108"/>
      <c r="AO24" s="108"/>
      <c r="AP24" s="108"/>
      <c r="AQ24" s="108"/>
      <c r="AR24" s="108"/>
    </row>
    <row r="25" spans="1:44" ht="59.25" hidden="1" customHeight="1" thickBot="1" x14ac:dyDescent="0.35">
      <c r="A25" s="108">
        <v>502</v>
      </c>
      <c r="B25" s="594" t="s">
        <v>55</v>
      </c>
      <c r="C25" s="636" t="s">
        <v>136</v>
      </c>
      <c r="D25" s="709" t="s">
        <v>1107</v>
      </c>
      <c r="E25" s="670" t="e">
        <f>HLOOKUP($D$2,'2020 Data(H)'!$C$1:$AB$426,152,FALSE)</f>
        <v>#N/A</v>
      </c>
      <c r="F25" s="295">
        <v>0</v>
      </c>
      <c r="G25" s="731">
        <f>IF(F25&lt;0,"Note: Number is normally positive.",)</f>
        <v>0</v>
      </c>
      <c r="H25" s="17"/>
      <c r="I25" s="79"/>
      <c r="L25" s="705"/>
      <c r="Z25" s="108"/>
      <c r="AA25" s="108"/>
      <c r="AB25" s="108"/>
      <c r="AC25" s="108"/>
      <c r="AD25" s="108"/>
      <c r="AE25" s="108"/>
      <c r="AF25" s="108"/>
      <c r="AG25" s="108"/>
      <c r="AH25" s="108"/>
      <c r="AI25" s="108"/>
      <c r="AJ25" s="108"/>
      <c r="AK25" s="108"/>
      <c r="AL25" s="108"/>
      <c r="AM25" s="108"/>
      <c r="AN25" s="108"/>
      <c r="AO25" s="108"/>
      <c r="AP25" s="108"/>
      <c r="AQ25" s="108"/>
      <c r="AR25" s="108"/>
    </row>
    <row r="26" spans="1:44" ht="59.25" hidden="1" customHeight="1" thickBot="1" x14ac:dyDescent="0.35">
      <c r="A26" s="108">
        <v>503</v>
      </c>
      <c r="B26" s="594" t="s">
        <v>55</v>
      </c>
      <c r="C26" s="636" t="s">
        <v>136</v>
      </c>
      <c r="D26" s="107" t="s">
        <v>135</v>
      </c>
      <c r="E26" s="670" t="e">
        <f>HLOOKUP($D$2,'2020 Data(H)'!$C$1:$AB$426,153,FALSE)</f>
        <v>#N/A</v>
      </c>
      <c r="F26" s="274">
        <v>0</v>
      </c>
      <c r="G26" s="731">
        <f>IF(F26&lt;0,"Note: Number is normally positive.",)</f>
        <v>0</v>
      </c>
      <c r="H26" s="17"/>
      <c r="I26" s="79"/>
      <c r="L26" s="705"/>
      <c r="Z26" s="108"/>
      <c r="AA26" s="108"/>
      <c r="AB26" s="108"/>
      <c r="AC26" s="108"/>
      <c r="AD26" s="108"/>
      <c r="AE26" s="108"/>
      <c r="AF26" s="108"/>
      <c r="AG26" s="108"/>
      <c r="AH26" s="108"/>
      <c r="AI26" s="108"/>
      <c r="AJ26" s="108"/>
      <c r="AK26" s="108"/>
      <c r="AL26" s="108"/>
      <c r="AM26" s="108"/>
      <c r="AN26" s="108"/>
      <c r="AO26" s="108"/>
      <c r="AP26" s="108"/>
      <c r="AQ26" s="108"/>
      <c r="AR26" s="108"/>
    </row>
    <row r="27" spans="1:44" ht="27" hidden="1" customHeight="1" thickBot="1" x14ac:dyDescent="0.35">
      <c r="A27" s="108"/>
      <c r="B27" s="844" t="s">
        <v>137</v>
      </c>
      <c r="C27" s="845"/>
      <c r="D27" s="849"/>
      <c r="E27" s="850"/>
      <c r="F27" s="851"/>
      <c r="G27" s="852"/>
      <c r="H27" s="17"/>
      <c r="I27" s="79"/>
      <c r="L27" s="705"/>
      <c r="Z27" s="108"/>
      <c r="AA27" s="108"/>
      <c r="AB27" s="108"/>
      <c r="AC27" s="108"/>
      <c r="AD27" s="108"/>
      <c r="AE27" s="108"/>
      <c r="AF27" s="108"/>
      <c r="AG27" s="108"/>
      <c r="AH27" s="108"/>
      <c r="AI27" s="108"/>
      <c r="AJ27" s="108"/>
      <c r="AK27" s="108"/>
      <c r="AL27" s="108"/>
      <c r="AM27" s="108"/>
      <c r="AN27" s="108"/>
      <c r="AO27" s="108"/>
      <c r="AP27" s="108"/>
      <c r="AQ27" s="108"/>
      <c r="AR27" s="108"/>
    </row>
    <row r="28" spans="1:44" ht="49.5" hidden="1" customHeight="1" thickBot="1" x14ac:dyDescent="0.35">
      <c r="A28" s="108">
        <v>344</v>
      </c>
      <c r="B28" s="594" t="s">
        <v>56</v>
      </c>
      <c r="C28" s="594" t="s">
        <v>144</v>
      </c>
      <c r="D28" s="107" t="s">
        <v>138</v>
      </c>
      <c r="E28" s="670" t="e">
        <f>HLOOKUP($D$2,'2020 Data(H)'!$C$1:$AB$426,110,FALSE)</f>
        <v>#N/A</v>
      </c>
      <c r="F28" s="295">
        <v>0</v>
      </c>
      <c r="G28" s="731">
        <f t="shared" ref="G28:G35" si="0">IF(F28&lt;0,"Error: Enter as positive.",)</f>
        <v>0</v>
      </c>
      <c r="H28" s="17"/>
      <c r="I28" s="79"/>
      <c r="L28" s="705"/>
      <c r="Z28" s="108"/>
      <c r="AA28" s="108"/>
      <c r="AB28" s="108"/>
      <c r="AC28" s="108"/>
      <c r="AD28" s="108"/>
      <c r="AE28" s="108"/>
      <c r="AF28" s="108"/>
      <c r="AG28" s="108"/>
      <c r="AH28" s="108"/>
      <c r="AI28" s="108"/>
      <c r="AJ28" s="108"/>
      <c r="AK28" s="108"/>
      <c r="AL28" s="108"/>
      <c r="AM28" s="108"/>
      <c r="AN28" s="108"/>
      <c r="AO28" s="108"/>
      <c r="AP28" s="108"/>
      <c r="AQ28" s="108"/>
      <c r="AR28" s="108"/>
    </row>
    <row r="29" spans="1:44" ht="49.5" hidden="1" customHeight="1" thickBot="1" x14ac:dyDescent="0.35">
      <c r="A29" s="108">
        <v>388</v>
      </c>
      <c r="B29" s="594" t="s">
        <v>60</v>
      </c>
      <c r="C29" s="594" t="s">
        <v>144</v>
      </c>
      <c r="D29" s="107" t="s">
        <v>139</v>
      </c>
      <c r="E29" s="670" t="e">
        <f>HLOOKUP($D$2,'2020 Data(H)'!$C$1:$AB$426,147,FALSE)</f>
        <v>#N/A</v>
      </c>
      <c r="F29" s="295">
        <v>0</v>
      </c>
      <c r="G29" s="731">
        <f t="shared" si="0"/>
        <v>0</v>
      </c>
      <c r="H29" s="17"/>
      <c r="I29" s="79"/>
      <c r="J29" s="576"/>
      <c r="L29" s="705"/>
      <c r="Z29" s="108"/>
      <c r="AA29" s="108"/>
      <c r="AB29" s="108"/>
      <c r="AC29" s="108"/>
      <c r="AD29" s="108"/>
      <c r="AE29" s="108"/>
      <c r="AF29" s="108"/>
      <c r="AG29" s="108"/>
      <c r="AH29" s="108"/>
      <c r="AI29" s="108"/>
      <c r="AJ29" s="108"/>
      <c r="AK29" s="108"/>
      <c r="AL29" s="108"/>
      <c r="AM29" s="108"/>
      <c r="AN29" s="108"/>
      <c r="AO29" s="108"/>
      <c r="AP29" s="108"/>
      <c r="AQ29" s="108"/>
      <c r="AR29" s="108"/>
    </row>
    <row r="30" spans="1:44" ht="51.75" hidden="1" customHeight="1" thickBot="1" x14ac:dyDescent="0.35">
      <c r="A30" s="108">
        <v>339</v>
      </c>
      <c r="B30" s="594" t="s">
        <v>56</v>
      </c>
      <c r="C30" s="594" t="s">
        <v>144</v>
      </c>
      <c r="D30" s="107" t="s">
        <v>140</v>
      </c>
      <c r="E30" s="670" t="e">
        <f>HLOOKUP($D$2,'2020 Data(H)'!$C$1:$AB$426,105,FALSE)</f>
        <v>#N/A</v>
      </c>
      <c r="F30" s="295">
        <v>0</v>
      </c>
      <c r="G30" s="731">
        <f t="shared" si="0"/>
        <v>0</v>
      </c>
      <c r="H30" s="17"/>
      <c r="I30" s="79"/>
      <c r="J30" s="576"/>
      <c r="L30" s="705"/>
      <c r="Z30" s="108"/>
      <c r="AA30" s="108"/>
      <c r="AB30" s="108"/>
      <c r="AC30" s="108"/>
      <c r="AD30" s="108"/>
      <c r="AE30" s="108"/>
      <c r="AF30" s="108"/>
      <c r="AG30" s="108"/>
      <c r="AH30" s="108"/>
      <c r="AI30" s="108"/>
      <c r="AJ30" s="108"/>
      <c r="AK30" s="108"/>
      <c r="AL30" s="108"/>
      <c r="AM30" s="108"/>
      <c r="AN30" s="108"/>
      <c r="AO30" s="108"/>
      <c r="AP30" s="108"/>
      <c r="AQ30" s="108"/>
      <c r="AR30" s="108"/>
    </row>
    <row r="31" spans="1:44" ht="50.25" hidden="1" customHeight="1" thickBot="1" x14ac:dyDescent="0.35">
      <c r="A31" s="108">
        <v>504</v>
      </c>
      <c r="B31" s="594" t="s">
        <v>56</v>
      </c>
      <c r="C31" s="594" t="s">
        <v>144</v>
      </c>
      <c r="D31" s="107" t="s">
        <v>141</v>
      </c>
      <c r="E31" s="670" t="e">
        <f>HLOOKUP($D$2,'2020 Data(H)'!$C$1:$AB$426,154,FALSE)</f>
        <v>#N/A</v>
      </c>
      <c r="F31" s="295">
        <v>0</v>
      </c>
      <c r="G31" s="731">
        <f t="shared" si="0"/>
        <v>0</v>
      </c>
      <c r="H31" s="17"/>
      <c r="I31" s="79"/>
      <c r="J31" s="576"/>
      <c r="L31" s="705"/>
      <c r="Z31" s="108"/>
      <c r="AA31" s="108"/>
      <c r="AB31" s="108"/>
      <c r="AC31" s="108"/>
      <c r="AD31" s="108"/>
      <c r="AE31" s="108"/>
      <c r="AF31" s="108"/>
      <c r="AG31" s="108"/>
      <c r="AH31" s="108"/>
      <c r="AI31" s="108"/>
      <c r="AJ31" s="108"/>
      <c r="AK31" s="108"/>
      <c r="AL31" s="108"/>
      <c r="AM31" s="108"/>
      <c r="AN31" s="108"/>
      <c r="AO31" s="108"/>
      <c r="AP31" s="108"/>
      <c r="AQ31" s="108"/>
      <c r="AR31" s="108"/>
    </row>
    <row r="32" spans="1:44" ht="60" hidden="1" customHeight="1" thickBot="1" x14ac:dyDescent="0.35">
      <c r="A32" s="108">
        <v>505</v>
      </c>
      <c r="B32" s="594" t="s">
        <v>56</v>
      </c>
      <c r="C32" s="594" t="s">
        <v>144</v>
      </c>
      <c r="D32" s="689" t="s">
        <v>142</v>
      </c>
      <c r="E32" s="670" t="e">
        <f>HLOOKUP($D$2,'2020 Data(H)'!$C$1:$AB$426,155,FALSE)</f>
        <v>#N/A</v>
      </c>
      <c r="F32" s="295">
        <v>0</v>
      </c>
      <c r="G32" s="731">
        <f t="shared" si="0"/>
        <v>0</v>
      </c>
      <c r="H32" s="17"/>
      <c r="I32" s="79"/>
      <c r="J32" s="576"/>
      <c r="L32" s="705"/>
      <c r="Z32" s="108"/>
      <c r="AA32" s="108"/>
      <c r="AB32" s="108"/>
      <c r="AC32" s="108"/>
      <c r="AD32" s="108"/>
      <c r="AE32" s="108"/>
      <c r="AF32" s="108"/>
      <c r="AG32" s="108"/>
      <c r="AH32" s="108"/>
      <c r="AI32" s="108"/>
      <c r="AJ32" s="108"/>
      <c r="AK32" s="108"/>
      <c r="AL32" s="108"/>
      <c r="AM32" s="108"/>
      <c r="AN32" s="108"/>
      <c r="AO32" s="108"/>
      <c r="AP32" s="108"/>
      <c r="AQ32" s="108"/>
      <c r="AR32" s="108"/>
    </row>
    <row r="33" spans="1:44" ht="67.95" hidden="1" customHeight="1" thickBot="1" x14ac:dyDescent="0.35">
      <c r="A33" s="108">
        <v>341</v>
      </c>
      <c r="B33" s="594" t="s">
        <v>56</v>
      </c>
      <c r="C33" s="594" t="s">
        <v>144</v>
      </c>
      <c r="D33" s="709" t="s">
        <v>1108</v>
      </c>
      <c r="E33" s="670" t="e">
        <f>HLOOKUP($D$2,'2020 Data(H)'!$C$1:$AB$426,107,FALSE)</f>
        <v>#N/A</v>
      </c>
      <c r="F33" s="295">
        <v>0</v>
      </c>
      <c r="G33" s="731">
        <f t="shared" si="0"/>
        <v>0</v>
      </c>
      <c r="H33" s="17"/>
      <c r="I33" s="79"/>
      <c r="J33" s="576"/>
      <c r="L33" s="705"/>
      <c r="Z33" s="108"/>
      <c r="AA33" s="108"/>
      <c r="AB33" s="108"/>
      <c r="AC33" s="108"/>
      <c r="AD33" s="108"/>
      <c r="AE33" s="108"/>
      <c r="AF33" s="108"/>
      <c r="AG33" s="108"/>
      <c r="AH33" s="108"/>
      <c r="AI33" s="108"/>
      <c r="AJ33" s="108"/>
      <c r="AK33" s="108"/>
      <c r="AL33" s="108"/>
      <c r="AM33" s="108"/>
      <c r="AN33" s="108"/>
      <c r="AO33" s="108"/>
      <c r="AP33" s="108"/>
      <c r="AQ33" s="108"/>
      <c r="AR33" s="108"/>
    </row>
    <row r="34" spans="1:44" ht="44.25" hidden="1" customHeight="1" thickBot="1" x14ac:dyDescent="0.35">
      <c r="A34" s="108">
        <v>386</v>
      </c>
      <c r="B34" s="594" t="s">
        <v>56</v>
      </c>
      <c r="C34" s="594" t="s">
        <v>144</v>
      </c>
      <c r="D34" s="107" t="s">
        <v>1109</v>
      </c>
      <c r="E34" s="670" t="e">
        <f>HLOOKUP($D$2,'2020 Data(H)'!$C$1:$AB$426,145,FALSE)</f>
        <v>#N/A</v>
      </c>
      <c r="F34" s="295">
        <v>0</v>
      </c>
      <c r="G34" s="731">
        <f t="shared" si="0"/>
        <v>0</v>
      </c>
      <c r="H34" s="17"/>
      <c r="I34" s="79"/>
      <c r="L34" s="705"/>
      <c r="Z34" s="108"/>
      <c r="AA34" s="108"/>
      <c r="AB34" s="108"/>
      <c r="AC34" s="108"/>
      <c r="AD34" s="108"/>
      <c r="AE34" s="108"/>
      <c r="AF34" s="108"/>
      <c r="AG34" s="108"/>
      <c r="AH34" s="108"/>
      <c r="AI34" s="108"/>
      <c r="AJ34" s="108"/>
      <c r="AK34" s="108"/>
      <c r="AL34" s="108"/>
      <c r="AM34" s="108"/>
      <c r="AN34" s="108"/>
      <c r="AO34" s="108"/>
      <c r="AP34" s="108"/>
      <c r="AQ34" s="108"/>
      <c r="AR34" s="108"/>
    </row>
    <row r="35" spans="1:44" ht="48.75" hidden="1" customHeight="1" thickBot="1" x14ac:dyDescent="0.35">
      <c r="A35" s="108">
        <v>387</v>
      </c>
      <c r="B35" s="594" t="s">
        <v>60</v>
      </c>
      <c r="C35" s="594" t="s">
        <v>144</v>
      </c>
      <c r="D35" s="107" t="s">
        <v>1110</v>
      </c>
      <c r="E35" s="670" t="e">
        <f>HLOOKUP($D$2,'2020 Data(H)'!$C$1:$AB$426,146,FALSE)</f>
        <v>#N/A</v>
      </c>
      <c r="F35" s="295">
        <v>0</v>
      </c>
      <c r="G35" s="731">
        <f t="shared" si="0"/>
        <v>0</v>
      </c>
      <c r="H35" s="17"/>
      <c r="I35" s="79"/>
      <c r="L35" s="705"/>
      <c r="Z35" s="108"/>
      <c r="AA35" s="108"/>
      <c r="AB35" s="108"/>
      <c r="AC35" s="108"/>
      <c r="AD35" s="108"/>
      <c r="AE35" s="108"/>
      <c r="AF35" s="108"/>
      <c r="AG35" s="108"/>
      <c r="AH35" s="108"/>
      <c r="AI35" s="108"/>
      <c r="AJ35" s="108"/>
      <c r="AK35" s="108"/>
      <c r="AL35" s="108"/>
      <c r="AM35" s="108"/>
      <c r="AN35" s="108"/>
      <c r="AO35" s="108"/>
      <c r="AP35" s="108"/>
      <c r="AQ35" s="108"/>
      <c r="AR35" s="108"/>
    </row>
    <row r="36" spans="1:44" ht="92.25" hidden="1" customHeight="1" thickBot="1" x14ac:dyDescent="0.35">
      <c r="A36" s="108">
        <v>389</v>
      </c>
      <c r="B36" s="594" t="s">
        <v>60</v>
      </c>
      <c r="C36" s="594" t="s">
        <v>144</v>
      </c>
      <c r="D36" s="709" t="s">
        <v>1111</v>
      </c>
      <c r="E36" s="670" t="e">
        <f>HLOOKUP($D$2,'2020 Data(H)'!$C$1:$AB$426,148,FALSE)</f>
        <v>#N/A</v>
      </c>
      <c r="F36" s="295">
        <v>0</v>
      </c>
      <c r="G36" s="731"/>
      <c r="H36" s="17"/>
      <c r="I36" s="79"/>
      <c r="J36" s="576"/>
      <c r="L36" s="705"/>
      <c r="Z36" s="108"/>
      <c r="AA36" s="108"/>
      <c r="AB36" s="108"/>
      <c r="AC36" s="108"/>
      <c r="AD36" s="108"/>
      <c r="AE36" s="108"/>
      <c r="AF36" s="108"/>
      <c r="AG36" s="108"/>
      <c r="AH36" s="108"/>
      <c r="AI36" s="108"/>
      <c r="AJ36" s="108"/>
      <c r="AK36" s="108"/>
      <c r="AL36" s="108"/>
      <c r="AM36" s="108"/>
      <c r="AN36" s="108"/>
      <c r="AO36" s="108"/>
      <c r="AP36" s="108"/>
      <c r="AQ36" s="108"/>
      <c r="AR36" s="108"/>
    </row>
    <row r="37" spans="1:44" ht="84.75" hidden="1" customHeight="1" thickBot="1" x14ac:dyDescent="0.35">
      <c r="A37" s="108">
        <v>255</v>
      </c>
      <c r="B37" s="594" t="s">
        <v>56</v>
      </c>
      <c r="C37" s="594" t="s">
        <v>144</v>
      </c>
      <c r="D37" s="709" t="s">
        <v>1112</v>
      </c>
      <c r="E37" s="670" t="e">
        <f>HLOOKUP($D$2,'2020 Data(H)'!$C$1:$AB$426,81,FALSE)</f>
        <v>#N/A</v>
      </c>
      <c r="F37" s="295">
        <v>0</v>
      </c>
      <c r="G37" s="731">
        <f>IF(H37=0,,"Error: Total revenues less total expenses do not equal total change in net position. Account numbers 339+504+505+341+386-387+389-388-255 = 0  The amount the formula is off is located in the cell to the right")</f>
        <v>0</v>
      </c>
      <c r="H37" s="734">
        <f>F30+F31+F32+F33+F34-F35+F36-F29-F37</f>
        <v>0</v>
      </c>
      <c r="I37" s="79"/>
      <c r="J37" s="576"/>
      <c r="L37" s="705"/>
      <c r="Z37" s="108"/>
      <c r="AA37" s="108"/>
      <c r="AB37" s="108"/>
      <c r="AC37" s="108"/>
      <c r="AD37" s="108"/>
      <c r="AE37" s="108"/>
      <c r="AF37" s="108"/>
      <c r="AG37" s="108"/>
      <c r="AH37" s="108"/>
      <c r="AI37" s="108"/>
      <c r="AJ37" s="108"/>
      <c r="AK37" s="108"/>
      <c r="AL37" s="108"/>
      <c r="AM37" s="108"/>
      <c r="AN37" s="108"/>
      <c r="AO37" s="108"/>
      <c r="AP37" s="108"/>
      <c r="AQ37" s="108"/>
      <c r="AR37" s="108"/>
    </row>
    <row r="38" spans="1:44" ht="138" hidden="1" customHeight="1" thickBot="1" x14ac:dyDescent="0.35">
      <c r="A38" s="108">
        <v>376</v>
      </c>
      <c r="B38" s="594" t="s">
        <v>56</v>
      </c>
      <c r="C38" s="594" t="s">
        <v>144</v>
      </c>
      <c r="D38" s="709" t="s">
        <v>1113</v>
      </c>
      <c r="E38" s="670" t="e">
        <f>HLOOKUP($D$2,'2020 Data(H)'!$C$1:$AB$426,135,FALSE)</f>
        <v>#N/A</v>
      </c>
      <c r="F38" s="293">
        <v>0</v>
      </c>
      <c r="G38" s="914" t="e">
        <f>IF(H38=0,,"Error: Beginning Balance does not agree with our records.  Account numbers  252+253+254-255-376-(Prior Year 252+253+254)=0  The amount the formula is off is located in the cell to the right")</f>
        <v>#N/A</v>
      </c>
      <c r="H38" s="738" t="e">
        <f>F21+F22+F23-F37-F38-(E21+E22+E23)</f>
        <v>#N/A</v>
      </c>
      <c r="I38" s="840"/>
      <c r="J38" s="576"/>
      <c r="L38" s="705"/>
      <c r="Z38" s="108"/>
      <c r="AA38" s="108"/>
      <c r="AB38" s="108"/>
      <c r="AC38" s="108"/>
      <c r="AD38" s="108"/>
      <c r="AE38" s="108"/>
      <c r="AF38" s="108"/>
      <c r="AG38" s="108"/>
      <c r="AH38" s="108"/>
      <c r="AI38" s="108"/>
      <c r="AJ38" s="108"/>
      <c r="AK38" s="108"/>
      <c r="AL38" s="108"/>
      <c r="AM38" s="108"/>
      <c r="AN38" s="108"/>
      <c r="AO38" s="108"/>
      <c r="AP38" s="108"/>
      <c r="AQ38" s="108"/>
      <c r="AR38" s="108"/>
    </row>
    <row r="39" spans="1:44" s="18" customFormat="1" ht="141.75" hidden="1" customHeight="1" thickBot="1" x14ac:dyDescent="0.35">
      <c r="A39" s="108">
        <v>597</v>
      </c>
      <c r="B39" s="636" t="s">
        <v>352</v>
      </c>
      <c r="C39" s="636" t="s">
        <v>377</v>
      </c>
      <c r="D39" s="814" t="s">
        <v>1114</v>
      </c>
      <c r="E39" s="670" t="e">
        <f>HLOOKUP($D$2,'2020 Data(H)'!$C$1:$AB$426,256,FALSE)</f>
        <v>#N/A</v>
      </c>
      <c r="F39" s="293">
        <v>0</v>
      </c>
      <c r="G39" s="731">
        <f>IF(F39&lt;0,"Note: Number is normally positive.",)</f>
        <v>0</v>
      </c>
      <c r="H39" s="732"/>
      <c r="I39" s="733"/>
      <c r="J39" s="576"/>
      <c r="L39" s="705"/>
      <c r="N39" s="296"/>
      <c r="Z39" s="108"/>
      <c r="AA39" s="108"/>
      <c r="AB39" s="108"/>
      <c r="AC39" s="108"/>
      <c r="AD39" s="108"/>
      <c r="AE39" s="108"/>
      <c r="AF39" s="108"/>
      <c r="AG39" s="108"/>
      <c r="AH39" s="108"/>
      <c r="AI39" s="108"/>
      <c r="AJ39" s="108"/>
      <c r="AK39" s="108"/>
      <c r="AL39" s="108"/>
      <c r="AM39" s="108"/>
      <c r="AN39" s="108"/>
      <c r="AO39" s="108"/>
      <c r="AP39" s="108"/>
      <c r="AQ39" s="108"/>
      <c r="AR39" s="108"/>
    </row>
    <row r="40" spans="1:44" ht="25.5" customHeight="1" thickBot="1" x14ac:dyDescent="0.35">
      <c r="A40" s="108"/>
      <c r="B40" s="844" t="s">
        <v>351</v>
      </c>
      <c r="C40" s="845"/>
      <c r="D40" s="849"/>
      <c r="E40" s="850"/>
      <c r="F40" s="851"/>
      <c r="G40" s="852"/>
      <c r="H40" s="17"/>
      <c r="I40" s="79"/>
      <c r="L40" s="705"/>
      <c r="Z40" s="108"/>
      <c r="AA40" s="108"/>
      <c r="AB40" s="108"/>
      <c r="AC40" s="108"/>
      <c r="AD40" s="108"/>
      <c r="AE40" s="108"/>
      <c r="AF40" s="108"/>
      <c r="AG40" s="108"/>
      <c r="AH40" s="108"/>
      <c r="AI40" s="108"/>
      <c r="AJ40" s="108"/>
      <c r="AK40" s="108"/>
      <c r="AL40" s="108"/>
      <c r="AM40" s="108"/>
      <c r="AN40" s="108"/>
      <c r="AO40" s="108"/>
      <c r="AP40" s="108"/>
      <c r="AQ40" s="108"/>
      <c r="AR40" s="108"/>
    </row>
    <row r="41" spans="1:44" s="18" customFormat="1" ht="86.25" customHeight="1" thickBot="1" x14ac:dyDescent="0.35">
      <c r="A41" s="108">
        <v>592</v>
      </c>
      <c r="B41" s="636" t="s">
        <v>59</v>
      </c>
      <c r="C41" s="636" t="s">
        <v>353</v>
      </c>
      <c r="D41" s="709" t="s">
        <v>1115</v>
      </c>
      <c r="E41" s="670" t="e">
        <f>HLOOKUP($D$2,'2020 Data(H)'!$C$1:$AB$426,253,FALSE)</f>
        <v>#N/A</v>
      </c>
      <c r="F41" s="739">
        <v>0</v>
      </c>
      <c r="G41" s="731"/>
      <c r="H41" s="732"/>
      <c r="J41" s="576"/>
      <c r="L41" s="705"/>
      <c r="N41" s="296"/>
      <c r="Z41" s="108"/>
      <c r="AA41" s="108"/>
      <c r="AB41" s="108"/>
      <c r="AC41" s="108"/>
      <c r="AD41" s="108"/>
      <c r="AE41" s="108"/>
      <c r="AF41" s="108"/>
      <c r="AG41" s="108"/>
      <c r="AH41" s="108"/>
      <c r="AI41" s="108"/>
      <c r="AJ41" s="108"/>
      <c r="AK41" s="108"/>
      <c r="AL41" s="108"/>
      <c r="AM41" s="108"/>
      <c r="AN41" s="108"/>
      <c r="AO41" s="108"/>
      <c r="AP41" s="108"/>
      <c r="AQ41" s="108"/>
      <c r="AR41" s="108"/>
    </row>
    <row r="42" spans="1:44" s="18" customFormat="1" ht="71.25" customHeight="1" thickBot="1" x14ac:dyDescent="0.35">
      <c r="A42" s="108">
        <v>591</v>
      </c>
      <c r="B42" s="636" t="s">
        <v>59</v>
      </c>
      <c r="C42" s="636" t="s">
        <v>353</v>
      </c>
      <c r="D42" s="107" t="s">
        <v>354</v>
      </c>
      <c r="E42" s="670" t="e">
        <f>HLOOKUP($D$2,'2020 Data(H)'!$C$1:$AB$426,252,FALSE)</f>
        <v>#N/A</v>
      </c>
      <c r="F42" s="739">
        <v>0</v>
      </c>
      <c r="G42" s="731">
        <f>IF(F42&lt;0,"Error: Enter as positive.",)</f>
        <v>0</v>
      </c>
      <c r="H42" s="732"/>
      <c r="J42" s="576"/>
      <c r="L42" s="705"/>
      <c r="N42" s="296"/>
      <c r="Z42" s="108"/>
      <c r="AA42" s="108"/>
      <c r="AB42" s="108"/>
      <c r="AC42" s="108"/>
      <c r="AD42" s="108"/>
      <c r="AE42" s="108"/>
      <c r="AF42" s="108"/>
      <c r="AG42" s="108"/>
      <c r="AH42" s="108"/>
      <c r="AI42" s="108"/>
      <c r="AJ42" s="108"/>
      <c r="AK42" s="108"/>
      <c r="AL42" s="108"/>
      <c r="AM42" s="108"/>
      <c r="AN42" s="108"/>
      <c r="AO42" s="108"/>
      <c r="AP42" s="108"/>
      <c r="AQ42" s="108"/>
      <c r="AR42" s="108"/>
    </row>
    <row r="43" spans="1:44" s="18" customFormat="1" ht="71.25" customHeight="1" thickBot="1" x14ac:dyDescent="0.35">
      <c r="A43" s="108">
        <v>593</v>
      </c>
      <c r="B43" s="636" t="s">
        <v>59</v>
      </c>
      <c r="C43" s="815" t="s">
        <v>353</v>
      </c>
      <c r="D43" s="107" t="s">
        <v>1058</v>
      </c>
      <c r="E43" s="670" t="s">
        <v>1217</v>
      </c>
      <c r="F43" s="739">
        <v>0</v>
      </c>
      <c r="G43" s="731"/>
      <c r="H43" s="732"/>
      <c r="J43" s="576"/>
      <c r="L43" s="705"/>
      <c r="N43" s="296"/>
      <c r="Z43" s="108"/>
      <c r="AA43" s="108"/>
      <c r="AB43" s="108"/>
      <c r="AC43" s="108"/>
      <c r="AD43" s="108"/>
      <c r="AE43" s="108"/>
      <c r="AF43" s="108"/>
      <c r="AG43" s="108"/>
      <c r="AH43" s="108"/>
      <c r="AI43" s="108"/>
      <c r="AJ43" s="108"/>
      <c r="AK43" s="108"/>
      <c r="AL43" s="108"/>
      <c r="AM43" s="108"/>
      <c r="AN43" s="108"/>
      <c r="AO43" s="108"/>
      <c r="AP43" s="108"/>
      <c r="AQ43" s="108"/>
      <c r="AR43" s="108"/>
    </row>
    <row r="44" spans="1:44" s="18" customFormat="1" ht="71.25" customHeight="1" thickBot="1" x14ac:dyDescent="0.35">
      <c r="A44" s="108">
        <v>594</v>
      </c>
      <c r="B44" s="636" t="s">
        <v>59</v>
      </c>
      <c r="C44" s="815" t="s">
        <v>353</v>
      </c>
      <c r="D44" s="107" t="s">
        <v>1059</v>
      </c>
      <c r="E44" s="670" t="s">
        <v>1217</v>
      </c>
      <c r="F44" s="739">
        <v>0</v>
      </c>
      <c r="G44" s="731"/>
      <c r="H44" s="732"/>
      <c r="J44" s="576"/>
      <c r="L44" s="705"/>
      <c r="N44" s="296"/>
      <c r="Z44" s="108"/>
      <c r="AA44" s="108"/>
      <c r="AB44" s="108"/>
      <c r="AC44" s="108"/>
      <c r="AD44" s="108"/>
      <c r="AE44" s="108"/>
      <c r="AF44" s="108"/>
      <c r="AG44" s="108"/>
      <c r="AH44" s="108"/>
      <c r="AI44" s="108"/>
      <c r="AJ44" s="108"/>
      <c r="AK44" s="108"/>
      <c r="AL44" s="108"/>
      <c r="AM44" s="108"/>
      <c r="AN44" s="108"/>
      <c r="AO44" s="108"/>
      <c r="AP44" s="108"/>
      <c r="AQ44" s="108"/>
      <c r="AR44" s="108"/>
    </row>
    <row r="45" spans="1:44" s="18" customFormat="1" ht="27" customHeight="1" thickBot="1" x14ac:dyDescent="0.35">
      <c r="A45" s="108"/>
      <c r="B45" s="844" t="s">
        <v>1221</v>
      </c>
      <c r="C45" s="900"/>
      <c r="D45" s="901"/>
      <c r="E45" s="877"/>
      <c r="F45" s="851"/>
      <c r="G45" s="862"/>
      <c r="H45" s="732"/>
      <c r="J45" s="576"/>
      <c r="L45" s="705"/>
      <c r="N45" s="296"/>
      <c r="Z45" s="108"/>
      <c r="AA45" s="108"/>
      <c r="AB45" s="108"/>
      <c r="AC45" s="108"/>
      <c r="AD45" s="108"/>
      <c r="AE45" s="108"/>
      <c r="AF45" s="108"/>
      <c r="AG45" s="108"/>
      <c r="AH45" s="108"/>
      <c r="AI45" s="108"/>
      <c r="AJ45" s="108"/>
      <c r="AK45" s="108"/>
      <c r="AL45" s="108"/>
      <c r="AM45" s="108"/>
      <c r="AN45" s="108"/>
      <c r="AO45" s="108"/>
      <c r="AP45" s="108"/>
      <c r="AQ45" s="108"/>
      <c r="AR45" s="108"/>
    </row>
    <row r="46" spans="1:44" s="18" customFormat="1" ht="71.25" customHeight="1" thickBot="1" x14ac:dyDescent="0.35">
      <c r="A46" s="108">
        <v>558</v>
      </c>
      <c r="B46" s="636" t="s">
        <v>59</v>
      </c>
      <c r="C46" s="815" t="s">
        <v>1060</v>
      </c>
      <c r="D46" s="107" t="s">
        <v>1065</v>
      </c>
      <c r="E46" s="670" t="e">
        <f>HLOOKUP($D$2,'2020 Data(H)'!$C$1:$AB$426,208,FALSE)</f>
        <v>#N/A</v>
      </c>
      <c r="F46" s="739">
        <v>0</v>
      </c>
      <c r="G46" s="731"/>
      <c r="H46" s="732"/>
      <c r="J46" s="576"/>
      <c r="L46" s="705"/>
      <c r="N46" s="296"/>
      <c r="Z46" s="108"/>
      <c r="AA46" s="108"/>
      <c r="AB46" s="108"/>
      <c r="AC46" s="108"/>
      <c r="AD46" s="108"/>
      <c r="AE46" s="108"/>
      <c r="AF46" s="108"/>
      <c r="AG46" s="108"/>
      <c r="AH46" s="108"/>
      <c r="AI46" s="108"/>
      <c r="AJ46" s="108"/>
      <c r="AK46" s="108"/>
      <c r="AL46" s="108"/>
      <c r="AM46" s="108"/>
      <c r="AN46" s="108"/>
      <c r="AO46" s="108"/>
      <c r="AP46" s="108"/>
      <c r="AQ46" s="108"/>
      <c r="AR46" s="108"/>
    </row>
    <row r="47" spans="1:44" s="18" customFormat="1" ht="71.25" customHeight="1" thickBot="1" x14ac:dyDescent="0.35">
      <c r="A47" s="108">
        <v>559</v>
      </c>
      <c r="B47" s="636" t="s">
        <v>59</v>
      </c>
      <c r="C47" s="815" t="s">
        <v>1060</v>
      </c>
      <c r="D47" s="107" t="s">
        <v>146</v>
      </c>
      <c r="E47" s="670" t="e">
        <f>HLOOKUP($D$2,'2020 Data(H)'!$C$1:$AB$426,209,FALSE)</f>
        <v>#N/A</v>
      </c>
      <c r="F47" s="739">
        <v>0</v>
      </c>
      <c r="G47" s="731"/>
      <c r="H47" s="732"/>
      <c r="J47" s="576"/>
      <c r="L47" s="705"/>
      <c r="N47" s="296"/>
      <c r="Z47" s="108"/>
      <c r="AA47" s="108"/>
      <c r="AB47" s="108"/>
      <c r="AC47" s="108"/>
      <c r="AD47" s="108"/>
      <c r="AE47" s="108"/>
      <c r="AF47" s="108"/>
      <c r="AG47" s="108"/>
      <c r="AH47" s="108"/>
      <c r="AI47" s="108"/>
      <c r="AJ47" s="108"/>
      <c r="AK47" s="108"/>
      <c r="AL47" s="108"/>
      <c r="AM47" s="108"/>
      <c r="AN47" s="108"/>
      <c r="AO47" s="108"/>
      <c r="AP47" s="108"/>
      <c r="AQ47" s="108"/>
      <c r="AR47" s="108"/>
    </row>
    <row r="48" spans="1:44" s="18" customFormat="1" ht="108" customHeight="1" thickBot="1" x14ac:dyDescent="0.35">
      <c r="A48" s="108">
        <v>560</v>
      </c>
      <c r="B48" s="636" t="s">
        <v>59</v>
      </c>
      <c r="C48" s="815" t="s">
        <v>1060</v>
      </c>
      <c r="D48" s="709" t="s">
        <v>1062</v>
      </c>
      <c r="E48" s="670" t="e">
        <f>HLOOKUP($D$2,'2020 Data(H)'!$C$1:$AB$426,210,FALSE)</f>
        <v>#N/A</v>
      </c>
      <c r="F48" s="739">
        <v>0</v>
      </c>
      <c r="G48" s="731"/>
      <c r="H48" s="732"/>
      <c r="J48" s="576"/>
      <c r="L48" s="705"/>
      <c r="N48" s="296"/>
      <c r="Z48" s="108"/>
      <c r="AA48" s="108"/>
      <c r="AB48" s="108"/>
      <c r="AC48" s="108"/>
      <c r="AD48" s="108"/>
      <c r="AE48" s="108"/>
      <c r="AF48" s="108"/>
      <c r="AG48" s="108"/>
      <c r="AH48" s="108"/>
      <c r="AI48" s="108"/>
      <c r="AJ48" s="108"/>
      <c r="AK48" s="108"/>
      <c r="AL48" s="108"/>
      <c r="AM48" s="108"/>
      <c r="AN48" s="108"/>
      <c r="AO48" s="108"/>
      <c r="AP48" s="108"/>
      <c r="AQ48" s="108"/>
      <c r="AR48" s="108"/>
    </row>
    <row r="49" spans="1:44" s="18" customFormat="1" ht="71.25" customHeight="1" thickBot="1" x14ac:dyDescent="0.35">
      <c r="A49" s="108">
        <v>561</v>
      </c>
      <c r="B49" s="636" t="s">
        <v>59</v>
      </c>
      <c r="C49" s="815" t="s">
        <v>1060</v>
      </c>
      <c r="D49" s="709" t="s">
        <v>1063</v>
      </c>
      <c r="E49" s="670" t="e">
        <f>HLOOKUP($D$2,'2020 Data(H)'!$C$1:$AB$426,211,FALSE)</f>
        <v>#N/A</v>
      </c>
      <c r="F49" s="739">
        <v>0</v>
      </c>
      <c r="G49" s="731"/>
      <c r="H49" s="732"/>
      <c r="J49" s="576"/>
      <c r="L49" s="705"/>
      <c r="N49" s="296"/>
      <c r="Z49" s="108"/>
      <c r="AA49" s="108"/>
      <c r="AB49" s="108"/>
      <c r="AC49" s="108"/>
      <c r="AD49" s="108"/>
      <c r="AE49" s="108"/>
      <c r="AF49" s="108"/>
      <c r="AG49" s="108"/>
      <c r="AH49" s="108"/>
      <c r="AI49" s="108"/>
      <c r="AJ49" s="108"/>
      <c r="AK49" s="108"/>
      <c r="AL49" s="108"/>
      <c r="AM49" s="108"/>
      <c r="AN49" s="108"/>
      <c r="AO49" s="108"/>
      <c r="AP49" s="108"/>
      <c r="AQ49" s="108"/>
      <c r="AR49" s="108"/>
    </row>
    <row r="50" spans="1:44" s="18" customFormat="1" ht="122.25" customHeight="1" thickBot="1" x14ac:dyDescent="0.35">
      <c r="A50" s="108">
        <v>563</v>
      </c>
      <c r="B50" s="636" t="s">
        <v>59</v>
      </c>
      <c r="C50" s="815" t="s">
        <v>1060</v>
      </c>
      <c r="D50" s="709" t="s">
        <v>1061</v>
      </c>
      <c r="E50" s="670" t="e">
        <f>HLOOKUP($D$2,'2020 Data(H)'!$C$1:$AB$426,213,FALSE)</f>
        <v>#N/A</v>
      </c>
      <c r="F50" s="739">
        <v>0</v>
      </c>
      <c r="G50" s="731"/>
      <c r="H50" s="732"/>
      <c r="J50" s="576"/>
      <c r="L50" s="705"/>
      <c r="N50" s="296"/>
      <c r="Z50" s="108"/>
      <c r="AA50" s="108"/>
      <c r="AB50" s="108"/>
      <c r="AC50" s="108"/>
      <c r="AD50" s="108"/>
      <c r="AE50" s="108"/>
      <c r="AF50" s="108"/>
      <c r="AG50" s="108"/>
      <c r="AH50" s="108"/>
      <c r="AI50" s="108"/>
      <c r="AJ50" s="108"/>
      <c r="AK50" s="108"/>
      <c r="AL50" s="108"/>
      <c r="AM50" s="108"/>
      <c r="AN50" s="108"/>
      <c r="AO50" s="108"/>
      <c r="AP50" s="108"/>
      <c r="AQ50" s="108"/>
      <c r="AR50" s="108"/>
    </row>
    <row r="51" spans="1:44" s="18" customFormat="1" ht="96.75" customHeight="1" thickBot="1" x14ac:dyDescent="0.35">
      <c r="A51" s="108">
        <v>564</v>
      </c>
      <c r="B51" s="636" t="s">
        <v>59</v>
      </c>
      <c r="C51" s="815" t="s">
        <v>1067</v>
      </c>
      <c r="D51" s="709" t="s">
        <v>1064</v>
      </c>
      <c r="E51" s="670" t="e">
        <f>HLOOKUP($D$2,'2020 Data(H)'!$C$1:$AB$426,214,FALSE)</f>
        <v>#N/A</v>
      </c>
      <c r="F51" s="739">
        <v>0</v>
      </c>
      <c r="G51" s="731"/>
      <c r="H51" s="732"/>
      <c r="J51" s="576"/>
      <c r="L51" s="705"/>
      <c r="N51" s="296"/>
      <c r="Z51" s="108"/>
      <c r="AA51" s="108"/>
      <c r="AB51" s="108"/>
      <c r="AC51" s="108"/>
      <c r="AD51" s="108"/>
      <c r="AE51" s="108"/>
      <c r="AF51" s="108"/>
      <c r="AG51" s="108"/>
      <c r="AH51" s="108"/>
      <c r="AI51" s="108"/>
      <c r="AJ51" s="108"/>
      <c r="AK51" s="108"/>
      <c r="AL51" s="108"/>
      <c r="AM51" s="108"/>
      <c r="AN51" s="108"/>
      <c r="AO51" s="108"/>
      <c r="AP51" s="108"/>
      <c r="AQ51" s="108"/>
      <c r="AR51" s="108"/>
    </row>
    <row r="52" spans="1:44" s="18" customFormat="1" ht="93.75" customHeight="1" thickBot="1" x14ac:dyDescent="0.35">
      <c r="A52" s="108">
        <v>568</v>
      </c>
      <c r="B52" s="636" t="s">
        <v>59</v>
      </c>
      <c r="C52" s="815" t="s">
        <v>1067</v>
      </c>
      <c r="D52" s="709" t="s">
        <v>1066</v>
      </c>
      <c r="E52" s="670" t="e">
        <f>HLOOKUP($D$2,'2020 Data(H)'!$C$1:$AB$426,218,FALSE)</f>
        <v>#N/A</v>
      </c>
      <c r="F52" s="739">
        <v>0</v>
      </c>
      <c r="G52" s="731"/>
      <c r="H52" s="732"/>
      <c r="J52" s="576"/>
      <c r="L52" s="705"/>
      <c r="N52" s="296"/>
      <c r="Z52" s="108"/>
      <c r="AA52" s="108"/>
      <c r="AB52" s="108"/>
      <c r="AC52" s="108"/>
      <c r="AD52" s="108"/>
      <c r="AE52" s="108"/>
      <c r="AF52" s="108"/>
      <c r="AG52" s="108"/>
      <c r="AH52" s="108"/>
      <c r="AI52" s="108"/>
      <c r="AJ52" s="108"/>
      <c r="AK52" s="108"/>
      <c r="AL52" s="108"/>
      <c r="AM52" s="108"/>
      <c r="AN52" s="108"/>
      <c r="AO52" s="108"/>
      <c r="AP52" s="108"/>
      <c r="AQ52" s="108"/>
      <c r="AR52" s="108"/>
    </row>
    <row r="53" spans="1:44" s="18" customFormat="1" ht="100.5" customHeight="1" thickBot="1" x14ac:dyDescent="0.35">
      <c r="A53" s="108">
        <v>565</v>
      </c>
      <c r="B53" s="636" t="s">
        <v>59</v>
      </c>
      <c r="C53" s="815" t="s">
        <v>1067</v>
      </c>
      <c r="D53" s="709" t="s">
        <v>312</v>
      </c>
      <c r="E53" s="670" t="e">
        <f>HLOOKUP($D$2,'2020 Data(H)'!$C$1:$AB$426,215,FALSE)</f>
        <v>#N/A</v>
      </c>
      <c r="F53" s="739">
        <v>0</v>
      </c>
      <c r="G53" s="731"/>
      <c r="H53" s="732"/>
      <c r="J53" s="576"/>
      <c r="L53" s="705"/>
      <c r="N53" s="296"/>
      <c r="Z53" s="108"/>
      <c r="AA53" s="108"/>
      <c r="AB53" s="108"/>
      <c r="AC53" s="108"/>
      <c r="AD53" s="108"/>
      <c r="AE53" s="108"/>
      <c r="AF53" s="108"/>
      <c r="AG53" s="108"/>
      <c r="AH53" s="108"/>
      <c r="AI53" s="108"/>
      <c r="AJ53" s="108"/>
      <c r="AK53" s="108"/>
      <c r="AL53" s="108"/>
      <c r="AM53" s="108"/>
      <c r="AN53" s="108"/>
      <c r="AO53" s="108"/>
      <c r="AP53" s="108"/>
      <c r="AQ53" s="108"/>
      <c r="AR53" s="108"/>
    </row>
    <row r="54" spans="1:44" s="18" customFormat="1" ht="98.25" customHeight="1" thickBot="1" x14ac:dyDescent="0.35">
      <c r="A54" s="108">
        <v>566</v>
      </c>
      <c r="B54" s="636" t="s">
        <v>59</v>
      </c>
      <c r="C54" s="815" t="s">
        <v>1067</v>
      </c>
      <c r="D54" s="709" t="s">
        <v>314</v>
      </c>
      <c r="E54" s="670" t="e">
        <f>HLOOKUP($D$2,'2020 Data(H)'!$C$1:$AB$426,216,FALSE)</f>
        <v>#N/A</v>
      </c>
      <c r="F54" s="739">
        <v>0</v>
      </c>
      <c r="G54" s="731"/>
      <c r="H54" s="732"/>
      <c r="J54" s="576"/>
      <c r="L54" s="705"/>
      <c r="N54" s="296"/>
      <c r="Z54" s="108"/>
      <c r="AA54" s="108"/>
      <c r="AB54" s="108"/>
      <c r="AC54" s="108"/>
      <c r="AD54" s="108"/>
      <c r="AE54" s="108"/>
      <c r="AF54" s="108"/>
      <c r="AG54" s="108"/>
      <c r="AH54" s="108"/>
      <c r="AI54" s="108"/>
      <c r="AJ54" s="108"/>
      <c r="AK54" s="108"/>
      <c r="AL54" s="108"/>
      <c r="AM54" s="108"/>
      <c r="AN54" s="108"/>
      <c r="AO54" s="108"/>
      <c r="AP54" s="108"/>
      <c r="AQ54" s="108"/>
      <c r="AR54" s="108"/>
    </row>
    <row r="55" spans="1:44" s="18" customFormat="1" ht="111" customHeight="1" thickBot="1" x14ac:dyDescent="0.35">
      <c r="A55" s="108">
        <v>567</v>
      </c>
      <c r="B55" s="636" t="s">
        <v>59</v>
      </c>
      <c r="C55" s="815" t="s">
        <v>1067</v>
      </c>
      <c r="D55" s="709" t="s">
        <v>1059</v>
      </c>
      <c r="E55" s="670" t="e">
        <f>HLOOKUP($D$2,'2020 Data(H)'!$C$1:$AB$426,217,FALSE)</f>
        <v>#N/A</v>
      </c>
      <c r="F55" s="739">
        <v>0</v>
      </c>
      <c r="G55" s="731"/>
      <c r="H55" s="732"/>
      <c r="J55" s="576"/>
      <c r="L55" s="705"/>
      <c r="N55" s="296"/>
      <c r="Z55" s="108"/>
      <c r="AA55" s="108"/>
      <c r="AB55" s="108"/>
      <c r="AC55" s="108"/>
      <c r="AD55" s="108"/>
      <c r="AE55" s="108"/>
      <c r="AF55" s="108"/>
      <c r="AG55" s="108"/>
      <c r="AH55" s="108"/>
      <c r="AI55" s="108"/>
      <c r="AJ55" s="108"/>
      <c r="AK55" s="108"/>
      <c r="AL55" s="108"/>
      <c r="AM55" s="108"/>
      <c r="AN55" s="108"/>
      <c r="AO55" s="108"/>
      <c r="AP55" s="108"/>
      <c r="AQ55" s="108"/>
      <c r="AR55" s="108"/>
    </row>
    <row r="56" spans="1:44" s="18" customFormat="1" ht="71.25" customHeight="1" thickBot="1" x14ac:dyDescent="0.35">
      <c r="A56" s="108">
        <v>562</v>
      </c>
      <c r="B56" s="636" t="s">
        <v>59</v>
      </c>
      <c r="C56" s="815" t="s">
        <v>13</v>
      </c>
      <c r="D56" s="124" t="s">
        <v>1068</v>
      </c>
      <c r="E56" s="670" t="e">
        <f>HLOOKUP($D$2,'2020 Data(H)'!$C$1:$AB$426,212,FALSE)</f>
        <v>#N/A</v>
      </c>
      <c r="F56" s="739">
        <v>0</v>
      </c>
      <c r="G56" s="731"/>
      <c r="H56" s="732"/>
      <c r="J56" s="576"/>
      <c r="L56" s="705"/>
      <c r="N56" s="296"/>
      <c r="Z56" s="108"/>
      <c r="AA56" s="108"/>
      <c r="AB56" s="108"/>
      <c r="AC56" s="108"/>
      <c r="AD56" s="108"/>
      <c r="AE56" s="108"/>
      <c r="AF56" s="108"/>
      <c r="AG56" s="108"/>
      <c r="AH56" s="108"/>
      <c r="AI56" s="108"/>
      <c r="AJ56" s="108"/>
      <c r="AK56" s="108"/>
      <c r="AL56" s="108"/>
      <c r="AM56" s="108"/>
      <c r="AN56" s="108"/>
      <c r="AO56" s="108"/>
      <c r="AP56" s="108"/>
      <c r="AQ56" s="108"/>
      <c r="AR56" s="108"/>
    </row>
    <row r="57" spans="1:44" s="18" customFormat="1" ht="71.25" customHeight="1" thickBot="1" x14ac:dyDescent="0.35">
      <c r="A57" s="108">
        <v>569</v>
      </c>
      <c r="B57" s="636" t="s">
        <v>59</v>
      </c>
      <c r="C57" s="815" t="s">
        <v>13</v>
      </c>
      <c r="D57" s="709" t="s">
        <v>1069</v>
      </c>
      <c r="E57" s="670" t="e">
        <f>HLOOKUP($D$2,'2020 Data(H)'!$C$1:$AB$426,219,FALSE)</f>
        <v>#N/A</v>
      </c>
      <c r="F57" s="739">
        <v>0</v>
      </c>
      <c r="G57" s="731"/>
      <c r="H57" s="732"/>
      <c r="J57" s="576"/>
      <c r="L57" s="705"/>
      <c r="N57" s="296"/>
      <c r="Z57" s="108"/>
      <c r="AA57" s="108"/>
      <c r="AB57" s="108"/>
      <c r="AC57" s="108"/>
      <c r="AD57" s="108"/>
      <c r="AE57" s="108"/>
      <c r="AF57" s="108"/>
      <c r="AG57" s="108"/>
      <c r="AH57" s="108"/>
      <c r="AI57" s="108"/>
      <c r="AJ57" s="108"/>
      <c r="AK57" s="108"/>
      <c r="AL57" s="108"/>
      <c r="AM57" s="108"/>
      <c r="AN57" s="108"/>
      <c r="AO57" s="108"/>
      <c r="AP57" s="108"/>
      <c r="AQ57" s="108"/>
      <c r="AR57" s="108"/>
    </row>
    <row r="58" spans="1:44" ht="27" hidden="1" customHeight="1" thickBot="1" x14ac:dyDescent="0.35">
      <c r="A58" s="108"/>
      <c r="B58" s="844" t="s">
        <v>145</v>
      </c>
      <c r="C58" s="845"/>
      <c r="D58" s="853"/>
      <c r="E58" s="850"/>
      <c r="F58" s="854"/>
      <c r="G58" s="855"/>
      <c r="H58" s="17"/>
      <c r="I58" s="79"/>
      <c r="L58" s="705"/>
      <c r="Z58" s="108"/>
      <c r="AA58" s="108"/>
      <c r="AB58" s="108"/>
      <c r="AC58" s="108"/>
      <c r="AD58" s="108"/>
      <c r="AE58" s="108"/>
      <c r="AF58" s="108"/>
      <c r="AG58" s="108"/>
      <c r="AH58" s="108"/>
      <c r="AI58" s="108"/>
      <c r="AJ58" s="108"/>
      <c r="AK58" s="108"/>
      <c r="AL58" s="108"/>
      <c r="AM58" s="108"/>
      <c r="AN58" s="108"/>
      <c r="AO58" s="108"/>
      <c r="AP58" s="108"/>
      <c r="AQ58" s="108"/>
      <c r="AR58" s="108"/>
    </row>
    <row r="59" spans="1:44" s="18" customFormat="1" ht="55.5" hidden="1" customHeight="1" thickBot="1" x14ac:dyDescent="0.35">
      <c r="A59" s="108">
        <v>506</v>
      </c>
      <c r="B59" s="816" t="s">
        <v>55</v>
      </c>
      <c r="C59" s="816" t="s">
        <v>149</v>
      </c>
      <c r="D59" s="107" t="s">
        <v>1116</v>
      </c>
      <c r="E59" s="930" t="e">
        <f>HLOOKUP($D$2,'2020 Data(H)'!$C$1:$AB$426,156,FALSE)</f>
        <v>#N/A</v>
      </c>
      <c r="F59" s="295">
        <v>0</v>
      </c>
      <c r="G59" s="731">
        <f>IF(F59&lt;0,"Note: Number is normally positive.",)</f>
        <v>0</v>
      </c>
      <c r="H59" s="732"/>
      <c r="I59" s="79"/>
      <c r="J59" s="576"/>
      <c r="L59" s="705"/>
      <c r="N59" s="296"/>
      <c r="Z59" s="108"/>
      <c r="AA59" s="108"/>
      <c r="AB59" s="108"/>
      <c r="AC59" s="108"/>
      <c r="AD59" s="108"/>
      <c r="AE59" s="108"/>
      <c r="AF59" s="108"/>
      <c r="AG59" s="108"/>
      <c r="AH59" s="108"/>
      <c r="AI59" s="108"/>
      <c r="AJ59" s="108"/>
      <c r="AK59" s="108"/>
      <c r="AL59" s="108"/>
      <c r="AM59" s="108"/>
      <c r="AN59" s="108"/>
      <c r="AO59" s="108"/>
      <c r="AP59" s="108"/>
      <c r="AQ59" s="108"/>
      <c r="AR59" s="108"/>
    </row>
    <row r="60" spans="1:44" s="18" customFormat="1" ht="45.75" hidden="1" customHeight="1" thickBot="1" x14ac:dyDescent="0.35">
      <c r="A60" s="108">
        <v>536</v>
      </c>
      <c r="B60" s="816" t="s">
        <v>55</v>
      </c>
      <c r="C60" s="816" t="s">
        <v>149</v>
      </c>
      <c r="D60" s="107" t="s">
        <v>146</v>
      </c>
      <c r="E60" s="670" t="e">
        <f>HLOOKUP($D$2,'2020 Data(H)'!$C$1:$AB$426,186,FALSE)</f>
        <v>#N/A</v>
      </c>
      <c r="F60" s="295">
        <v>0</v>
      </c>
      <c r="G60" s="731">
        <f>IF(F60&lt;0,"Note: Number is normally positive.",)</f>
        <v>0</v>
      </c>
      <c r="H60" s="732"/>
      <c r="I60" s="733"/>
      <c r="J60" s="576"/>
      <c r="L60" s="705"/>
      <c r="N60" s="296"/>
      <c r="Z60" s="108"/>
      <c r="AA60" s="108"/>
      <c r="AB60" s="108"/>
      <c r="AC60" s="108"/>
      <c r="AD60" s="108"/>
      <c r="AE60" s="108"/>
      <c r="AF60" s="108"/>
      <c r="AG60" s="108"/>
      <c r="AH60" s="108"/>
      <c r="AI60" s="108"/>
      <c r="AJ60" s="108"/>
      <c r="AK60" s="108"/>
      <c r="AL60" s="108"/>
      <c r="AM60" s="108"/>
      <c r="AN60" s="108"/>
      <c r="AO60" s="108"/>
      <c r="AP60" s="108"/>
      <c r="AQ60" s="108"/>
      <c r="AR60" s="108"/>
    </row>
    <row r="61" spans="1:44" s="18" customFormat="1" ht="51.75" hidden="1" customHeight="1" thickBot="1" x14ac:dyDescent="0.35">
      <c r="A61" s="108">
        <v>586</v>
      </c>
      <c r="B61" s="816" t="s">
        <v>59</v>
      </c>
      <c r="C61" s="816" t="s">
        <v>149</v>
      </c>
      <c r="D61" s="681" t="s">
        <v>338</v>
      </c>
      <c r="E61" s="670" t="e">
        <f>HLOOKUP($D$2,'2020 Data(H)'!$C$1:$AB$426,236,FALSE)</f>
        <v>#N/A</v>
      </c>
      <c r="F61" s="295">
        <v>0</v>
      </c>
      <c r="G61" s="731">
        <f>IF(F61&lt;0,"Note: Number is normally positive.",)</f>
        <v>0</v>
      </c>
      <c r="H61" s="732"/>
      <c r="I61" s="733"/>
      <c r="L61" s="705"/>
      <c r="N61" s="296"/>
      <c r="Z61" s="108"/>
      <c r="AA61" s="108"/>
      <c r="AB61" s="108"/>
      <c r="AC61" s="108"/>
      <c r="AD61" s="108"/>
      <c r="AE61" s="108"/>
      <c r="AF61" s="108"/>
      <c r="AG61" s="108"/>
      <c r="AH61" s="108"/>
      <c r="AI61" s="108"/>
      <c r="AJ61" s="108"/>
      <c r="AK61" s="108"/>
      <c r="AL61" s="108"/>
      <c r="AM61" s="108"/>
      <c r="AN61" s="108"/>
      <c r="AO61" s="108"/>
      <c r="AP61" s="108"/>
      <c r="AQ61" s="108"/>
      <c r="AR61" s="108"/>
    </row>
    <row r="62" spans="1:44" ht="37.5" hidden="1" customHeight="1" thickBot="1" x14ac:dyDescent="0.35">
      <c r="A62" s="108">
        <v>379</v>
      </c>
      <c r="B62" s="816" t="s">
        <v>60</v>
      </c>
      <c r="C62" s="816" t="s">
        <v>149</v>
      </c>
      <c r="D62" s="107" t="s">
        <v>130</v>
      </c>
      <c r="E62" s="670" t="e">
        <f>HLOOKUP($D$2,'2020 Data(H)'!$C$1:$AB$426,138,FALSE)</f>
        <v>#N/A</v>
      </c>
      <c r="F62" s="295">
        <v>0</v>
      </c>
      <c r="G62" s="731">
        <f>IF((F59+F60)&gt;F62,"Error: Please review account numbers (506+536)&gt;379",)</f>
        <v>0</v>
      </c>
      <c r="H62" s="17"/>
      <c r="I62" s="79"/>
      <c r="J62" s="576"/>
      <c r="L62" s="705"/>
      <c r="Z62" s="108"/>
      <c r="AA62" s="108"/>
      <c r="AB62" s="108"/>
      <c r="AC62" s="108"/>
      <c r="AD62" s="108"/>
      <c r="AE62" s="108"/>
      <c r="AF62" s="108"/>
      <c r="AG62" s="108"/>
      <c r="AH62" s="108"/>
      <c r="AI62" s="108"/>
      <c r="AJ62" s="108"/>
      <c r="AK62" s="108"/>
      <c r="AL62" s="108"/>
      <c r="AM62" s="108"/>
      <c r="AN62" s="108"/>
      <c r="AO62" s="108"/>
      <c r="AP62" s="108"/>
      <c r="AQ62" s="108"/>
      <c r="AR62" s="108"/>
    </row>
    <row r="63" spans="1:44" ht="93" hidden="1" customHeight="1" thickBot="1" x14ac:dyDescent="0.35">
      <c r="A63" s="108">
        <v>368</v>
      </c>
      <c r="B63" s="816" t="s">
        <v>69</v>
      </c>
      <c r="C63" s="816" t="s">
        <v>149</v>
      </c>
      <c r="D63" s="709" t="s">
        <v>1117</v>
      </c>
      <c r="E63" s="670" t="e">
        <f>HLOOKUP($D$2,'2020 Data(H)'!$C$1:$AB$426,129,FALSE)</f>
        <v>#N/A</v>
      </c>
      <c r="F63" s="295">
        <v>0</v>
      </c>
      <c r="G63" s="731">
        <f t="shared" ref="G63:G69" si="1">IF(F63&lt;0,"Error: Enter as positive.",)</f>
        <v>0</v>
      </c>
      <c r="H63" s="17"/>
      <c r="I63" s="732"/>
      <c r="J63" s="576"/>
      <c r="L63" s="705"/>
      <c r="Z63" s="108"/>
      <c r="AA63" s="108"/>
      <c r="AB63" s="108"/>
      <c r="AC63" s="108"/>
      <c r="AD63" s="108"/>
      <c r="AE63" s="108"/>
      <c r="AF63" s="108"/>
      <c r="AG63" s="108"/>
      <c r="AH63" s="108"/>
      <c r="AI63" s="108"/>
      <c r="AJ63" s="108"/>
      <c r="AK63" s="108"/>
      <c r="AL63" s="108"/>
      <c r="AM63" s="108"/>
      <c r="AN63" s="108"/>
      <c r="AO63" s="108"/>
      <c r="AP63" s="108"/>
      <c r="AQ63" s="108"/>
      <c r="AR63" s="108"/>
    </row>
    <row r="64" spans="1:44" ht="99.75" hidden="1" customHeight="1" thickBot="1" x14ac:dyDescent="0.35">
      <c r="A64" s="108">
        <v>4</v>
      </c>
      <c r="B64" s="816" t="s">
        <v>55</v>
      </c>
      <c r="C64" s="816" t="s">
        <v>149</v>
      </c>
      <c r="D64" s="307" t="s">
        <v>1118</v>
      </c>
      <c r="E64" s="670" t="e">
        <f>HLOOKUP($D$2,'2020 Data(H)'!$C$1:$AB$426,3,FALSE)</f>
        <v>#N/A</v>
      </c>
      <c r="F64" s="295">
        <v>0</v>
      </c>
      <c r="G64" s="731">
        <f t="shared" si="1"/>
        <v>0</v>
      </c>
      <c r="H64" s="17"/>
      <c r="I64" s="79"/>
      <c r="J64" s="576"/>
      <c r="L64" s="705"/>
      <c r="Z64" s="108"/>
      <c r="AA64" s="108"/>
      <c r="AB64" s="108"/>
      <c r="AC64" s="108"/>
      <c r="AD64" s="108"/>
      <c r="AE64" s="108"/>
      <c r="AF64" s="108"/>
      <c r="AG64" s="108"/>
      <c r="AH64" s="108"/>
      <c r="AI64" s="108"/>
      <c r="AJ64" s="108"/>
      <c r="AK64" s="108"/>
      <c r="AL64" s="108"/>
      <c r="AM64" s="108"/>
      <c r="AN64" s="108"/>
      <c r="AO64" s="108"/>
      <c r="AP64" s="108"/>
      <c r="AQ64" s="108"/>
      <c r="AR64" s="108"/>
    </row>
    <row r="65" spans="1:44" ht="132" hidden="1" customHeight="1" thickBot="1" x14ac:dyDescent="0.35">
      <c r="A65" s="108">
        <v>5</v>
      </c>
      <c r="B65" s="816" t="s">
        <v>55</v>
      </c>
      <c r="C65" s="816" t="s">
        <v>149</v>
      </c>
      <c r="D65" s="336" t="s">
        <v>1119</v>
      </c>
      <c r="E65" s="670" t="e">
        <f>HLOOKUP($D$2,'2020 Data(H)'!$C$1:$AB$426,4,FALSE)</f>
        <v>#N/A</v>
      </c>
      <c r="F65" s="295">
        <v>0</v>
      </c>
      <c r="G65" s="731">
        <f t="shared" si="1"/>
        <v>0</v>
      </c>
      <c r="H65" s="17"/>
      <c r="I65" s="79"/>
      <c r="J65" s="576"/>
      <c r="L65" s="705"/>
      <c r="Z65" s="108"/>
      <c r="AA65" s="108"/>
      <c r="AB65" s="108"/>
      <c r="AC65" s="108"/>
      <c r="AD65" s="108"/>
      <c r="AE65" s="108"/>
      <c r="AF65" s="108"/>
      <c r="AG65" s="108"/>
      <c r="AH65" s="108"/>
      <c r="AI65" s="108"/>
      <c r="AJ65" s="108"/>
      <c r="AK65" s="108"/>
      <c r="AL65" s="108"/>
      <c r="AM65" s="108"/>
      <c r="AN65" s="108"/>
      <c r="AO65" s="108"/>
      <c r="AP65" s="108"/>
      <c r="AQ65" s="108"/>
      <c r="AR65" s="108"/>
    </row>
    <row r="66" spans="1:44" ht="93.75" hidden="1" customHeight="1" thickBot="1" x14ac:dyDescent="0.35">
      <c r="A66" s="108">
        <v>380</v>
      </c>
      <c r="B66" s="816" t="s">
        <v>60</v>
      </c>
      <c r="C66" s="816" t="s">
        <v>149</v>
      </c>
      <c r="D66" s="336" t="s">
        <v>1120</v>
      </c>
      <c r="E66" s="670" t="e">
        <f>HLOOKUP($D$2,'2020 Data(H)'!$C$1:$AB$426,139,FALSE)</f>
        <v>#N/A</v>
      </c>
      <c r="F66" s="295">
        <v>0</v>
      </c>
      <c r="G66" s="731">
        <f t="shared" si="1"/>
        <v>0</v>
      </c>
      <c r="H66" s="17"/>
      <c r="I66" s="79"/>
      <c r="J66" s="576"/>
      <c r="L66" s="705"/>
      <c r="Z66" s="108"/>
      <c r="AA66" s="108"/>
      <c r="AB66" s="108"/>
      <c r="AC66" s="108"/>
      <c r="AD66" s="108"/>
      <c r="AE66" s="108"/>
      <c r="AF66" s="108"/>
      <c r="AG66" s="108"/>
      <c r="AH66" s="108"/>
      <c r="AI66" s="108"/>
      <c r="AJ66" s="108"/>
      <c r="AK66" s="108"/>
      <c r="AL66" s="108"/>
      <c r="AM66" s="108"/>
      <c r="AN66" s="108"/>
      <c r="AO66" s="108"/>
      <c r="AP66" s="108"/>
      <c r="AQ66" s="108"/>
      <c r="AR66" s="108"/>
    </row>
    <row r="67" spans="1:44" ht="48.75" hidden="1" customHeight="1" thickBot="1" x14ac:dyDescent="0.35">
      <c r="A67" s="108">
        <v>391</v>
      </c>
      <c r="B67" s="816" t="s">
        <v>69</v>
      </c>
      <c r="C67" s="816" t="s">
        <v>149</v>
      </c>
      <c r="D67" s="107" t="s">
        <v>147</v>
      </c>
      <c r="E67" s="670" t="e">
        <f>HLOOKUP($D$2,'2020 Data(H)'!$C$1:$AB$426,149,FALSE)</f>
        <v>#N/A</v>
      </c>
      <c r="F67" s="295">
        <v>0</v>
      </c>
      <c r="G67" s="731">
        <f t="shared" si="1"/>
        <v>0</v>
      </c>
      <c r="H67" s="17"/>
      <c r="I67" s="79"/>
      <c r="J67" s="576"/>
      <c r="L67" s="705"/>
      <c r="Z67" s="108"/>
      <c r="AA67" s="108"/>
      <c r="AB67" s="108"/>
      <c r="AC67" s="108"/>
      <c r="AD67" s="108"/>
      <c r="AE67" s="108"/>
      <c r="AF67" s="108"/>
      <c r="AG67" s="108"/>
      <c r="AH67" s="108"/>
      <c r="AI67" s="108"/>
      <c r="AJ67" s="108"/>
      <c r="AK67" s="108"/>
      <c r="AL67" s="108"/>
      <c r="AM67" s="108"/>
      <c r="AN67" s="108"/>
      <c r="AO67" s="108"/>
      <c r="AP67" s="108"/>
      <c r="AQ67" s="108"/>
      <c r="AR67" s="108"/>
    </row>
    <row r="68" spans="1:44" ht="51.75" hidden="1" customHeight="1" thickBot="1" x14ac:dyDescent="0.35">
      <c r="A68" s="108">
        <v>7</v>
      </c>
      <c r="B68" s="816" t="s">
        <v>69</v>
      </c>
      <c r="C68" s="816" t="s">
        <v>149</v>
      </c>
      <c r="D68" s="107" t="s">
        <v>148</v>
      </c>
      <c r="E68" s="670" t="e">
        <f>HLOOKUP($D$2,'2020 Data(H)'!$C$1:$AB$426,6,FALSE)</f>
        <v>#N/A</v>
      </c>
      <c r="F68" s="295">
        <v>0</v>
      </c>
      <c r="G68" s="731">
        <f t="shared" si="1"/>
        <v>0</v>
      </c>
      <c r="H68" s="17"/>
      <c r="I68" s="79"/>
      <c r="J68" s="576"/>
      <c r="L68" s="705"/>
      <c r="Z68" s="108"/>
      <c r="AA68" s="108"/>
      <c r="AB68" s="108"/>
      <c r="AC68" s="108"/>
      <c r="AD68" s="108"/>
      <c r="AE68" s="108"/>
      <c r="AF68" s="108"/>
      <c r="AG68" s="108"/>
      <c r="AH68" s="108"/>
      <c r="AI68" s="108"/>
      <c r="AJ68" s="108"/>
      <c r="AK68" s="108"/>
      <c r="AL68" s="108"/>
      <c r="AM68" s="108"/>
      <c r="AN68" s="108"/>
      <c r="AO68" s="108"/>
      <c r="AP68" s="108"/>
      <c r="AQ68" s="108"/>
      <c r="AR68" s="108"/>
    </row>
    <row r="69" spans="1:44" ht="78.75" hidden="1" customHeight="1" thickBot="1" x14ac:dyDescent="0.35">
      <c r="A69" s="108">
        <v>11</v>
      </c>
      <c r="B69" s="816" t="s">
        <v>69</v>
      </c>
      <c r="C69" s="816" t="s">
        <v>149</v>
      </c>
      <c r="D69" s="709" t="s">
        <v>1121</v>
      </c>
      <c r="E69" s="670" t="e">
        <f>HLOOKUP($D$2,'2020 Data(H)'!$C$1:$AB$426,8,FALSE)</f>
        <v>#N/A</v>
      </c>
      <c r="F69" s="295">
        <v>0</v>
      </c>
      <c r="G69" s="731">
        <f t="shared" si="1"/>
        <v>0</v>
      </c>
      <c r="H69" s="17"/>
      <c r="I69" s="79"/>
      <c r="J69" s="576"/>
      <c r="L69" s="705"/>
      <c r="Z69" s="108"/>
      <c r="AA69" s="108"/>
      <c r="AB69" s="108"/>
      <c r="AC69" s="108"/>
      <c r="AD69" s="108"/>
      <c r="AE69" s="108"/>
      <c r="AF69" s="108"/>
      <c r="AG69" s="108"/>
      <c r="AH69" s="108"/>
      <c r="AI69" s="108"/>
      <c r="AJ69" s="108"/>
      <c r="AK69" s="108"/>
      <c r="AL69" s="108"/>
      <c r="AM69" s="108"/>
      <c r="AN69" s="108"/>
      <c r="AO69" s="108"/>
      <c r="AP69" s="108"/>
      <c r="AQ69" s="108"/>
      <c r="AR69" s="108"/>
    </row>
    <row r="70" spans="1:44" ht="78.75" hidden="1" customHeight="1" thickBot="1" x14ac:dyDescent="0.35">
      <c r="A70" s="308">
        <v>645</v>
      </c>
      <c r="B70" s="813" t="s">
        <v>416</v>
      </c>
      <c r="C70" s="813" t="s">
        <v>149</v>
      </c>
      <c r="D70" s="704" t="s">
        <v>449</v>
      </c>
      <c r="E70" s="670" t="e">
        <f>HLOOKUP($D$2,'2020 Data(H)'!$C$1:$AB$426,304,FALSE)</f>
        <v>#N/A</v>
      </c>
      <c r="F70" s="295">
        <v>0</v>
      </c>
      <c r="G70" s="731">
        <f>IF(F70&lt;0,"Note: Number is normally positive.",)</f>
        <v>0</v>
      </c>
      <c r="H70" s="732"/>
      <c r="I70" s="733"/>
      <c r="J70" s="576"/>
      <c r="L70" s="705"/>
      <c r="Z70" s="308"/>
      <c r="AA70" s="308"/>
      <c r="AB70" s="308"/>
      <c r="AC70" s="308"/>
      <c r="AD70" s="308"/>
      <c r="AE70" s="308"/>
      <c r="AF70" s="308"/>
      <c r="AG70" s="308"/>
      <c r="AH70" s="308"/>
      <c r="AI70" s="308"/>
      <c r="AJ70" s="308"/>
      <c r="AK70" s="308"/>
      <c r="AL70" s="308"/>
      <c r="AM70" s="308"/>
      <c r="AN70" s="308"/>
      <c r="AO70" s="308"/>
      <c r="AP70" s="308"/>
      <c r="AQ70" s="308"/>
      <c r="AR70" s="308"/>
    </row>
    <row r="71" spans="1:44" ht="78.75" hidden="1" customHeight="1" thickBot="1" x14ac:dyDescent="0.35">
      <c r="A71" s="308">
        <v>646</v>
      </c>
      <c r="B71" s="813" t="s">
        <v>416</v>
      </c>
      <c r="C71" s="813" t="s">
        <v>149</v>
      </c>
      <c r="D71" s="307" t="s">
        <v>417</v>
      </c>
      <c r="E71" s="670" t="e">
        <f>HLOOKUP($D$2,'2020 Data(H)'!$C$1:$AB$426,305,FALSE)</f>
        <v>#N/A</v>
      </c>
      <c r="F71" s="295">
        <v>0</v>
      </c>
      <c r="G71" s="731">
        <f>IF(F71&lt;0,"Note: Number is normally positive.",)</f>
        <v>0</v>
      </c>
      <c r="H71" s="732"/>
      <c r="I71" s="733"/>
      <c r="J71" s="576"/>
      <c r="L71" s="705"/>
      <c r="Z71" s="308"/>
      <c r="AA71" s="308"/>
      <c r="AB71" s="308"/>
      <c r="AC71" s="308"/>
      <c r="AD71" s="308"/>
      <c r="AE71" s="308"/>
      <c r="AF71" s="308"/>
      <c r="AG71" s="308"/>
      <c r="AH71" s="308"/>
      <c r="AI71" s="308"/>
      <c r="AJ71" s="308"/>
      <c r="AK71" s="308"/>
      <c r="AL71" s="308"/>
      <c r="AM71" s="308"/>
      <c r="AN71" s="308"/>
      <c r="AO71" s="308"/>
      <c r="AP71" s="308"/>
      <c r="AQ71" s="308"/>
      <c r="AR71" s="308"/>
    </row>
    <row r="72" spans="1:44" ht="57.75" hidden="1" customHeight="1" thickBot="1" x14ac:dyDescent="0.35">
      <c r="A72" s="108">
        <v>9</v>
      </c>
      <c r="B72" s="816" t="s">
        <v>60</v>
      </c>
      <c r="C72" s="816" t="s">
        <v>149</v>
      </c>
      <c r="D72" s="709" t="s">
        <v>1122</v>
      </c>
      <c r="E72" s="670" t="e">
        <f>HLOOKUP($D$2,'2020 Data(H)'!$C$1:$AB$426,7,FALSE)</f>
        <v>#N/A</v>
      </c>
      <c r="F72" s="295">
        <v>0</v>
      </c>
      <c r="G72" s="731">
        <f>IF(F62-F64-F65-F66-F72=0,,"Error: Total assets less total liabilities do not equal total fund balance. Account numbers 379-4-5-380-9= 0  The amount of the formula is in the cell to the right")</f>
        <v>0</v>
      </c>
      <c r="H72" s="734">
        <f>F62-F64-F65-F66-F72</f>
        <v>0</v>
      </c>
      <c r="I72" s="79"/>
      <c r="J72" s="576"/>
      <c r="L72" s="705"/>
      <c r="Z72" s="108"/>
      <c r="AA72" s="108"/>
      <c r="AB72" s="108"/>
      <c r="AC72" s="108"/>
      <c r="AD72" s="108"/>
      <c r="AE72" s="108"/>
      <c r="AF72" s="108"/>
      <c r="AG72" s="108"/>
      <c r="AH72" s="108"/>
      <c r="AI72" s="108"/>
      <c r="AJ72" s="108"/>
      <c r="AK72" s="108"/>
      <c r="AL72" s="108"/>
      <c r="AM72" s="108"/>
      <c r="AN72" s="108"/>
      <c r="AO72" s="108"/>
      <c r="AP72" s="108"/>
      <c r="AQ72" s="108"/>
      <c r="AR72" s="108"/>
    </row>
    <row r="73" spans="1:44" s="18" customFormat="1" ht="63.75" hidden="1" customHeight="1" thickBot="1" x14ac:dyDescent="0.35">
      <c r="A73" s="108">
        <v>540</v>
      </c>
      <c r="B73" s="636" t="s">
        <v>59</v>
      </c>
      <c r="C73" s="636" t="s">
        <v>1123</v>
      </c>
      <c r="D73" s="107" t="s">
        <v>450</v>
      </c>
      <c r="E73" s="670" t="e">
        <f>HLOOKUP($D$2,'2020 Data(H)'!$C$1:$AB$426,190,FALSE)</f>
        <v>#N/A</v>
      </c>
      <c r="F73" s="295">
        <v>0</v>
      </c>
      <c r="G73" s="731"/>
      <c r="H73" s="732"/>
      <c r="I73" s="733"/>
      <c r="J73" s="576"/>
      <c r="L73" s="705"/>
      <c r="N73" s="296"/>
      <c r="Z73" s="108"/>
      <c r="AA73" s="108"/>
      <c r="AB73" s="108"/>
      <c r="AC73" s="108"/>
      <c r="AD73" s="108"/>
      <c r="AE73" s="108"/>
      <c r="AF73" s="108"/>
      <c r="AG73" s="108"/>
      <c r="AH73" s="108"/>
      <c r="AI73" s="108"/>
      <c r="AJ73" s="108"/>
      <c r="AK73" s="108"/>
      <c r="AL73" s="108"/>
      <c r="AM73" s="108"/>
      <c r="AN73" s="108"/>
      <c r="AO73" s="108"/>
      <c r="AP73" s="108"/>
      <c r="AQ73" s="108"/>
      <c r="AR73" s="108"/>
    </row>
    <row r="74" spans="1:44" ht="30" hidden="1" customHeight="1" thickBot="1" x14ac:dyDescent="0.35">
      <c r="A74" s="108"/>
      <c r="B74" s="844" t="s">
        <v>151</v>
      </c>
      <c r="C74" s="845"/>
      <c r="D74" s="849"/>
      <c r="E74" s="850"/>
      <c r="F74" s="851"/>
      <c r="G74" s="852"/>
      <c r="H74" s="17"/>
      <c r="I74" s="79"/>
      <c r="L74" s="705"/>
      <c r="Z74" s="108"/>
      <c r="AA74" s="108"/>
      <c r="AB74" s="108"/>
      <c r="AC74" s="108"/>
      <c r="AD74" s="108"/>
      <c r="AE74" s="108"/>
      <c r="AF74" s="108"/>
      <c r="AG74" s="108"/>
      <c r="AH74" s="108"/>
      <c r="AI74" s="108"/>
      <c r="AJ74" s="108"/>
      <c r="AK74" s="108"/>
      <c r="AL74" s="108"/>
      <c r="AM74" s="108"/>
      <c r="AN74" s="108"/>
      <c r="AO74" s="108"/>
      <c r="AP74" s="108"/>
      <c r="AQ74" s="108"/>
      <c r="AR74" s="108"/>
    </row>
    <row r="75" spans="1:44" ht="82.5" hidden="1" customHeight="1" thickBot="1" x14ac:dyDescent="0.35">
      <c r="A75" s="108">
        <v>984</v>
      </c>
      <c r="B75" s="715" t="s">
        <v>737</v>
      </c>
      <c r="C75" s="715" t="s">
        <v>1123</v>
      </c>
      <c r="D75" s="740" t="s">
        <v>1218</v>
      </c>
      <c r="E75" s="670" t="s">
        <v>738</v>
      </c>
      <c r="F75" s="295">
        <v>0</v>
      </c>
      <c r="G75" s="731"/>
      <c r="H75" s="17"/>
      <c r="I75" s="79"/>
      <c r="J75" s="576"/>
      <c r="L75" s="705"/>
      <c r="Z75" s="108"/>
      <c r="AA75" s="108"/>
      <c r="AB75" s="108"/>
      <c r="AC75" s="108"/>
      <c r="AD75" s="108"/>
      <c r="AE75" s="108"/>
      <c r="AF75" s="108"/>
      <c r="AG75" s="108"/>
      <c r="AH75" s="108"/>
      <c r="AI75" s="108"/>
      <c r="AJ75" s="108"/>
      <c r="AK75" s="108"/>
      <c r="AL75" s="108"/>
      <c r="AM75" s="108"/>
      <c r="AN75" s="108"/>
      <c r="AO75" s="108"/>
      <c r="AP75" s="108"/>
      <c r="AQ75" s="108"/>
      <c r="AR75" s="108"/>
    </row>
    <row r="76" spans="1:44" ht="69" hidden="1" customHeight="1" thickBot="1" x14ac:dyDescent="0.35">
      <c r="A76" s="108">
        <v>985</v>
      </c>
      <c r="B76" s="715" t="s">
        <v>737</v>
      </c>
      <c r="C76" s="715" t="s">
        <v>1123</v>
      </c>
      <c r="D76" s="740" t="s">
        <v>1219</v>
      </c>
      <c r="E76" s="670" t="s">
        <v>738</v>
      </c>
      <c r="F76" s="295">
        <v>0</v>
      </c>
      <c r="G76" s="731"/>
      <c r="H76" s="17"/>
      <c r="I76" s="79"/>
      <c r="J76" s="576"/>
      <c r="L76" s="705"/>
      <c r="Z76" s="108"/>
      <c r="AA76" s="108"/>
      <c r="AB76" s="108"/>
      <c r="AC76" s="108"/>
      <c r="AD76" s="108"/>
      <c r="AE76" s="108"/>
      <c r="AF76" s="108"/>
      <c r="AG76" s="108"/>
      <c r="AH76" s="108"/>
      <c r="AI76" s="108"/>
      <c r="AJ76" s="108"/>
      <c r="AK76" s="108"/>
      <c r="AL76" s="108"/>
      <c r="AM76" s="108"/>
      <c r="AN76" s="108"/>
      <c r="AO76" s="108"/>
      <c r="AP76" s="108"/>
      <c r="AQ76" s="108"/>
      <c r="AR76" s="108"/>
    </row>
    <row r="77" spans="1:44" ht="52.5" hidden="1" customHeight="1" thickBot="1" x14ac:dyDescent="0.35">
      <c r="A77" s="108">
        <v>369</v>
      </c>
      <c r="B77" s="594" t="s">
        <v>56</v>
      </c>
      <c r="C77" s="594" t="s">
        <v>152</v>
      </c>
      <c r="D77" s="709" t="s">
        <v>1124</v>
      </c>
      <c r="E77" s="670" t="e">
        <f>HLOOKUP($D$2,'2020 Data(H)'!$C$1:$AB$426,130,FALSE)</f>
        <v>#N/A</v>
      </c>
      <c r="F77" s="295">
        <v>0</v>
      </c>
      <c r="G77" s="731"/>
      <c r="H77" s="17"/>
      <c r="I77" s="79"/>
      <c r="J77" s="576"/>
      <c r="L77" s="705"/>
      <c r="Z77" s="108"/>
      <c r="AA77" s="108"/>
      <c r="AB77" s="108"/>
      <c r="AC77" s="108"/>
      <c r="AD77" s="108"/>
      <c r="AE77" s="108"/>
      <c r="AF77" s="108"/>
      <c r="AG77" s="108"/>
      <c r="AH77" s="108"/>
      <c r="AI77" s="108"/>
      <c r="AJ77" s="108"/>
      <c r="AK77" s="108"/>
      <c r="AL77" s="108"/>
      <c r="AM77" s="108"/>
      <c r="AN77" s="108"/>
      <c r="AO77" s="108"/>
      <c r="AP77" s="108"/>
      <c r="AQ77" s="108"/>
      <c r="AR77" s="108"/>
    </row>
    <row r="78" spans="1:44" ht="57.75" hidden="1" customHeight="1" thickBot="1" x14ac:dyDescent="0.35">
      <c r="A78" s="108">
        <v>16</v>
      </c>
      <c r="B78" s="594" t="s">
        <v>66</v>
      </c>
      <c r="C78" s="594" t="s">
        <v>152</v>
      </c>
      <c r="D78" s="107" t="s">
        <v>150</v>
      </c>
      <c r="E78" s="670" t="e">
        <f>HLOOKUP($D$2,'2020 Data(H)'!$C$1:$AB$426,12,FALSE)</f>
        <v>#N/A</v>
      </c>
      <c r="F78" s="295">
        <v>0</v>
      </c>
      <c r="G78" s="731"/>
      <c r="H78" s="17"/>
      <c r="I78" s="79"/>
      <c r="J78" s="576"/>
      <c r="L78" s="705"/>
      <c r="Z78" s="108"/>
      <c r="AA78" s="108"/>
      <c r="AB78" s="108"/>
      <c r="AC78" s="108"/>
      <c r="AD78" s="108"/>
      <c r="AE78" s="108"/>
      <c r="AF78" s="108"/>
      <c r="AG78" s="108"/>
      <c r="AH78" s="108"/>
      <c r="AI78" s="108"/>
      <c r="AJ78" s="108"/>
      <c r="AK78" s="108"/>
      <c r="AL78" s="108"/>
      <c r="AM78" s="108"/>
      <c r="AN78" s="108"/>
      <c r="AO78" s="108"/>
      <c r="AP78" s="108"/>
      <c r="AQ78" s="108"/>
      <c r="AR78" s="108"/>
    </row>
    <row r="79" spans="1:44" ht="65.25" hidden="1" customHeight="1" thickBot="1" x14ac:dyDescent="0.35">
      <c r="A79" s="108">
        <v>370</v>
      </c>
      <c r="B79" s="594" t="s">
        <v>56</v>
      </c>
      <c r="C79" s="594" t="s">
        <v>152</v>
      </c>
      <c r="D79" s="709" t="s">
        <v>1125</v>
      </c>
      <c r="E79" s="670" t="e">
        <f>HLOOKUP($D$2,'2020 Data(H)'!$C$1:$AB$426,131,FALSE)</f>
        <v>#N/A</v>
      </c>
      <c r="F79" s="295">
        <v>0</v>
      </c>
      <c r="G79" s="731">
        <f>IF(F79&lt;0,"Error: Enter as positive.",)</f>
        <v>0</v>
      </c>
      <c r="H79" s="17"/>
      <c r="I79" s="79"/>
      <c r="J79" s="576"/>
      <c r="L79" s="705"/>
      <c r="Z79" s="108"/>
      <c r="AA79" s="108"/>
      <c r="AB79" s="108"/>
      <c r="AC79" s="108"/>
      <c r="AD79" s="108"/>
      <c r="AE79" s="108"/>
      <c r="AF79" s="108"/>
      <c r="AG79" s="108"/>
      <c r="AH79" s="108"/>
      <c r="AI79" s="108"/>
      <c r="AJ79" s="108"/>
      <c r="AK79" s="108"/>
      <c r="AL79" s="108"/>
      <c r="AM79" s="108"/>
      <c r="AN79" s="108"/>
      <c r="AO79" s="108"/>
      <c r="AP79" s="108"/>
      <c r="AQ79" s="108"/>
      <c r="AR79" s="108"/>
    </row>
    <row r="80" spans="1:44" ht="69.75" hidden="1" customHeight="1" thickBot="1" x14ac:dyDescent="0.35">
      <c r="A80" s="108">
        <v>532</v>
      </c>
      <c r="B80" s="594" t="s">
        <v>55</v>
      </c>
      <c r="C80" s="594" t="s">
        <v>152</v>
      </c>
      <c r="D80" s="694" t="s">
        <v>1126</v>
      </c>
      <c r="E80" s="670" t="e">
        <f>HLOOKUP($D$2,'2020 Data(H)'!$C$1:$AB$426,182,FALSE)</f>
        <v>#N/A</v>
      </c>
      <c r="F80" s="295">
        <v>0</v>
      </c>
      <c r="G80" s="731">
        <f>IF(F80&lt;0,"Error: Enter as positive.",)</f>
        <v>0</v>
      </c>
      <c r="H80" s="17"/>
      <c r="I80" s="79"/>
      <c r="J80" s="576"/>
      <c r="L80" s="705"/>
      <c r="Z80" s="108"/>
      <c r="AA80" s="108"/>
      <c r="AB80" s="108"/>
      <c r="AC80" s="108"/>
      <c r="AD80" s="108"/>
      <c r="AE80" s="108"/>
      <c r="AF80" s="108"/>
      <c r="AG80" s="108"/>
      <c r="AH80" s="108"/>
      <c r="AI80" s="108"/>
      <c r="AJ80" s="108"/>
      <c r="AK80" s="108"/>
      <c r="AL80" s="108"/>
      <c r="AM80" s="108"/>
      <c r="AN80" s="108"/>
      <c r="AO80" s="108"/>
      <c r="AP80" s="108"/>
      <c r="AQ80" s="108"/>
      <c r="AR80" s="108"/>
    </row>
    <row r="81" spans="1:44" ht="54" hidden="1" customHeight="1" thickBot="1" x14ac:dyDescent="0.35">
      <c r="A81" s="108">
        <v>17</v>
      </c>
      <c r="B81" s="594" t="s">
        <v>60</v>
      </c>
      <c r="C81" s="594" t="s">
        <v>152</v>
      </c>
      <c r="D81" s="107" t="s">
        <v>1127</v>
      </c>
      <c r="E81" s="670" t="e">
        <f>HLOOKUP($D$2,'2020 Data(H)'!$C$1:$AB$426,13,FALSE)</f>
        <v>#N/A</v>
      </c>
      <c r="F81" s="295">
        <v>0</v>
      </c>
      <c r="G81" s="731"/>
      <c r="H81" s="17"/>
      <c r="I81" s="79"/>
      <c r="L81" s="705"/>
      <c r="Z81" s="108"/>
      <c r="AA81" s="108"/>
      <c r="AB81" s="108"/>
      <c r="AC81" s="108"/>
      <c r="AD81" s="108"/>
      <c r="AE81" s="108"/>
      <c r="AF81" s="108"/>
      <c r="AG81" s="108"/>
      <c r="AH81" s="108"/>
      <c r="AI81" s="108"/>
      <c r="AJ81" s="108"/>
      <c r="AK81" s="108"/>
      <c r="AL81" s="108"/>
      <c r="AM81" s="108"/>
      <c r="AN81" s="108"/>
      <c r="AO81" s="108"/>
      <c r="AP81" s="108"/>
      <c r="AQ81" s="108"/>
      <c r="AR81" s="108"/>
    </row>
    <row r="82" spans="1:44" ht="58.5" hidden="1" customHeight="1" thickBot="1" x14ac:dyDescent="0.35">
      <c r="A82" s="108">
        <v>20</v>
      </c>
      <c r="B82" s="594" t="s">
        <v>55</v>
      </c>
      <c r="C82" s="594" t="s">
        <v>152</v>
      </c>
      <c r="D82" s="107" t="s">
        <v>1128</v>
      </c>
      <c r="E82" s="670" t="e">
        <f>HLOOKUP($D$2,'2020 Data(H)'!$C$1:$AB$426,15,FALSE)</f>
        <v>#N/A</v>
      </c>
      <c r="F82" s="295">
        <v>0</v>
      </c>
      <c r="G82" s="731">
        <f>IF(F82&lt;0,"Error: Enter as positive.",)</f>
        <v>0</v>
      </c>
      <c r="H82" s="17"/>
      <c r="I82" s="79"/>
      <c r="L82" s="705"/>
      <c r="Z82" s="108"/>
      <c r="AA82" s="108"/>
      <c r="AB82" s="108"/>
      <c r="AC82" s="108"/>
      <c r="AD82" s="108"/>
      <c r="AE82" s="108"/>
      <c r="AF82" s="108"/>
      <c r="AG82" s="108"/>
      <c r="AH82" s="108"/>
      <c r="AI82" s="108"/>
      <c r="AJ82" s="108"/>
      <c r="AK82" s="108"/>
      <c r="AL82" s="108"/>
      <c r="AM82" s="108"/>
      <c r="AN82" s="108"/>
      <c r="AO82" s="108"/>
      <c r="AP82" s="108"/>
      <c r="AQ82" s="108"/>
      <c r="AR82" s="108"/>
    </row>
    <row r="83" spans="1:44" ht="54" hidden="1" customHeight="1" thickBot="1" x14ac:dyDescent="0.35">
      <c r="A83" s="108">
        <v>533</v>
      </c>
      <c r="B83" s="594" t="s">
        <v>55</v>
      </c>
      <c r="C83" s="594" t="s">
        <v>152</v>
      </c>
      <c r="D83" s="694" t="s">
        <v>1129</v>
      </c>
      <c r="E83" s="670" t="e">
        <f>HLOOKUP($D$2,'2020 Data(H)'!$C$1:$AB$426,183,FALSE)</f>
        <v>#N/A</v>
      </c>
      <c r="F83" s="295">
        <v>0</v>
      </c>
      <c r="G83" s="741"/>
      <c r="H83" s="17"/>
      <c r="I83" s="79"/>
      <c r="L83" s="705"/>
      <c r="Z83" s="108"/>
      <c r="AA83" s="108"/>
      <c r="AB83" s="108"/>
      <c r="AC83" s="108"/>
      <c r="AD83" s="108"/>
      <c r="AE83" s="108"/>
      <c r="AF83" s="108"/>
      <c r="AG83" s="108"/>
      <c r="AH83" s="108"/>
      <c r="AI83" s="108"/>
      <c r="AJ83" s="108"/>
      <c r="AK83" s="108"/>
      <c r="AL83" s="108"/>
      <c r="AM83" s="108"/>
      <c r="AN83" s="108"/>
      <c r="AO83" s="108"/>
      <c r="AP83" s="108"/>
      <c r="AQ83" s="108"/>
      <c r="AR83" s="108"/>
    </row>
    <row r="84" spans="1:44" s="18" customFormat="1" ht="62.25" hidden="1" customHeight="1" thickBot="1" x14ac:dyDescent="0.35">
      <c r="A84" s="108">
        <v>508</v>
      </c>
      <c r="B84" s="594" t="s">
        <v>55</v>
      </c>
      <c r="C84" s="594" t="s">
        <v>152</v>
      </c>
      <c r="D84" s="107" t="s">
        <v>314</v>
      </c>
      <c r="E84" s="670" t="e">
        <f>HLOOKUP($D$2,'2020 Data(H)'!$C$1:$AB$426,158,FALSE)</f>
        <v>#N/A</v>
      </c>
      <c r="F84" s="295">
        <v>0</v>
      </c>
      <c r="G84" s="731"/>
      <c r="H84" s="732"/>
      <c r="I84" s="733"/>
      <c r="L84" s="705"/>
      <c r="N84" s="296"/>
      <c r="Z84" s="108"/>
      <c r="AA84" s="108"/>
      <c r="AB84" s="108"/>
      <c r="AC84" s="108"/>
      <c r="AD84" s="108"/>
      <c r="AE84" s="108"/>
      <c r="AF84" s="108"/>
      <c r="AG84" s="108"/>
      <c r="AH84" s="108"/>
      <c r="AI84" s="108"/>
      <c r="AJ84" s="108"/>
      <c r="AK84" s="108"/>
      <c r="AL84" s="108"/>
      <c r="AM84" s="108"/>
      <c r="AN84" s="108"/>
      <c r="AO84" s="108"/>
      <c r="AP84" s="108"/>
      <c r="AQ84" s="108"/>
      <c r="AR84" s="108"/>
    </row>
    <row r="85" spans="1:44" s="18" customFormat="1" ht="81.75" hidden="1" customHeight="1" thickBot="1" x14ac:dyDescent="0.35">
      <c r="A85" s="108">
        <v>509</v>
      </c>
      <c r="B85" s="594" t="s">
        <v>55</v>
      </c>
      <c r="C85" s="594" t="s">
        <v>152</v>
      </c>
      <c r="D85" s="107" t="s">
        <v>312</v>
      </c>
      <c r="E85" s="670" t="e">
        <f>HLOOKUP($D$2,'2020 Data(H)'!$C$1:$AB$426,159,FALSE)</f>
        <v>#N/A</v>
      </c>
      <c r="F85" s="295">
        <v>0</v>
      </c>
      <c r="G85" s="731">
        <f>IF(F85&lt;0,"Error: Enter as positive.",)</f>
        <v>0</v>
      </c>
      <c r="H85" s="732"/>
      <c r="I85" s="733"/>
      <c r="L85" s="705"/>
      <c r="N85" s="296"/>
      <c r="Z85" s="108"/>
      <c r="AA85" s="108"/>
      <c r="AB85" s="108"/>
      <c r="AC85" s="108"/>
      <c r="AD85" s="108"/>
      <c r="AE85" s="108"/>
      <c r="AF85" s="108"/>
      <c r="AG85" s="108"/>
      <c r="AH85" s="108"/>
      <c r="AI85" s="108"/>
      <c r="AJ85" s="108"/>
      <c r="AK85" s="108"/>
      <c r="AL85" s="108"/>
      <c r="AM85" s="108"/>
      <c r="AN85" s="108"/>
      <c r="AO85" s="108"/>
      <c r="AP85" s="108"/>
      <c r="AQ85" s="108"/>
      <c r="AR85" s="108"/>
    </row>
    <row r="86" spans="1:44" ht="69" hidden="1" customHeight="1" thickBot="1" x14ac:dyDescent="0.35">
      <c r="A86" s="108">
        <v>22</v>
      </c>
      <c r="B86" s="594" t="s">
        <v>60</v>
      </c>
      <c r="C86" s="594" t="s">
        <v>152</v>
      </c>
      <c r="D86" s="107" t="s">
        <v>313</v>
      </c>
      <c r="E86" s="670" t="e">
        <f>HLOOKUP($D$2,'2020 Data(H)'!$C$1:$AB$426,17,FALSE)</f>
        <v>#N/A</v>
      </c>
      <c r="F86" s="295">
        <v>0</v>
      </c>
      <c r="G86" s="741"/>
      <c r="H86" s="17"/>
      <c r="I86" s="79"/>
      <c r="J86" s="576"/>
      <c r="L86" s="705"/>
      <c r="Z86" s="108"/>
      <c r="AA86" s="108"/>
      <c r="AB86" s="108"/>
      <c r="AC86" s="108"/>
      <c r="AD86" s="108"/>
      <c r="AE86" s="108"/>
      <c r="AF86" s="108"/>
      <c r="AG86" s="108"/>
      <c r="AH86" s="108"/>
      <c r="AI86" s="108"/>
      <c r="AJ86" s="108"/>
      <c r="AK86" s="108"/>
      <c r="AL86" s="108"/>
      <c r="AM86" s="108"/>
      <c r="AN86" s="108"/>
      <c r="AO86" s="108"/>
      <c r="AP86" s="108"/>
      <c r="AQ86" s="108"/>
      <c r="AR86" s="108"/>
    </row>
    <row r="87" spans="1:44" ht="72" hidden="1" customHeight="1" thickBot="1" x14ac:dyDescent="0.35">
      <c r="A87" s="108">
        <v>23</v>
      </c>
      <c r="B87" s="594" t="s">
        <v>60</v>
      </c>
      <c r="C87" s="594" t="s">
        <v>152</v>
      </c>
      <c r="D87" s="709" t="s">
        <v>1130</v>
      </c>
      <c r="E87" s="670" t="e">
        <f>HLOOKUP($D$2,'2020 Data(H)'!$C$1:$AB$426,18,FALSE)</f>
        <v>#N/A</v>
      </c>
      <c r="F87" s="295">
        <v>0</v>
      </c>
      <c r="G87" s="731">
        <f>IF(H87=0,,"Error: Total revenues less total expenditures do not equal total change in fund balance.  Account numbers 16-532+17-20+533+22+508-509-23=0  The amount of the formula is located in the cell to the right")</f>
        <v>0</v>
      </c>
      <c r="H87" s="734">
        <f>+F78-F80+F81-F82+F83+F86+F84-F85-F87</f>
        <v>0</v>
      </c>
      <c r="I87" s="79"/>
      <c r="J87" s="576"/>
      <c r="L87" s="705"/>
      <c r="Z87" s="108"/>
      <c r="AA87" s="108"/>
      <c r="AB87" s="108"/>
      <c r="AC87" s="108"/>
      <c r="AD87" s="108"/>
      <c r="AE87" s="108"/>
      <c r="AF87" s="108"/>
      <c r="AG87" s="108"/>
      <c r="AH87" s="108"/>
      <c r="AI87" s="108"/>
      <c r="AJ87" s="108"/>
      <c r="AK87" s="108"/>
      <c r="AL87" s="108"/>
      <c r="AM87" s="108"/>
      <c r="AN87" s="108"/>
      <c r="AO87" s="108"/>
      <c r="AP87" s="108"/>
      <c r="AQ87" s="108"/>
      <c r="AR87" s="108"/>
    </row>
    <row r="88" spans="1:44" ht="194.25" hidden="1" customHeight="1" thickBot="1" x14ac:dyDescent="0.35">
      <c r="A88" s="108">
        <v>590</v>
      </c>
      <c r="B88" s="594" t="s">
        <v>349</v>
      </c>
      <c r="C88" s="594"/>
      <c r="D88" s="709" t="s">
        <v>1240</v>
      </c>
      <c r="E88" s="910"/>
      <c r="F88" s="295"/>
      <c r="G88" s="742"/>
      <c r="H88" s="734"/>
      <c r="I88" s="79"/>
      <c r="K88" s="743"/>
      <c r="L88" s="705"/>
      <c r="Z88" s="108"/>
      <c r="AA88" s="108"/>
      <c r="AB88" s="108"/>
      <c r="AC88" s="108"/>
      <c r="AD88" s="108"/>
      <c r="AE88" s="108"/>
      <c r="AF88" s="108"/>
      <c r="AG88" s="108"/>
      <c r="AH88" s="108"/>
      <c r="AI88" s="108"/>
      <c r="AJ88" s="108"/>
      <c r="AK88" s="108"/>
      <c r="AL88" s="108"/>
      <c r="AM88" s="108"/>
      <c r="AN88" s="108"/>
      <c r="AO88" s="108"/>
      <c r="AP88" s="108"/>
      <c r="AQ88" s="108"/>
      <c r="AR88" s="108"/>
    </row>
    <row r="89" spans="1:44" ht="115.5" hidden="1" customHeight="1" thickBot="1" x14ac:dyDescent="0.35">
      <c r="A89" s="108">
        <v>507</v>
      </c>
      <c r="B89" s="594" t="s">
        <v>60</v>
      </c>
      <c r="C89" s="594" t="s">
        <v>152</v>
      </c>
      <c r="D89" s="709" t="s">
        <v>1131</v>
      </c>
      <c r="E89" s="670" t="e">
        <f>HLOOKUP($D$2,'2020 Data(H)'!$C$1:$AB$426,157,FALSE)</f>
        <v>#N/A</v>
      </c>
      <c r="F89" s="295">
        <v>0</v>
      </c>
      <c r="G89" s="731" t="e">
        <f>IF(F72-F87-F89=E72,,"Error: Beginning Balance does not agree with our records.  (Acct# 9-23-507)= Prior Years Acct # 9 The amount of the formula is in the cell to the right")</f>
        <v>#N/A</v>
      </c>
      <c r="H89" s="734" t="e">
        <f>+F72-F87-F89-E72</f>
        <v>#N/A</v>
      </c>
      <c r="I89" s="79"/>
      <c r="L89" s="705"/>
      <c r="Z89" s="108"/>
      <c r="AA89" s="108"/>
      <c r="AB89" s="108"/>
      <c r="AC89" s="108"/>
      <c r="AD89" s="108"/>
      <c r="AE89" s="108"/>
      <c r="AF89" s="108"/>
      <c r="AG89" s="108"/>
      <c r="AH89" s="108"/>
      <c r="AI89" s="108"/>
      <c r="AJ89" s="108"/>
      <c r="AK89" s="108"/>
      <c r="AL89" s="108"/>
      <c r="AM89" s="108"/>
      <c r="AN89" s="108"/>
      <c r="AO89" s="108"/>
      <c r="AP89" s="108"/>
      <c r="AQ89" s="108"/>
      <c r="AR89" s="108"/>
    </row>
    <row r="90" spans="1:44" ht="169.5" hidden="1" customHeight="1" thickBot="1" x14ac:dyDescent="0.35">
      <c r="A90" s="108">
        <v>147</v>
      </c>
      <c r="B90" s="817" t="s">
        <v>943</v>
      </c>
      <c r="C90" s="817" t="s">
        <v>944</v>
      </c>
      <c r="D90" s="709" t="s">
        <v>945</v>
      </c>
      <c r="E90" s="670" t="e">
        <f>HLOOKUP($D$2,'2020 Data(H)'!$C$1:$AB$426,67,FALSE)</f>
        <v>#N/A</v>
      </c>
      <c r="F90" s="295">
        <v>0</v>
      </c>
      <c r="G90" s="731"/>
      <c r="H90" s="734"/>
      <c r="I90" s="79"/>
      <c r="L90" s="705"/>
      <c r="Z90" s="108"/>
      <c r="AA90" s="108"/>
      <c r="AB90" s="108"/>
      <c r="AC90" s="108"/>
      <c r="AD90" s="108"/>
      <c r="AE90" s="108"/>
      <c r="AF90" s="108"/>
      <c r="AG90" s="108"/>
      <c r="AH90" s="108"/>
      <c r="AI90" s="108"/>
      <c r="AJ90" s="108"/>
      <c r="AK90" s="108"/>
      <c r="AL90" s="108"/>
      <c r="AM90" s="108"/>
      <c r="AN90" s="108"/>
      <c r="AO90" s="108"/>
      <c r="AP90" s="108"/>
      <c r="AQ90" s="108"/>
      <c r="AR90" s="108"/>
    </row>
    <row r="91" spans="1:44" ht="115.5" hidden="1" customHeight="1" thickBot="1" x14ac:dyDescent="0.35">
      <c r="A91" s="108">
        <v>585</v>
      </c>
      <c r="B91" s="817" t="s">
        <v>943</v>
      </c>
      <c r="C91" s="817" t="s">
        <v>944</v>
      </c>
      <c r="D91" s="709" t="s">
        <v>946</v>
      </c>
      <c r="E91" s="670" t="e">
        <f>HLOOKUP($D$2,'2020 Data(H)'!$C$1:$AB$426,235,FALSE)</f>
        <v>#N/A</v>
      </c>
      <c r="F91" s="295">
        <v>0</v>
      </c>
      <c r="G91" s="731"/>
      <c r="H91" s="734"/>
      <c r="I91" s="79"/>
      <c r="L91" s="705"/>
      <c r="Z91" s="108"/>
      <c r="AA91" s="108"/>
      <c r="AB91" s="108"/>
      <c r="AC91" s="108"/>
      <c r="AD91" s="108"/>
      <c r="AE91" s="108"/>
      <c r="AF91" s="108"/>
      <c r="AG91" s="108"/>
      <c r="AH91" s="108"/>
      <c r="AI91" s="108"/>
      <c r="AJ91" s="108"/>
      <c r="AK91" s="108"/>
      <c r="AL91" s="108"/>
      <c r="AM91" s="108"/>
      <c r="AN91" s="108"/>
      <c r="AO91" s="108"/>
      <c r="AP91" s="108"/>
      <c r="AQ91" s="108"/>
      <c r="AR91" s="108"/>
    </row>
    <row r="92" spans="1:44" ht="115.5" hidden="1" customHeight="1" thickBot="1" x14ac:dyDescent="0.35">
      <c r="A92" s="108">
        <v>546</v>
      </c>
      <c r="B92" s="817" t="s">
        <v>943</v>
      </c>
      <c r="C92" s="817" t="s">
        <v>944</v>
      </c>
      <c r="D92" s="709" t="s">
        <v>947</v>
      </c>
      <c r="E92" s="670" t="e">
        <f>HLOOKUP($D$2,'2020 Data(H)'!$C$1:$AB$426,196,FALSE)</f>
        <v>#N/A</v>
      </c>
      <c r="F92" s="295">
        <v>0</v>
      </c>
      <c r="G92" s="731"/>
      <c r="H92" s="734"/>
      <c r="I92" s="79"/>
      <c r="L92" s="705"/>
      <c r="Z92" s="108"/>
      <c r="AA92" s="108"/>
      <c r="AB92" s="108"/>
      <c r="AC92" s="108"/>
      <c r="AD92" s="108"/>
      <c r="AE92" s="108"/>
      <c r="AF92" s="108"/>
      <c r="AG92" s="108"/>
      <c r="AH92" s="108"/>
      <c r="AI92" s="108"/>
      <c r="AJ92" s="108"/>
      <c r="AK92" s="108"/>
      <c r="AL92" s="108"/>
      <c r="AM92" s="108"/>
      <c r="AN92" s="108"/>
      <c r="AO92" s="108"/>
      <c r="AP92" s="108"/>
      <c r="AQ92" s="108"/>
      <c r="AR92" s="108"/>
    </row>
    <row r="93" spans="1:44" ht="115.5" hidden="1" customHeight="1" thickBot="1" x14ac:dyDescent="0.35">
      <c r="A93" s="108">
        <v>589</v>
      </c>
      <c r="B93" s="817" t="s">
        <v>943</v>
      </c>
      <c r="C93" s="817" t="s">
        <v>944</v>
      </c>
      <c r="D93" s="709" t="s">
        <v>948</v>
      </c>
      <c r="E93" s="670" t="e">
        <f>HLOOKUP($D$2,'2020 Data(H)'!$C$1:$AB$426,239,FALSE)</f>
        <v>#N/A</v>
      </c>
      <c r="F93" s="295">
        <v>0</v>
      </c>
      <c r="G93" s="731"/>
      <c r="H93" s="734"/>
      <c r="I93" s="79"/>
      <c r="L93" s="705"/>
      <c r="Z93" s="108"/>
      <c r="AA93" s="108"/>
      <c r="AB93" s="108"/>
      <c r="AC93" s="108"/>
      <c r="AD93" s="108"/>
      <c r="AE93" s="108"/>
      <c r="AF93" s="108"/>
      <c r="AG93" s="108"/>
      <c r="AH93" s="108"/>
      <c r="AI93" s="108"/>
      <c r="AJ93" s="108"/>
      <c r="AK93" s="108"/>
      <c r="AL93" s="108"/>
      <c r="AM93" s="108"/>
      <c r="AN93" s="108"/>
      <c r="AO93" s="108"/>
      <c r="AP93" s="108"/>
      <c r="AQ93" s="108"/>
      <c r="AR93" s="108"/>
    </row>
    <row r="94" spans="1:44" ht="143.25" hidden="1" customHeight="1" thickBot="1" x14ac:dyDescent="0.35">
      <c r="A94" s="560">
        <v>149</v>
      </c>
      <c r="B94" s="594" t="s">
        <v>943</v>
      </c>
      <c r="C94" s="594" t="s">
        <v>944</v>
      </c>
      <c r="D94" s="709" t="s">
        <v>1024</v>
      </c>
      <c r="E94" s="670" t="e">
        <f>HLOOKUP($D$2,'2020 Data(H)'!$C$1:$AB$426,69,FALSE)</f>
        <v>#N/A</v>
      </c>
      <c r="F94" s="295">
        <v>0</v>
      </c>
      <c r="G94" s="731"/>
      <c r="H94" s="734"/>
      <c r="I94" s="79"/>
      <c r="L94" s="705"/>
      <c r="Z94" s="560"/>
      <c r="AA94" s="560"/>
      <c r="AB94" s="560"/>
      <c r="AC94" s="560"/>
      <c r="AD94" s="560"/>
      <c r="AE94" s="560"/>
      <c r="AF94" s="560"/>
      <c r="AG94" s="560"/>
      <c r="AH94" s="560"/>
      <c r="AI94" s="560"/>
      <c r="AJ94" s="560"/>
      <c r="AK94" s="560"/>
      <c r="AL94" s="560"/>
      <c r="AM94" s="560"/>
      <c r="AN94" s="560"/>
      <c r="AO94" s="560"/>
      <c r="AP94" s="560"/>
      <c r="AQ94" s="560"/>
      <c r="AR94" s="560"/>
    </row>
    <row r="95" spans="1:44" ht="115.5" hidden="1" customHeight="1" thickBot="1" x14ac:dyDescent="0.35">
      <c r="A95" s="108">
        <v>150</v>
      </c>
      <c r="B95" s="594" t="s">
        <v>943</v>
      </c>
      <c r="C95" s="594" t="s">
        <v>944</v>
      </c>
      <c r="D95" s="709" t="s">
        <v>1025</v>
      </c>
      <c r="E95" s="670" t="e">
        <f>HLOOKUP($D$2,'2020 Data(H)'!$C$1:$AB$426,70,FALSE)</f>
        <v>#N/A</v>
      </c>
      <c r="F95" s="295">
        <v>0</v>
      </c>
      <c r="G95" s="731"/>
      <c r="H95" s="734"/>
      <c r="I95" s="79"/>
      <c r="L95" s="705"/>
      <c r="Z95" s="108"/>
      <c r="AA95" s="108"/>
      <c r="AB95" s="108"/>
      <c r="AC95" s="108"/>
      <c r="AD95" s="108"/>
      <c r="AE95" s="108"/>
      <c r="AF95" s="108"/>
      <c r="AG95" s="108"/>
      <c r="AH95" s="108"/>
      <c r="AI95" s="108"/>
      <c r="AJ95" s="108"/>
      <c r="AK95" s="108"/>
      <c r="AL95" s="108"/>
      <c r="AM95" s="108"/>
      <c r="AN95" s="108"/>
      <c r="AO95" s="108"/>
      <c r="AP95" s="108"/>
      <c r="AQ95" s="108"/>
      <c r="AR95" s="108"/>
    </row>
    <row r="96" spans="1:44" ht="115.5" hidden="1" customHeight="1" thickBot="1" x14ac:dyDescent="0.35">
      <c r="A96" s="108">
        <v>587</v>
      </c>
      <c r="B96" s="636" t="s">
        <v>1026</v>
      </c>
      <c r="C96" s="636" t="s">
        <v>1027</v>
      </c>
      <c r="D96" s="709" t="s">
        <v>1132</v>
      </c>
      <c r="E96" s="670" t="e">
        <f>HLOOKUP($D$2,'2020 Data(H)'!$C$1:$AB$426,237,FALSE)</f>
        <v>#N/A</v>
      </c>
      <c r="F96" s="295">
        <v>0</v>
      </c>
      <c r="G96" s="731"/>
      <c r="H96" s="734"/>
      <c r="I96" s="79"/>
      <c r="L96" s="705"/>
      <c r="Z96" s="108"/>
      <c r="AA96" s="108"/>
      <c r="AB96" s="108"/>
      <c r="AC96" s="108"/>
      <c r="AD96" s="108"/>
      <c r="AE96" s="108"/>
      <c r="AF96" s="108"/>
      <c r="AG96" s="108"/>
      <c r="AH96" s="108"/>
      <c r="AI96" s="108"/>
      <c r="AJ96" s="108"/>
      <c r="AK96" s="108"/>
      <c r="AL96" s="108"/>
      <c r="AM96" s="108"/>
      <c r="AN96" s="108"/>
      <c r="AO96" s="108"/>
      <c r="AP96" s="108"/>
      <c r="AQ96" s="108"/>
      <c r="AR96" s="108"/>
    </row>
    <row r="97" spans="1:44" ht="115.5" hidden="1" customHeight="1" thickBot="1" x14ac:dyDescent="0.35">
      <c r="A97" s="108">
        <v>588</v>
      </c>
      <c r="B97" s="636" t="s">
        <v>1026</v>
      </c>
      <c r="C97" s="636" t="s">
        <v>1027</v>
      </c>
      <c r="D97" s="709" t="s">
        <v>1133</v>
      </c>
      <c r="E97" s="670" t="e">
        <f>HLOOKUP($D$2,'2020 Data(H)'!$C$1:$AB$426,238,FALSE)</f>
        <v>#N/A</v>
      </c>
      <c r="F97" s="295">
        <v>0</v>
      </c>
      <c r="G97" s="731"/>
      <c r="H97" s="734"/>
      <c r="I97" s="79"/>
      <c r="L97" s="705"/>
      <c r="Z97" s="108"/>
      <c r="AA97" s="108"/>
      <c r="AB97" s="108"/>
      <c r="AC97" s="108"/>
      <c r="AD97" s="108"/>
      <c r="AE97" s="108"/>
      <c r="AF97" s="108"/>
      <c r="AG97" s="108"/>
      <c r="AH97" s="108"/>
      <c r="AI97" s="108"/>
      <c r="AJ97" s="108"/>
      <c r="AK97" s="108"/>
      <c r="AL97" s="108"/>
      <c r="AM97" s="108"/>
      <c r="AN97" s="108"/>
      <c r="AO97" s="108"/>
      <c r="AP97" s="108"/>
      <c r="AQ97" s="108"/>
      <c r="AR97" s="108"/>
    </row>
    <row r="98" spans="1:44" ht="82.5" hidden="1" customHeight="1" thickBot="1" x14ac:dyDescent="0.35">
      <c r="A98" s="308">
        <v>647</v>
      </c>
      <c r="B98" s="813" t="s">
        <v>416</v>
      </c>
      <c r="C98" s="812" t="s">
        <v>418</v>
      </c>
      <c r="D98" s="307" t="s">
        <v>419</v>
      </c>
      <c r="E98" s="670" t="e">
        <f>HLOOKUP($D$2,'2020 Data(H)'!$C$1:$AB$426,306,FALSE)</f>
        <v>#N/A</v>
      </c>
      <c r="F98" s="295">
        <v>0</v>
      </c>
      <c r="G98" s="731">
        <f>IF(F98&lt;0,"Error: Enter as positive.",)</f>
        <v>0</v>
      </c>
      <c r="H98" s="744"/>
      <c r="I98" s="79"/>
      <c r="L98" s="705"/>
      <c r="Z98" s="308"/>
      <c r="AA98" s="308"/>
      <c r="AB98" s="308"/>
      <c r="AC98" s="308"/>
      <c r="AD98" s="308"/>
      <c r="AE98" s="308"/>
      <c r="AF98" s="308"/>
      <c r="AG98" s="308"/>
      <c r="AH98" s="308"/>
      <c r="AI98" s="308"/>
      <c r="AJ98" s="308"/>
      <c r="AK98" s="308"/>
      <c r="AL98" s="308"/>
      <c r="AM98" s="308"/>
      <c r="AN98" s="308"/>
      <c r="AO98" s="308"/>
      <c r="AP98" s="308"/>
      <c r="AQ98" s="308"/>
      <c r="AR98" s="308"/>
    </row>
    <row r="99" spans="1:44" ht="25.5" hidden="1" customHeight="1" thickBot="1" x14ac:dyDescent="0.35">
      <c r="A99" s="108"/>
      <c r="B99" s="844" t="s">
        <v>11</v>
      </c>
      <c r="C99" s="845"/>
      <c r="D99" s="846"/>
      <c r="E99" s="842"/>
      <c r="F99" s="847"/>
      <c r="G99" s="848"/>
      <c r="H99" s="17"/>
      <c r="I99" s="79"/>
      <c r="L99" s="705"/>
      <c r="Z99" s="108"/>
      <c r="AA99" s="108"/>
      <c r="AB99" s="108"/>
      <c r="AC99" s="108"/>
      <c r="AD99" s="108"/>
      <c r="AE99" s="108"/>
      <c r="AF99" s="108"/>
      <c r="AG99" s="108"/>
      <c r="AH99" s="108"/>
      <c r="AI99" s="108"/>
      <c r="AJ99" s="108"/>
      <c r="AK99" s="108"/>
      <c r="AL99" s="108"/>
      <c r="AM99" s="108"/>
      <c r="AN99" s="108"/>
      <c r="AO99" s="108"/>
      <c r="AP99" s="108"/>
      <c r="AQ99" s="108"/>
      <c r="AR99" s="108"/>
    </row>
    <row r="100" spans="1:44" ht="76.5" hidden="1" customHeight="1" thickBot="1" x14ac:dyDescent="0.35">
      <c r="A100" s="108">
        <v>148</v>
      </c>
      <c r="B100" s="594" t="s">
        <v>951</v>
      </c>
      <c r="C100" s="636" t="s">
        <v>949</v>
      </c>
      <c r="D100" s="636" t="s">
        <v>950</v>
      </c>
      <c r="E100" s="670" t="e">
        <f>HLOOKUP($D$2,'2020 Data(H)'!$C$1:$AB$426,68,FALSE)</f>
        <v>#N/A</v>
      </c>
      <c r="F100" s="295">
        <v>0</v>
      </c>
      <c r="G100" s="745"/>
      <c r="H100" s="17"/>
      <c r="I100" s="79"/>
      <c r="L100" s="705"/>
      <c r="Z100" s="108"/>
      <c r="AA100" s="108"/>
      <c r="AB100" s="108"/>
      <c r="AC100" s="108"/>
      <c r="AD100" s="108"/>
      <c r="AE100" s="108"/>
      <c r="AF100" s="108"/>
      <c r="AG100" s="108"/>
      <c r="AH100" s="108"/>
      <c r="AI100" s="108"/>
      <c r="AJ100" s="108"/>
      <c r="AK100" s="108"/>
      <c r="AL100" s="108"/>
      <c r="AM100" s="108"/>
      <c r="AN100" s="108"/>
      <c r="AO100" s="108"/>
      <c r="AP100" s="108"/>
      <c r="AQ100" s="108"/>
      <c r="AR100" s="108"/>
    </row>
    <row r="101" spans="1:44" ht="78" hidden="1" customHeight="1" thickBot="1" x14ac:dyDescent="0.35">
      <c r="A101" s="108">
        <v>171</v>
      </c>
      <c r="B101" s="594" t="s">
        <v>317</v>
      </c>
      <c r="C101" s="594" t="s">
        <v>316</v>
      </c>
      <c r="D101" s="671" t="s">
        <v>1134</v>
      </c>
      <c r="E101" s="670" t="e">
        <f>HLOOKUP($D$2,'2020 Data(H)'!$C$1:$AB$426,71,FALSE)</f>
        <v>#N/A</v>
      </c>
      <c r="F101" s="274">
        <v>0</v>
      </c>
      <c r="G101" s="731">
        <f>IF(F101&lt;0,"Error: Enter as positive.",)</f>
        <v>0</v>
      </c>
      <c r="H101" s="17"/>
      <c r="I101" s="79"/>
      <c r="J101" s="576"/>
      <c r="L101" s="705"/>
      <c r="Z101" s="108"/>
      <c r="AA101" s="108"/>
      <c r="AB101" s="108"/>
      <c r="AC101" s="108"/>
      <c r="AD101" s="108"/>
      <c r="AE101" s="108"/>
      <c r="AF101" s="108"/>
      <c r="AG101" s="108"/>
      <c r="AH101" s="108"/>
      <c r="AI101" s="108"/>
      <c r="AJ101" s="108"/>
      <c r="AK101" s="108"/>
      <c r="AL101" s="108"/>
      <c r="AM101" s="108"/>
      <c r="AN101" s="108"/>
      <c r="AO101" s="108"/>
      <c r="AP101" s="108"/>
      <c r="AQ101" s="108"/>
      <c r="AR101" s="108"/>
    </row>
    <row r="102" spans="1:44" ht="30.75" customHeight="1" thickBot="1" x14ac:dyDescent="0.35">
      <c r="A102" s="108"/>
      <c r="B102" s="843" t="s">
        <v>1015</v>
      </c>
      <c r="C102" s="842"/>
      <c r="D102" s="842"/>
      <c r="E102" s="842"/>
      <c r="F102" s="842"/>
      <c r="G102" s="842"/>
      <c r="H102" s="17"/>
      <c r="I102" s="79"/>
      <c r="J102" s="576"/>
      <c r="L102" s="705"/>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ht="48.75" hidden="1" customHeight="1" thickBot="1" x14ac:dyDescent="0.35">
      <c r="A103" s="108">
        <v>36</v>
      </c>
      <c r="B103" s="818" t="s">
        <v>416</v>
      </c>
      <c r="C103" s="336" t="s">
        <v>1030</v>
      </c>
      <c r="D103" s="669" t="s">
        <v>1053</v>
      </c>
      <c r="E103" s="670" t="e">
        <f>HLOOKUP($D$2,'2020 Data(H)'!$C$1:$AB$426,24,FALSE)</f>
        <v>#N/A</v>
      </c>
      <c r="F103" s="295">
        <v>0</v>
      </c>
      <c r="G103" s="819"/>
      <c r="H103" s="17"/>
      <c r="I103" s="79"/>
      <c r="J103" s="576"/>
      <c r="L103" s="705"/>
      <c r="Z103" s="108"/>
      <c r="AA103" s="108"/>
      <c r="AB103" s="108"/>
      <c r="AC103" s="108"/>
      <c r="AD103" s="108"/>
      <c r="AE103" s="108"/>
      <c r="AF103" s="108"/>
      <c r="AG103" s="108"/>
      <c r="AH103" s="108"/>
      <c r="AI103" s="108"/>
      <c r="AJ103" s="108"/>
      <c r="AK103" s="108"/>
      <c r="AL103" s="108"/>
      <c r="AM103" s="108"/>
      <c r="AN103" s="108"/>
      <c r="AO103" s="108"/>
      <c r="AP103" s="108"/>
      <c r="AQ103" s="108"/>
      <c r="AR103" s="108"/>
    </row>
    <row r="104" spans="1:44" ht="56.25" customHeight="1" thickBot="1" x14ac:dyDescent="0.35">
      <c r="A104" s="108">
        <v>534</v>
      </c>
      <c r="B104" s="818" t="s">
        <v>416</v>
      </c>
      <c r="C104" s="336" t="s">
        <v>1030</v>
      </c>
      <c r="D104" s="709" t="s">
        <v>1054</v>
      </c>
      <c r="E104" s="670" t="e">
        <f>HLOOKUP($D$2,'2020 Data(H)'!$C$1:$AB$426,184,FALSE)</f>
        <v>#N/A</v>
      </c>
      <c r="F104" s="295">
        <v>0</v>
      </c>
      <c r="G104" s="819"/>
      <c r="H104" s="17"/>
      <c r="I104" s="79"/>
      <c r="J104" s="576"/>
      <c r="L104" s="705"/>
      <c r="Z104" s="108"/>
      <c r="AA104" s="108"/>
      <c r="AB104" s="108"/>
      <c r="AC104" s="108"/>
      <c r="AD104" s="108"/>
      <c r="AE104" s="108"/>
      <c r="AF104" s="108"/>
      <c r="AG104" s="108"/>
      <c r="AH104" s="108"/>
      <c r="AI104" s="108"/>
      <c r="AJ104" s="108"/>
      <c r="AK104" s="108"/>
      <c r="AL104" s="108"/>
      <c r="AM104" s="108"/>
      <c r="AN104" s="108"/>
      <c r="AO104" s="108"/>
      <c r="AP104" s="108"/>
      <c r="AQ104" s="108"/>
      <c r="AR104" s="108"/>
    </row>
    <row r="105" spans="1:44" ht="78" customHeight="1" thickBot="1" x14ac:dyDescent="0.35">
      <c r="A105" s="601">
        <v>13</v>
      </c>
      <c r="B105" s="818" t="s">
        <v>349</v>
      </c>
      <c r="C105" s="821" t="s">
        <v>1016</v>
      </c>
      <c r="D105" s="821" t="s">
        <v>1220</v>
      </c>
      <c r="E105" s="670" t="e">
        <f>HLOOKUP($D$2,'2020 Data(H)'!$C$1:$AB$426,10,FALSE)</f>
        <v>#N/A</v>
      </c>
      <c r="F105" s="295">
        <v>0</v>
      </c>
      <c r="G105" s="731"/>
      <c r="H105" s="17"/>
      <c r="I105" s="79"/>
      <c r="J105" s="576"/>
      <c r="L105" s="705"/>
      <c r="Z105" s="820"/>
      <c r="AA105" s="820"/>
      <c r="AB105" s="820"/>
      <c r="AC105" s="820"/>
      <c r="AD105" s="820"/>
      <c r="AE105" s="820"/>
      <c r="AF105" s="820"/>
      <c r="AG105" s="820"/>
      <c r="AH105" s="820"/>
      <c r="AI105" s="820"/>
      <c r="AJ105" s="820"/>
      <c r="AK105" s="820"/>
      <c r="AL105" s="820"/>
      <c r="AM105" s="820"/>
      <c r="AN105" s="820"/>
      <c r="AO105" s="820"/>
      <c r="AP105" s="820"/>
      <c r="AQ105" s="820"/>
      <c r="AR105" s="820"/>
    </row>
    <row r="106" spans="1:44" ht="191.25" customHeight="1" thickBot="1" x14ac:dyDescent="0.35">
      <c r="A106" s="601">
        <v>14</v>
      </c>
      <c r="B106" s="818" t="s">
        <v>349</v>
      </c>
      <c r="C106" s="821" t="s">
        <v>1016</v>
      </c>
      <c r="D106" s="821" t="s">
        <v>1018</v>
      </c>
      <c r="E106" s="670" t="e">
        <f>HLOOKUP($D$2,'2020 Data(H)'!$C$1:$AB$426,11,FALSE)</f>
        <v>#N/A</v>
      </c>
      <c r="F106" s="295">
        <v>0</v>
      </c>
      <c r="G106" s="731"/>
      <c r="H106" s="17"/>
      <c r="I106" s="79"/>
      <c r="J106" s="576"/>
      <c r="L106" s="705"/>
      <c r="Z106" s="820"/>
      <c r="AA106" s="820"/>
      <c r="AB106" s="820"/>
      <c r="AC106" s="820"/>
      <c r="AD106" s="820"/>
      <c r="AE106" s="820"/>
      <c r="AF106" s="820"/>
      <c r="AG106" s="820"/>
      <c r="AH106" s="820"/>
      <c r="AI106" s="820"/>
      <c r="AJ106" s="820"/>
      <c r="AK106" s="820"/>
      <c r="AL106" s="820"/>
      <c r="AM106" s="820"/>
      <c r="AN106" s="820"/>
      <c r="AO106" s="820"/>
      <c r="AP106" s="820"/>
      <c r="AQ106" s="820"/>
      <c r="AR106" s="820"/>
    </row>
    <row r="107" spans="1:44" ht="129.75" customHeight="1" thickBot="1" x14ac:dyDescent="0.35">
      <c r="A107" s="601">
        <v>571</v>
      </c>
      <c r="B107" s="818" t="s">
        <v>349</v>
      </c>
      <c r="C107" s="822" t="s">
        <v>1055</v>
      </c>
      <c r="D107" s="822" t="s">
        <v>1056</v>
      </c>
      <c r="E107" s="670" t="e">
        <f>HLOOKUP($D$2,'2020 Data(H)'!$C$1:$AB$426,221,FALSE)</f>
        <v>#N/A</v>
      </c>
      <c r="F107" s="295">
        <v>0</v>
      </c>
      <c r="G107" s="731"/>
      <c r="H107" s="17"/>
      <c r="I107" s="79"/>
      <c r="J107" s="576"/>
      <c r="L107" s="705"/>
      <c r="Z107" s="820"/>
      <c r="AA107" s="820"/>
      <c r="AB107" s="820"/>
      <c r="AC107" s="820"/>
      <c r="AD107" s="820"/>
      <c r="AE107" s="820"/>
      <c r="AF107" s="820"/>
      <c r="AG107" s="820"/>
      <c r="AH107" s="820"/>
      <c r="AI107" s="820"/>
      <c r="AJ107" s="820"/>
      <c r="AK107" s="820"/>
      <c r="AL107" s="820"/>
      <c r="AM107" s="820"/>
      <c r="AN107" s="820"/>
      <c r="AO107" s="820"/>
      <c r="AP107" s="820"/>
      <c r="AQ107" s="820"/>
      <c r="AR107" s="820"/>
    </row>
    <row r="108" spans="1:44" ht="128.25" customHeight="1" thickBot="1" x14ac:dyDescent="0.35">
      <c r="A108" s="601">
        <v>572</v>
      </c>
      <c r="B108" s="818" t="s">
        <v>59</v>
      </c>
      <c r="C108" s="822" t="s">
        <v>1055</v>
      </c>
      <c r="D108" s="822" t="s">
        <v>1057</v>
      </c>
      <c r="E108" s="670" t="e">
        <f>HLOOKUP($D$2,'2020 Data(H)'!$C$1:$AB$426,222,FALSE)</f>
        <v>#N/A</v>
      </c>
      <c r="F108" s="295">
        <v>0</v>
      </c>
      <c r="G108" s="731"/>
      <c r="H108" s="17"/>
      <c r="I108" s="79"/>
      <c r="J108" s="576"/>
      <c r="L108" s="705"/>
      <c r="Z108" s="820"/>
      <c r="AA108" s="820"/>
      <c r="AB108" s="820"/>
      <c r="AC108" s="820"/>
      <c r="AD108" s="820"/>
      <c r="AE108" s="820"/>
      <c r="AF108" s="820"/>
      <c r="AG108" s="820"/>
      <c r="AH108" s="820"/>
      <c r="AI108" s="820"/>
      <c r="AJ108" s="820"/>
      <c r="AK108" s="820"/>
      <c r="AL108" s="820"/>
      <c r="AM108" s="820"/>
      <c r="AN108" s="820"/>
      <c r="AO108" s="820"/>
      <c r="AP108" s="820"/>
      <c r="AQ108" s="820"/>
      <c r="AR108" s="820"/>
    </row>
    <row r="109" spans="1:44" ht="120.75" customHeight="1" thickBot="1" x14ac:dyDescent="0.35">
      <c r="A109" s="601">
        <v>573</v>
      </c>
      <c r="B109" s="818" t="s">
        <v>349</v>
      </c>
      <c r="C109" s="822" t="s">
        <v>1055</v>
      </c>
      <c r="D109" s="822" t="s">
        <v>1215</v>
      </c>
      <c r="E109" s="670" t="e">
        <f>HLOOKUP($D$2,'2020 Data(H)'!$C$1:$AB$426,223,FALSE)</f>
        <v>#N/A</v>
      </c>
      <c r="F109" s="295">
        <v>0</v>
      </c>
      <c r="G109" s="731"/>
      <c r="H109" s="17"/>
      <c r="I109" s="79"/>
      <c r="J109" s="576"/>
      <c r="L109" s="705"/>
      <c r="Z109" s="820"/>
      <c r="AA109" s="820"/>
      <c r="AB109" s="820"/>
      <c r="AC109" s="820"/>
      <c r="AD109" s="820"/>
      <c r="AE109" s="820"/>
      <c r="AF109" s="820"/>
      <c r="AG109" s="820"/>
      <c r="AH109" s="820"/>
      <c r="AI109" s="820"/>
      <c r="AJ109" s="820"/>
      <c r="AK109" s="820"/>
      <c r="AL109" s="820"/>
      <c r="AM109" s="820"/>
      <c r="AN109" s="820"/>
      <c r="AO109" s="820"/>
      <c r="AP109" s="820"/>
      <c r="AQ109" s="820"/>
      <c r="AR109" s="820"/>
    </row>
    <row r="110" spans="1:44" ht="99.75" hidden="1" customHeight="1" thickBot="1" x14ac:dyDescent="0.35">
      <c r="A110" s="601">
        <v>34</v>
      </c>
      <c r="B110" s="818" t="s">
        <v>349</v>
      </c>
      <c r="C110" s="4" t="s">
        <v>1030</v>
      </c>
      <c r="D110" s="660" t="s">
        <v>1210</v>
      </c>
      <c r="E110" s="670" t="e">
        <f>HLOOKUP($D$2,'2020 Data(H)'!$C$1:$AB$426,22,FALSE)</f>
        <v>#N/A</v>
      </c>
      <c r="F110" s="295">
        <v>0</v>
      </c>
      <c r="G110" s="731"/>
      <c r="H110" s="17"/>
      <c r="I110" s="79"/>
      <c r="J110" s="576"/>
      <c r="L110" s="705"/>
      <c r="Z110" s="820"/>
      <c r="AA110" s="820"/>
      <c r="AB110" s="820"/>
      <c r="AC110" s="820"/>
      <c r="AD110" s="820"/>
      <c r="AE110" s="820"/>
      <c r="AF110" s="820"/>
      <c r="AG110" s="820"/>
      <c r="AH110" s="820"/>
      <c r="AI110" s="820"/>
      <c r="AJ110" s="820"/>
      <c r="AK110" s="820"/>
      <c r="AL110" s="820"/>
      <c r="AM110" s="820"/>
      <c r="AN110" s="820"/>
      <c r="AO110" s="820"/>
      <c r="AP110" s="820"/>
      <c r="AQ110" s="820"/>
      <c r="AR110" s="820"/>
    </row>
    <row r="111" spans="1:44" ht="117" customHeight="1" thickBot="1" x14ac:dyDescent="0.35">
      <c r="A111" s="601">
        <v>35</v>
      </c>
      <c r="B111" s="818" t="s">
        <v>349</v>
      </c>
      <c r="C111" s="4" t="s">
        <v>1030</v>
      </c>
      <c r="D111" s="660" t="s">
        <v>1222</v>
      </c>
      <c r="E111" s="670" t="e">
        <f>HLOOKUP($D$2,'2020 Data(H)'!$C$1:$AB$426,23,FALSE)</f>
        <v>#N/A</v>
      </c>
      <c r="F111" s="295">
        <v>0</v>
      </c>
      <c r="G111" s="731"/>
      <c r="H111" s="17"/>
      <c r="I111" s="79"/>
      <c r="J111" s="576"/>
      <c r="L111" s="705"/>
      <c r="Z111" s="820"/>
      <c r="AA111" s="820"/>
      <c r="AB111" s="820"/>
      <c r="AC111" s="820"/>
      <c r="AD111" s="820"/>
      <c r="AE111" s="820"/>
      <c r="AF111" s="820"/>
      <c r="AG111" s="820"/>
      <c r="AH111" s="820"/>
      <c r="AI111" s="820"/>
      <c r="AJ111" s="820"/>
      <c r="AK111" s="820"/>
      <c r="AL111" s="820"/>
      <c r="AM111" s="820"/>
      <c r="AN111" s="820"/>
      <c r="AO111" s="820"/>
      <c r="AP111" s="820"/>
      <c r="AQ111" s="820"/>
      <c r="AR111" s="820"/>
    </row>
    <row r="112" spans="1:44" ht="108.75" hidden="1" customHeight="1" thickBot="1" x14ac:dyDescent="0.35">
      <c r="A112" s="601">
        <v>37</v>
      </c>
      <c r="B112" s="818" t="s">
        <v>349</v>
      </c>
      <c r="C112" s="4" t="s">
        <v>1030</v>
      </c>
      <c r="D112" s="660" t="s">
        <v>1135</v>
      </c>
      <c r="E112" s="670" t="e">
        <f>HLOOKUP($D$2,'2020 Data(H)'!$C$1:$AB$426,25,FALSE)</f>
        <v>#N/A</v>
      </c>
      <c r="F112" s="295">
        <v>0</v>
      </c>
      <c r="G112" s="731"/>
      <c r="H112" s="17"/>
      <c r="I112" s="79"/>
      <c r="J112" s="576"/>
      <c r="L112" s="705"/>
      <c r="Z112" s="820"/>
      <c r="AA112" s="820"/>
      <c r="AB112" s="820"/>
      <c r="AC112" s="820"/>
      <c r="AD112" s="820"/>
      <c r="AE112" s="820"/>
      <c r="AF112" s="820"/>
      <c r="AG112" s="820"/>
      <c r="AH112" s="820"/>
      <c r="AI112" s="820"/>
      <c r="AJ112" s="820"/>
      <c r="AK112" s="820"/>
      <c r="AL112" s="820"/>
      <c r="AM112" s="820"/>
      <c r="AN112" s="820"/>
      <c r="AO112" s="820"/>
      <c r="AP112" s="820"/>
      <c r="AQ112" s="820"/>
      <c r="AR112" s="820"/>
    </row>
    <row r="113" spans="1:44" ht="102.75" hidden="1" customHeight="1" thickBot="1" x14ac:dyDescent="0.35">
      <c r="A113" s="601">
        <v>38</v>
      </c>
      <c r="B113" s="818" t="s">
        <v>349</v>
      </c>
      <c r="C113" s="4" t="s">
        <v>1030</v>
      </c>
      <c r="D113" s="660" t="s">
        <v>1033</v>
      </c>
      <c r="E113" s="670" t="e">
        <f>HLOOKUP($D$2,'2020 Data(H)'!$C$1:$AB$426,26,FALSE)</f>
        <v>#N/A</v>
      </c>
      <c r="F113" s="295">
        <v>0</v>
      </c>
      <c r="G113" s="731"/>
      <c r="H113" s="17"/>
      <c r="I113" s="79"/>
      <c r="J113" s="576"/>
      <c r="L113" s="705"/>
      <c r="Z113" s="820"/>
      <c r="AA113" s="820"/>
      <c r="AB113" s="820"/>
      <c r="AC113" s="820"/>
      <c r="AD113" s="820"/>
      <c r="AE113" s="820"/>
      <c r="AF113" s="820"/>
      <c r="AG113" s="820"/>
      <c r="AH113" s="820"/>
      <c r="AI113" s="820"/>
      <c r="AJ113" s="820"/>
      <c r="AK113" s="820"/>
      <c r="AL113" s="820"/>
      <c r="AM113" s="820"/>
      <c r="AN113" s="820"/>
      <c r="AO113" s="820"/>
      <c r="AP113" s="820"/>
      <c r="AQ113" s="820"/>
      <c r="AR113" s="820"/>
    </row>
    <row r="114" spans="1:44" ht="117.75" hidden="1" customHeight="1" thickBot="1" x14ac:dyDescent="0.35">
      <c r="A114" s="601">
        <v>32</v>
      </c>
      <c r="B114" s="818" t="s">
        <v>416</v>
      </c>
      <c r="C114" s="821" t="s">
        <v>1019</v>
      </c>
      <c r="D114" s="821" t="s">
        <v>1020</v>
      </c>
      <c r="E114" s="670" t="e">
        <f>HLOOKUP($D$2,'2020 Data(H)'!$C$1:$AB$426,20,FALSE)</f>
        <v>#N/A</v>
      </c>
      <c r="F114" s="295">
        <v>0</v>
      </c>
      <c r="G114" s="731"/>
      <c r="H114" s="17"/>
      <c r="I114" s="79"/>
      <c r="J114" s="576"/>
      <c r="L114" s="705"/>
      <c r="Z114" s="820"/>
      <c r="AA114" s="820"/>
      <c r="AB114" s="820"/>
      <c r="AC114" s="820"/>
      <c r="AD114" s="820"/>
      <c r="AE114" s="820"/>
      <c r="AF114" s="820"/>
      <c r="AG114" s="820"/>
      <c r="AH114" s="820"/>
      <c r="AI114" s="820"/>
      <c r="AJ114" s="820"/>
      <c r="AK114" s="820"/>
      <c r="AL114" s="820"/>
      <c r="AM114" s="820"/>
      <c r="AN114" s="820"/>
      <c r="AO114" s="820"/>
      <c r="AP114" s="820"/>
      <c r="AQ114" s="820"/>
      <c r="AR114" s="820"/>
    </row>
    <row r="115" spans="1:44" ht="116.25" customHeight="1" thickBot="1" x14ac:dyDescent="0.35">
      <c r="A115" s="601">
        <v>40</v>
      </c>
      <c r="B115" s="818" t="s">
        <v>349</v>
      </c>
      <c r="C115" s="821" t="s">
        <v>1034</v>
      </c>
      <c r="D115" s="660" t="s">
        <v>1035</v>
      </c>
      <c r="E115" s="670" t="e">
        <f>HLOOKUP($D$2,'2020 Data(H)'!$C$1:$AB$426,28,FALSE)</f>
        <v>#N/A</v>
      </c>
      <c r="F115" s="295">
        <v>0</v>
      </c>
      <c r="G115" s="731"/>
      <c r="H115" s="17"/>
      <c r="I115" s="79"/>
      <c r="J115" s="576"/>
      <c r="L115" s="705"/>
      <c r="Z115" s="820"/>
      <c r="AA115" s="820"/>
      <c r="AB115" s="820"/>
      <c r="AC115" s="820"/>
      <c r="AD115" s="820"/>
      <c r="AE115" s="820"/>
      <c r="AF115" s="820"/>
      <c r="AG115" s="820"/>
      <c r="AH115" s="820"/>
      <c r="AI115" s="820"/>
      <c r="AJ115" s="820"/>
      <c r="AK115" s="820"/>
      <c r="AL115" s="820"/>
      <c r="AM115" s="820"/>
      <c r="AN115" s="820"/>
      <c r="AO115" s="820"/>
      <c r="AP115" s="820"/>
      <c r="AQ115" s="820"/>
      <c r="AR115" s="820"/>
    </row>
    <row r="116" spans="1:44" ht="104.25" customHeight="1" thickBot="1" x14ac:dyDescent="0.35">
      <c r="A116" s="601">
        <v>107</v>
      </c>
      <c r="B116" s="818" t="s">
        <v>349</v>
      </c>
      <c r="C116" s="821" t="s">
        <v>1034</v>
      </c>
      <c r="D116" s="660" t="s">
        <v>1036</v>
      </c>
      <c r="E116" s="670" t="e">
        <f>HLOOKUP($D$2,'2020 Data(H)'!$C$1:$AB$426,65,FALSE)</f>
        <v>#N/A</v>
      </c>
      <c r="F116" s="295">
        <v>0</v>
      </c>
      <c r="G116" s="731"/>
      <c r="H116" s="17"/>
      <c r="I116" s="79"/>
      <c r="J116" s="576"/>
      <c r="L116" s="705"/>
      <c r="Z116" s="820"/>
      <c r="AA116" s="820"/>
      <c r="AB116" s="820"/>
      <c r="AC116" s="820"/>
      <c r="AD116" s="820"/>
      <c r="AE116" s="820"/>
      <c r="AF116" s="820"/>
      <c r="AG116" s="820"/>
      <c r="AH116" s="820"/>
      <c r="AI116" s="820"/>
      <c r="AJ116" s="820"/>
      <c r="AK116" s="820"/>
      <c r="AL116" s="820"/>
      <c r="AM116" s="820"/>
      <c r="AN116" s="820"/>
      <c r="AO116" s="820"/>
      <c r="AP116" s="820"/>
      <c r="AQ116" s="820"/>
      <c r="AR116" s="820"/>
    </row>
    <row r="117" spans="1:44" ht="107.25" customHeight="1" thickBot="1" x14ac:dyDescent="0.35">
      <c r="A117" s="601">
        <v>108</v>
      </c>
      <c r="B117" s="818" t="s">
        <v>349</v>
      </c>
      <c r="C117" s="821" t="s">
        <v>1034</v>
      </c>
      <c r="D117" s="660" t="s">
        <v>1136</v>
      </c>
      <c r="E117" s="670" t="e">
        <f>HLOOKUP($D$2,'2020 Data(H)'!$C$1:$AB$426,66,FALSE)</f>
        <v>#N/A</v>
      </c>
      <c r="F117" s="295">
        <v>0</v>
      </c>
      <c r="G117" s="731"/>
      <c r="H117" s="17"/>
      <c r="I117" s="79"/>
      <c r="J117" s="576"/>
      <c r="L117" s="705"/>
      <c r="Z117" s="820"/>
      <c r="AA117" s="820"/>
      <c r="AB117" s="820"/>
      <c r="AC117" s="820"/>
      <c r="AD117" s="820"/>
      <c r="AE117" s="820"/>
      <c r="AF117" s="820"/>
      <c r="AG117" s="820"/>
      <c r="AH117" s="820"/>
      <c r="AI117" s="820"/>
      <c r="AJ117" s="820"/>
      <c r="AK117" s="820"/>
      <c r="AL117" s="820"/>
      <c r="AM117" s="820"/>
      <c r="AN117" s="820"/>
      <c r="AO117" s="820"/>
      <c r="AP117" s="820"/>
      <c r="AQ117" s="820"/>
      <c r="AR117" s="820"/>
    </row>
    <row r="118" spans="1:44" ht="93" hidden="1" customHeight="1" thickBot="1" x14ac:dyDescent="0.35">
      <c r="A118" s="601">
        <v>41</v>
      </c>
      <c r="B118" s="818" t="s">
        <v>349</v>
      </c>
      <c r="C118" s="821" t="s">
        <v>1034</v>
      </c>
      <c r="D118" s="660" t="s">
        <v>1137</v>
      </c>
      <c r="E118" s="670" t="e">
        <f>HLOOKUP($D$2,'2020 Data(H)'!$C$1:$AB$426,29,FALSE)</f>
        <v>#N/A</v>
      </c>
      <c r="F118" s="295">
        <v>0</v>
      </c>
      <c r="G118" s="731"/>
      <c r="H118" s="17"/>
      <c r="I118" s="79"/>
      <c r="J118" s="576"/>
      <c r="L118" s="705"/>
      <c r="Z118" s="820"/>
      <c r="AA118" s="820"/>
      <c r="AB118" s="820"/>
      <c r="AC118" s="820"/>
      <c r="AD118" s="820"/>
      <c r="AE118" s="820"/>
      <c r="AF118" s="820"/>
      <c r="AG118" s="820"/>
      <c r="AH118" s="820"/>
      <c r="AI118" s="820"/>
      <c r="AJ118" s="820"/>
      <c r="AK118" s="820"/>
      <c r="AL118" s="820"/>
      <c r="AM118" s="820"/>
      <c r="AN118" s="820"/>
      <c r="AO118" s="820"/>
      <c r="AP118" s="820"/>
      <c r="AQ118" s="820"/>
      <c r="AR118" s="820"/>
    </row>
    <row r="119" spans="1:44" ht="120.75" hidden="1" customHeight="1" thickBot="1" x14ac:dyDescent="0.35">
      <c r="A119" s="601">
        <v>194</v>
      </c>
      <c r="B119" s="818" t="s">
        <v>349</v>
      </c>
      <c r="C119" s="821" t="s">
        <v>1034</v>
      </c>
      <c r="D119" s="660" t="s">
        <v>1037</v>
      </c>
      <c r="E119" s="670" t="e">
        <f>HLOOKUP($D$2,'2020 Data(H)'!$C$1:$AB$426,75,FALSE)</f>
        <v>#N/A</v>
      </c>
      <c r="F119" s="295">
        <v>0</v>
      </c>
      <c r="G119" s="731"/>
      <c r="H119" s="17"/>
      <c r="I119" s="79"/>
      <c r="J119" s="576"/>
      <c r="L119" s="705"/>
      <c r="Z119" s="820"/>
      <c r="AA119" s="820"/>
      <c r="AB119" s="820"/>
      <c r="AC119" s="820"/>
      <c r="AD119" s="820"/>
      <c r="AE119" s="820"/>
      <c r="AF119" s="820"/>
      <c r="AG119" s="820"/>
      <c r="AH119" s="820"/>
      <c r="AI119" s="820"/>
      <c r="AJ119" s="820"/>
      <c r="AK119" s="820"/>
      <c r="AL119" s="820"/>
      <c r="AM119" s="820"/>
      <c r="AN119" s="820"/>
      <c r="AO119" s="820"/>
      <c r="AP119" s="820"/>
      <c r="AQ119" s="820"/>
      <c r="AR119" s="820"/>
    </row>
    <row r="120" spans="1:44" ht="123.75" hidden="1" customHeight="1" thickBot="1" x14ac:dyDescent="0.35">
      <c r="A120" s="601">
        <v>294</v>
      </c>
      <c r="B120" s="818" t="s">
        <v>349</v>
      </c>
      <c r="C120" s="821" t="s">
        <v>1034</v>
      </c>
      <c r="D120" s="660" t="s">
        <v>1038</v>
      </c>
      <c r="E120" s="670" t="e">
        <f>HLOOKUP($D$2,'2020 Data(H)'!$C$1:$AB$426,83,FALSE)</f>
        <v>#N/A</v>
      </c>
      <c r="F120" s="295">
        <v>0</v>
      </c>
      <c r="G120" s="731"/>
      <c r="H120" s="17"/>
      <c r="I120" s="79"/>
      <c r="J120" s="576"/>
      <c r="L120" s="705"/>
      <c r="Z120" s="820"/>
      <c r="AA120" s="820"/>
      <c r="AB120" s="820"/>
      <c r="AC120" s="820"/>
      <c r="AD120" s="820"/>
      <c r="AE120" s="820"/>
      <c r="AF120" s="820"/>
      <c r="AG120" s="820"/>
      <c r="AH120" s="820"/>
      <c r="AI120" s="820"/>
      <c r="AJ120" s="820"/>
      <c r="AK120" s="820"/>
      <c r="AL120" s="820"/>
      <c r="AM120" s="820"/>
      <c r="AN120" s="820"/>
      <c r="AO120" s="820"/>
      <c r="AP120" s="820"/>
      <c r="AQ120" s="820"/>
      <c r="AR120" s="820"/>
    </row>
    <row r="121" spans="1:44" hidden="1" x14ac:dyDescent="0.3">
      <c r="A121" s="801"/>
      <c r="E121" s="670"/>
      <c r="Z121" s="18"/>
    </row>
    <row r="122" spans="1:44" hidden="1" x14ac:dyDescent="0.3">
      <c r="A122" s="801"/>
      <c r="E122" s="670"/>
      <c r="Z122" s="18"/>
    </row>
    <row r="123" spans="1:44" ht="129.75" hidden="1" customHeight="1" thickBot="1" x14ac:dyDescent="0.35">
      <c r="A123" s="601">
        <v>31</v>
      </c>
      <c r="B123" s="818" t="s">
        <v>416</v>
      </c>
      <c r="C123" s="821" t="s">
        <v>1019</v>
      </c>
      <c r="D123" s="821" t="s">
        <v>1021</v>
      </c>
      <c r="E123" s="670" t="e">
        <f>HLOOKUP($D$2,'2020 Data(H)'!$C$1:$AB$426,19,FALSE)</f>
        <v>#N/A</v>
      </c>
      <c r="F123" s="295">
        <v>0</v>
      </c>
      <c r="G123" s="731"/>
      <c r="H123" s="17"/>
      <c r="I123" s="79"/>
      <c r="J123" s="576"/>
      <c r="L123" s="705"/>
      <c r="Z123" s="820"/>
      <c r="AA123" s="820"/>
      <c r="AB123" s="820"/>
      <c r="AC123" s="820"/>
      <c r="AD123" s="820"/>
      <c r="AE123" s="820"/>
      <c r="AF123" s="820"/>
      <c r="AG123" s="820"/>
      <c r="AH123" s="820"/>
      <c r="AI123" s="820"/>
      <c r="AJ123" s="820"/>
      <c r="AK123" s="820"/>
      <c r="AL123" s="820"/>
      <c r="AM123" s="820"/>
      <c r="AN123" s="820"/>
      <c r="AO123" s="820"/>
      <c r="AP123" s="820"/>
      <c r="AQ123" s="820"/>
      <c r="AR123" s="820"/>
    </row>
    <row r="124" spans="1:44" ht="94.5" hidden="1" customHeight="1" thickBot="1" x14ac:dyDescent="0.35">
      <c r="A124" s="601" t="s">
        <v>1022</v>
      </c>
      <c r="B124" s="818" t="s">
        <v>416</v>
      </c>
      <c r="C124" s="821" t="s">
        <v>1023</v>
      </c>
      <c r="D124" s="821" t="s">
        <v>301</v>
      </c>
      <c r="E124" s="670" t="e">
        <f>HLOOKUP($D$2,'2020 Data(H)'!$C$1:$AB$426,74,FALSE)</f>
        <v>#N/A</v>
      </c>
      <c r="F124" s="295">
        <v>0</v>
      </c>
      <c r="G124" s="731"/>
      <c r="H124" s="17"/>
      <c r="I124" s="79"/>
      <c r="J124" s="576"/>
      <c r="L124" s="705"/>
      <c r="Z124" s="820"/>
      <c r="AA124" s="820"/>
      <c r="AB124" s="820"/>
      <c r="AC124" s="820"/>
      <c r="AD124" s="820"/>
      <c r="AE124" s="820"/>
      <c r="AF124" s="820"/>
      <c r="AG124" s="820"/>
      <c r="AH124" s="820"/>
      <c r="AI124" s="820"/>
      <c r="AJ124" s="820"/>
      <c r="AK124" s="820"/>
      <c r="AL124" s="820"/>
      <c r="AM124" s="820"/>
      <c r="AN124" s="820"/>
      <c r="AO124" s="820"/>
      <c r="AP124" s="820"/>
      <c r="AQ124" s="820"/>
      <c r="AR124" s="820"/>
    </row>
    <row r="125" spans="1:44" ht="78" customHeight="1" thickBot="1" x14ac:dyDescent="0.35">
      <c r="A125" s="601">
        <v>33</v>
      </c>
      <c r="B125" s="818" t="s">
        <v>416</v>
      </c>
      <c r="C125" s="821" t="s">
        <v>1023</v>
      </c>
      <c r="D125" s="821" t="s">
        <v>293</v>
      </c>
      <c r="E125" s="670" t="e">
        <f>HLOOKUP($D$2,'2020 Data(H)'!$C$1:$AB$426,21,FALSE)</f>
        <v>#N/A</v>
      </c>
      <c r="F125" s="295">
        <v>0</v>
      </c>
      <c r="G125" s="731"/>
      <c r="H125" s="17"/>
      <c r="I125" s="79"/>
      <c r="J125" s="576"/>
      <c r="L125" s="705"/>
      <c r="Z125" s="820"/>
      <c r="AA125" s="820"/>
      <c r="AB125" s="820"/>
      <c r="AC125" s="820"/>
      <c r="AD125" s="820"/>
      <c r="AE125" s="820"/>
      <c r="AF125" s="820"/>
      <c r="AG125" s="820"/>
      <c r="AH125" s="820"/>
      <c r="AI125" s="820"/>
      <c r="AJ125" s="820"/>
      <c r="AK125" s="820"/>
      <c r="AL125" s="820"/>
      <c r="AM125" s="820"/>
      <c r="AN125" s="820"/>
      <c r="AO125" s="820"/>
      <c r="AP125" s="820"/>
      <c r="AQ125" s="820"/>
      <c r="AR125" s="820"/>
    </row>
    <row r="126" spans="1:44" ht="55.5" hidden="1" customHeight="1" thickBot="1" x14ac:dyDescent="0.35">
      <c r="A126" s="601">
        <v>104</v>
      </c>
      <c r="B126" s="818" t="s">
        <v>416</v>
      </c>
      <c r="C126" s="4" t="s">
        <v>1039</v>
      </c>
      <c r="D126" s="660" t="s">
        <v>1040</v>
      </c>
      <c r="E126" s="670" t="e">
        <f>HLOOKUP($D$2,'2020 Data(H)'!$C$1:$AB$426,64,FALSE)</f>
        <v>#N/A</v>
      </c>
      <c r="F126" s="295">
        <v>0</v>
      </c>
      <c r="G126" s="731"/>
      <c r="H126" s="17"/>
      <c r="I126" s="79"/>
      <c r="J126" s="576"/>
      <c r="L126" s="705"/>
      <c r="Z126" s="820"/>
      <c r="AA126" s="820"/>
      <c r="AB126" s="820"/>
      <c r="AC126" s="820"/>
      <c r="AD126" s="820"/>
      <c r="AE126" s="820"/>
      <c r="AF126" s="820"/>
      <c r="AG126" s="820"/>
      <c r="AH126" s="820"/>
      <c r="AI126" s="820"/>
      <c r="AJ126" s="820"/>
      <c r="AK126" s="820"/>
      <c r="AL126" s="820"/>
      <c r="AM126" s="820"/>
      <c r="AN126" s="820"/>
      <c r="AO126" s="820"/>
      <c r="AP126" s="820"/>
      <c r="AQ126" s="820"/>
      <c r="AR126" s="820"/>
    </row>
    <row r="127" spans="1:44" ht="70.5" hidden="1" customHeight="1" thickBot="1" x14ac:dyDescent="0.35">
      <c r="A127" s="601">
        <v>39</v>
      </c>
      <c r="B127" s="818" t="s">
        <v>416</v>
      </c>
      <c r="C127" s="4" t="s">
        <v>1039</v>
      </c>
      <c r="D127" s="24" t="s">
        <v>1041</v>
      </c>
      <c r="E127" s="670" t="e">
        <f>HLOOKUP($D$2,'2020 Data(H)'!$C$1:$AB$426,27,FALSE)</f>
        <v>#N/A</v>
      </c>
      <c r="F127" s="295">
        <v>0</v>
      </c>
      <c r="G127" s="731"/>
      <c r="H127" s="17"/>
      <c r="I127" s="79"/>
      <c r="J127" s="576"/>
      <c r="L127" s="705"/>
      <c r="Z127" s="820"/>
      <c r="AA127" s="820"/>
      <c r="AB127" s="820"/>
      <c r="AC127" s="820"/>
      <c r="AD127" s="820"/>
      <c r="AE127" s="820"/>
      <c r="AF127" s="820"/>
      <c r="AG127" s="820"/>
      <c r="AH127" s="820"/>
      <c r="AI127" s="820"/>
      <c r="AJ127" s="820"/>
      <c r="AK127" s="820"/>
      <c r="AL127" s="820"/>
      <c r="AM127" s="820"/>
      <c r="AN127" s="820"/>
      <c r="AO127" s="820"/>
      <c r="AP127" s="820"/>
      <c r="AQ127" s="820"/>
      <c r="AR127" s="820"/>
    </row>
    <row r="128" spans="1:44" ht="15" hidden="1" thickBot="1" x14ac:dyDescent="0.35">
      <c r="A128" s="108"/>
      <c r="B128" s="859" t="s">
        <v>1138</v>
      </c>
      <c r="C128" s="859"/>
      <c r="D128" s="843"/>
      <c r="E128" s="843"/>
      <c r="F128" s="863"/>
      <c r="G128" s="864"/>
      <c r="H128" s="17"/>
      <c r="I128" s="79"/>
      <c r="L128" s="705"/>
      <c r="Z128" s="108"/>
      <c r="AA128" s="108"/>
      <c r="AB128" s="108"/>
      <c r="AC128" s="108"/>
      <c r="AD128" s="108"/>
      <c r="AE128" s="108"/>
      <c r="AF128" s="108"/>
      <c r="AG128" s="108"/>
      <c r="AH128" s="108"/>
      <c r="AI128" s="108"/>
      <c r="AJ128" s="108"/>
      <c r="AK128" s="108"/>
      <c r="AL128" s="108"/>
      <c r="AM128" s="108"/>
      <c r="AN128" s="108"/>
      <c r="AO128" s="108"/>
      <c r="AP128" s="108"/>
      <c r="AQ128" s="108"/>
      <c r="AR128" s="108"/>
    </row>
    <row r="129" spans="1:44" ht="15" hidden="1" thickBot="1" x14ac:dyDescent="0.35">
      <c r="A129" s="108"/>
      <c r="B129" s="859" t="s">
        <v>24</v>
      </c>
      <c r="C129" s="859"/>
      <c r="D129" s="859"/>
      <c r="E129" s="841"/>
      <c r="F129" s="865"/>
      <c r="G129" s="866"/>
      <c r="H129" s="17"/>
      <c r="I129" s="79"/>
      <c r="L129" s="705"/>
      <c r="Z129" s="108"/>
      <c r="AA129" s="108"/>
      <c r="AB129" s="108"/>
      <c r="AC129" s="108"/>
      <c r="AD129" s="108"/>
      <c r="AE129" s="108"/>
      <c r="AF129" s="108"/>
      <c r="AG129" s="108"/>
      <c r="AH129" s="108"/>
      <c r="AI129" s="108"/>
      <c r="AJ129" s="108"/>
      <c r="AK129" s="108"/>
      <c r="AL129" s="108"/>
      <c r="AM129" s="108"/>
      <c r="AN129" s="108"/>
      <c r="AO129" s="108"/>
      <c r="AP129" s="108"/>
      <c r="AQ129" s="108"/>
      <c r="AR129" s="108"/>
    </row>
    <row r="130" spans="1:44" ht="15" hidden="1" thickBot="1" x14ac:dyDescent="0.35">
      <c r="A130" s="108"/>
      <c r="B130" s="859" t="s">
        <v>22</v>
      </c>
      <c r="C130" s="859"/>
      <c r="D130" s="859"/>
      <c r="E130" s="841"/>
      <c r="F130" s="865"/>
      <c r="G130" s="866"/>
      <c r="H130" s="746"/>
      <c r="I130" s="79"/>
      <c r="L130" s="705"/>
      <c r="Z130" s="108"/>
      <c r="AA130" s="108"/>
      <c r="AB130" s="108"/>
      <c r="AC130" s="108"/>
      <c r="AD130" s="108"/>
      <c r="AE130" s="108"/>
      <c r="AF130" s="108"/>
      <c r="AG130" s="108"/>
      <c r="AH130" s="108"/>
      <c r="AI130" s="108"/>
      <c r="AJ130" s="108"/>
      <c r="AK130" s="108"/>
      <c r="AL130" s="108"/>
      <c r="AM130" s="108"/>
      <c r="AN130" s="108"/>
      <c r="AO130" s="108"/>
      <c r="AP130" s="108"/>
      <c r="AQ130" s="108"/>
      <c r="AR130" s="108"/>
    </row>
    <row r="131" spans="1:44" ht="78" hidden="1" customHeight="1" thickBot="1" x14ac:dyDescent="0.35">
      <c r="A131" s="108">
        <v>596</v>
      </c>
      <c r="B131" s="672" t="s">
        <v>57</v>
      </c>
      <c r="C131" s="823"/>
      <c r="D131" s="669" t="s">
        <v>358</v>
      </c>
      <c r="E131" s="670" t="e">
        <f>HLOOKUP($D$2,'2020 Data(H)'!$C$1:$AB$426,255,FALSE)</f>
        <v>#N/A</v>
      </c>
      <c r="F131" s="295"/>
      <c r="G131" s="747"/>
      <c r="H131" s="746"/>
      <c r="I131" s="79"/>
      <c r="L131" s="705"/>
      <c r="Z131" s="108"/>
      <c r="AA131" s="108"/>
      <c r="AB131" s="108"/>
      <c r="AC131" s="108"/>
      <c r="AD131" s="108"/>
      <c r="AE131" s="108"/>
      <c r="AF131" s="108"/>
      <c r="AG131" s="108"/>
      <c r="AH131" s="108"/>
      <c r="AI131" s="108"/>
      <c r="AJ131" s="108"/>
      <c r="AK131" s="108"/>
      <c r="AL131" s="108"/>
      <c r="AM131" s="108"/>
      <c r="AN131" s="108"/>
      <c r="AO131" s="108"/>
      <c r="AP131" s="108"/>
      <c r="AQ131" s="108"/>
      <c r="AR131" s="108"/>
    </row>
    <row r="132" spans="1:44" ht="114.75" hidden="1" customHeight="1" thickBot="1" x14ac:dyDescent="0.35">
      <c r="A132" s="108">
        <v>80</v>
      </c>
      <c r="B132" s="4" t="s">
        <v>62</v>
      </c>
      <c r="C132" s="4" t="s">
        <v>1139</v>
      </c>
      <c r="D132" s="24" t="s">
        <v>1140</v>
      </c>
      <c r="E132" s="670" t="e">
        <f>HLOOKUP($D$2,'2020 Data(H)'!$C$1:$AB$426,44,FALSE)</f>
        <v>#N/A</v>
      </c>
      <c r="F132" s="274">
        <v>0</v>
      </c>
      <c r="G132" s="670" t="e">
        <f>HLOOKUP($D$2,'2020 Data(H)'!C1:L295,249,FALSE)</f>
        <v>#N/A</v>
      </c>
      <c r="H132" s="748"/>
      <c r="I132" s="79"/>
      <c r="L132" s="705"/>
      <c r="Z132" s="108"/>
      <c r="AA132" s="108"/>
      <c r="AB132" s="108"/>
      <c r="AC132" s="108"/>
      <c r="AD132" s="108"/>
      <c r="AE132" s="108"/>
      <c r="AF132" s="108"/>
      <c r="AG132" s="108"/>
      <c r="AH132" s="108"/>
      <c r="AI132" s="108"/>
      <c r="AJ132" s="108"/>
      <c r="AK132" s="108"/>
      <c r="AL132" s="108"/>
      <c r="AM132" s="108"/>
      <c r="AN132" s="108"/>
      <c r="AO132" s="108"/>
      <c r="AP132" s="108"/>
      <c r="AQ132" s="108"/>
      <c r="AR132" s="108"/>
    </row>
    <row r="133" spans="1:44" ht="63.75" hidden="1" customHeight="1" thickBot="1" x14ac:dyDescent="0.35">
      <c r="A133" s="108">
        <v>81</v>
      </c>
      <c r="B133" s="4" t="s">
        <v>62</v>
      </c>
      <c r="C133" s="4" t="s">
        <v>1139</v>
      </c>
      <c r="D133" s="24" t="s">
        <v>1141</v>
      </c>
      <c r="E133" s="670" t="e">
        <f>HLOOKUP($D$2,'2020 Data(H)'!$C$1:$AB$426,45,FALSE)</f>
        <v>#N/A</v>
      </c>
      <c r="F133" s="295">
        <v>0</v>
      </c>
      <c r="G133" s="741"/>
      <c r="H133" s="17"/>
      <c r="I133" s="79"/>
      <c r="L133" s="705"/>
      <c r="Z133" s="108"/>
      <c r="AA133" s="108"/>
      <c r="AB133" s="108"/>
      <c r="AC133" s="108"/>
      <c r="AD133" s="108"/>
      <c r="AE133" s="108"/>
      <c r="AF133" s="108"/>
      <c r="AG133" s="108"/>
      <c r="AH133" s="108"/>
      <c r="AI133" s="108"/>
      <c r="AJ133" s="108"/>
      <c r="AK133" s="108"/>
      <c r="AL133" s="108"/>
      <c r="AM133" s="108"/>
      <c r="AN133" s="108"/>
      <c r="AO133" s="108"/>
      <c r="AP133" s="108"/>
      <c r="AQ133" s="108"/>
      <c r="AR133" s="108"/>
    </row>
    <row r="134" spans="1:44" ht="84" hidden="1" customHeight="1" thickBot="1" x14ac:dyDescent="0.35">
      <c r="A134" s="108">
        <v>579</v>
      </c>
      <c r="B134" s="824" t="s">
        <v>336</v>
      </c>
      <c r="C134" s="672" t="s">
        <v>1139</v>
      </c>
      <c r="D134" s="825" t="s">
        <v>1142</v>
      </c>
      <c r="E134" s="670" t="e">
        <f>HLOOKUP($D$2,'2020 Data(H)'!$C$1:$AB$426,229,FALSE)</f>
        <v>#N/A</v>
      </c>
      <c r="F134" s="295">
        <v>0</v>
      </c>
      <c r="G134" s="731"/>
      <c r="H134" s="17"/>
      <c r="I134" s="732"/>
      <c r="L134" s="705"/>
      <c r="Z134" s="108"/>
      <c r="AA134" s="108"/>
      <c r="AB134" s="108"/>
      <c r="AC134" s="108"/>
      <c r="AD134" s="108"/>
      <c r="AE134" s="108"/>
      <c r="AF134" s="108"/>
      <c r="AG134" s="108"/>
      <c r="AH134" s="108"/>
      <c r="AI134" s="108"/>
      <c r="AJ134" s="108"/>
      <c r="AK134" s="108"/>
      <c r="AL134" s="108"/>
      <c r="AM134" s="108"/>
      <c r="AN134" s="108"/>
      <c r="AO134" s="108"/>
      <c r="AP134" s="108"/>
      <c r="AQ134" s="108"/>
      <c r="AR134" s="108"/>
    </row>
    <row r="135" spans="1:44" ht="48.75" hidden="1" customHeight="1" x14ac:dyDescent="0.3">
      <c r="A135" s="108">
        <v>510</v>
      </c>
      <c r="B135" s="4" t="s">
        <v>37</v>
      </c>
      <c r="C135" s="4" t="s">
        <v>1139</v>
      </c>
      <c r="D135" s="29" t="s">
        <v>310</v>
      </c>
      <c r="E135" s="670" t="e">
        <f>HLOOKUP($D$2,'2020 Data(H)'!$C$1:$AB$426,160,FALSE)</f>
        <v>#N/A</v>
      </c>
      <c r="F135" s="295">
        <v>0</v>
      </c>
      <c r="G135" s="741"/>
      <c r="H135" s="17"/>
      <c r="I135" s="79"/>
      <c r="Z135" s="108"/>
      <c r="AA135" s="108"/>
      <c r="AB135" s="108"/>
      <c r="AC135" s="108"/>
      <c r="AD135" s="108"/>
      <c r="AE135" s="108"/>
      <c r="AF135" s="108"/>
      <c r="AG135" s="108"/>
      <c r="AH135" s="108"/>
      <c r="AI135" s="108"/>
      <c r="AJ135" s="108"/>
      <c r="AK135" s="108"/>
      <c r="AL135" s="108"/>
      <c r="AM135" s="108"/>
      <c r="AN135" s="108"/>
      <c r="AO135" s="108"/>
      <c r="AP135" s="108"/>
      <c r="AQ135" s="108"/>
      <c r="AR135" s="108"/>
    </row>
    <row r="136" spans="1:44" ht="68.25" hidden="1" customHeight="1" x14ac:dyDescent="0.3">
      <c r="A136" s="308">
        <v>654</v>
      </c>
      <c r="B136" s="826" t="s">
        <v>37</v>
      </c>
      <c r="C136" s="826" t="s">
        <v>1139</v>
      </c>
      <c r="D136" s="339" t="s">
        <v>1143</v>
      </c>
      <c r="E136" s="670" t="e">
        <f>HLOOKUP($D$2,'2020 Data(H)'!$C$1:$AB$426,307,FALSE)</f>
        <v>#N/A</v>
      </c>
      <c r="F136" s="295">
        <v>0</v>
      </c>
      <c r="G136" s="731">
        <f>IF((F132+F133+F135)&gt;F136,"Error: Please review components of current assets above.  Account numbers (80+81+510)&gt;654",)</f>
        <v>0</v>
      </c>
      <c r="H136" s="17"/>
      <c r="I136" s="79"/>
      <c r="Z136" s="308"/>
      <c r="AA136" s="308"/>
      <c r="AB136" s="308"/>
      <c r="AC136" s="308"/>
      <c r="AD136" s="308"/>
      <c r="AE136" s="308"/>
      <c r="AF136" s="308"/>
      <c r="AG136" s="308"/>
      <c r="AH136" s="308"/>
      <c r="AI136" s="308"/>
      <c r="AJ136" s="308"/>
      <c r="AK136" s="308"/>
      <c r="AL136" s="308"/>
      <c r="AM136" s="308"/>
      <c r="AN136" s="308"/>
      <c r="AO136" s="308"/>
      <c r="AP136" s="308"/>
      <c r="AQ136" s="308"/>
      <c r="AR136" s="308"/>
    </row>
    <row r="137" spans="1:44" ht="75.75" hidden="1" customHeight="1" x14ac:dyDescent="0.3">
      <c r="A137" s="308">
        <v>655</v>
      </c>
      <c r="B137" s="826" t="s">
        <v>37</v>
      </c>
      <c r="C137" s="826" t="s">
        <v>1139</v>
      </c>
      <c r="D137" s="310" t="s">
        <v>543</v>
      </c>
      <c r="E137" s="670" t="e">
        <f>HLOOKUP($D$2,'2020 Data(H)'!$C$1:$AB$426,308,FALSE)</f>
        <v>#N/A</v>
      </c>
      <c r="F137" s="295">
        <v>0</v>
      </c>
      <c r="G137" s="731"/>
      <c r="H137" s="17"/>
      <c r="I137" s="79"/>
      <c r="Z137" s="308"/>
      <c r="AA137" s="308"/>
      <c r="AB137" s="308"/>
      <c r="AC137" s="308"/>
      <c r="AD137" s="308"/>
      <c r="AE137" s="308"/>
      <c r="AF137" s="308"/>
      <c r="AG137" s="308"/>
      <c r="AH137" s="308"/>
      <c r="AI137" s="308"/>
      <c r="AJ137" s="308"/>
      <c r="AK137" s="308"/>
      <c r="AL137" s="308"/>
      <c r="AM137" s="308"/>
      <c r="AN137" s="308"/>
      <c r="AO137" s="308"/>
      <c r="AP137" s="308"/>
      <c r="AQ137" s="308"/>
      <c r="AR137" s="308"/>
    </row>
    <row r="138" spans="1:44" ht="48" hidden="1" customHeight="1" x14ac:dyDescent="0.3">
      <c r="A138" s="108">
        <v>381</v>
      </c>
      <c r="B138" s="4" t="s">
        <v>37</v>
      </c>
      <c r="C138" s="4" t="s">
        <v>1139</v>
      </c>
      <c r="D138" s="106" t="s">
        <v>130</v>
      </c>
      <c r="E138" s="670" t="e">
        <f>HLOOKUP($D$2,'2020 Data(H)'!$C$1:$AB$426,140,FALSE)</f>
        <v>#N/A</v>
      </c>
      <c r="F138" s="295">
        <v>0</v>
      </c>
      <c r="G138" s="731">
        <f>IF(F136&gt;F138,"Error: Please review components of current assets above. Account numbers 654&gt;381",)</f>
        <v>0</v>
      </c>
      <c r="H138" s="17"/>
      <c r="I138" s="79"/>
      <c r="Z138" s="108"/>
      <c r="AA138" s="108"/>
      <c r="AB138" s="108"/>
      <c r="AC138" s="108"/>
      <c r="AD138" s="108"/>
      <c r="AE138" s="108"/>
      <c r="AF138" s="108"/>
      <c r="AG138" s="108"/>
      <c r="AH138" s="108"/>
      <c r="AI138" s="108"/>
      <c r="AJ138" s="108"/>
      <c r="AK138" s="108"/>
      <c r="AL138" s="108"/>
      <c r="AM138" s="108"/>
      <c r="AN138" s="108"/>
      <c r="AO138" s="108"/>
      <c r="AP138" s="108"/>
      <c r="AQ138" s="108"/>
      <c r="AR138" s="108"/>
    </row>
    <row r="139" spans="1:44" ht="63" hidden="1" customHeight="1" x14ac:dyDescent="0.3">
      <c r="A139" s="108">
        <v>578</v>
      </c>
      <c r="B139" s="672" t="s">
        <v>59</v>
      </c>
      <c r="C139" s="672" t="s">
        <v>1139</v>
      </c>
      <c r="D139" s="825" t="s">
        <v>1144</v>
      </c>
      <c r="E139" s="670" t="e">
        <f>HLOOKUP($D$2,'2020 Data(H)'!$C$1:$AB$426,228,FALSE)</f>
        <v>#N/A</v>
      </c>
      <c r="F139" s="295">
        <v>0</v>
      </c>
      <c r="G139" s="731"/>
      <c r="H139" s="732"/>
      <c r="I139" s="733"/>
      <c r="Z139" s="108"/>
      <c r="AA139" s="108"/>
      <c r="AB139" s="108"/>
      <c r="AC139" s="108"/>
      <c r="AD139" s="108"/>
      <c r="AE139" s="108"/>
      <c r="AF139" s="108"/>
      <c r="AG139" s="108"/>
      <c r="AH139" s="108"/>
      <c r="AI139" s="108"/>
      <c r="AJ139" s="108"/>
      <c r="AK139" s="108"/>
      <c r="AL139" s="108"/>
      <c r="AM139" s="108"/>
      <c r="AN139" s="108"/>
      <c r="AO139" s="108"/>
      <c r="AP139" s="108"/>
      <c r="AQ139" s="108"/>
      <c r="AR139" s="108"/>
    </row>
    <row r="140" spans="1:44" ht="126" hidden="1" customHeight="1" x14ac:dyDescent="0.3">
      <c r="A140" s="309">
        <v>633</v>
      </c>
      <c r="B140" s="826" t="s">
        <v>542</v>
      </c>
      <c r="C140" s="826" t="s">
        <v>420</v>
      </c>
      <c r="D140" s="339" t="s">
        <v>1223</v>
      </c>
      <c r="E140" s="670" t="e">
        <f>HLOOKUP($D$2,'2020 Data(H)'!$C$1:$AB$426,292,FALSE)</f>
        <v>#N/A</v>
      </c>
      <c r="F140" s="295">
        <v>0</v>
      </c>
      <c r="G140" s="749" t="str">
        <f>IF(F140&gt;=(F141+F142+F143+F144+F145+F146),"","Account 633 is less than the total sum of accounts 634 through 638 + 383")</f>
        <v/>
      </c>
      <c r="H140" s="755">
        <f>F140-(F141+F142+F143+F144+F145+F146)</f>
        <v>0</v>
      </c>
      <c r="I140" s="736" t="str">
        <f>IF(F140&gt;=(F141+F142+F143+F144+F145+F146),"","Account 633 is less than the total sum of accounts 634 through 638 + 383")</f>
        <v/>
      </c>
      <c r="Z140" s="309"/>
      <c r="AA140" s="309"/>
      <c r="AB140" s="309"/>
      <c r="AC140" s="309"/>
      <c r="AD140" s="309"/>
      <c r="AE140" s="309"/>
      <c r="AF140" s="309"/>
      <c r="AG140" s="309"/>
      <c r="AH140" s="309"/>
      <c r="AI140" s="309"/>
      <c r="AJ140" s="309"/>
      <c r="AK140" s="309"/>
      <c r="AL140" s="309"/>
      <c r="AM140" s="309"/>
      <c r="AN140" s="309"/>
      <c r="AO140" s="309"/>
      <c r="AP140" s="309"/>
      <c r="AQ140" s="309"/>
      <c r="AR140" s="309"/>
    </row>
    <row r="141" spans="1:44" ht="109.5" hidden="1" customHeight="1" x14ac:dyDescent="0.3">
      <c r="A141" s="308">
        <v>634</v>
      </c>
      <c r="B141" s="827" t="s">
        <v>416</v>
      </c>
      <c r="C141" s="826" t="s">
        <v>420</v>
      </c>
      <c r="D141" s="339" t="s">
        <v>1225</v>
      </c>
      <c r="E141" s="670" t="e">
        <f>HLOOKUP($D$2,'2020 Data(H)'!$C$1:$AB$426,293,FALSE)</f>
        <v>#N/A</v>
      </c>
      <c r="F141" s="295">
        <v>0</v>
      </c>
      <c r="G141" s="750">
        <f>IF(F141&gt;F140,"Please review account numbers 634&gt;633",)</f>
        <v>0</v>
      </c>
      <c r="H141" s="736"/>
      <c r="I141" s="736"/>
      <c r="Z141" s="308"/>
      <c r="AA141" s="308"/>
      <c r="AB141" s="308"/>
      <c r="AC141" s="308"/>
      <c r="AD141" s="308"/>
      <c r="AE141" s="308"/>
      <c r="AF141" s="308"/>
      <c r="AG141" s="308"/>
      <c r="AH141" s="308"/>
      <c r="AI141" s="308"/>
      <c r="AJ141" s="308"/>
      <c r="AK141" s="308"/>
      <c r="AL141" s="308"/>
      <c r="AM141" s="308"/>
      <c r="AN141" s="308"/>
      <c r="AO141" s="308"/>
      <c r="AP141" s="308"/>
      <c r="AQ141" s="308"/>
      <c r="AR141" s="308"/>
    </row>
    <row r="142" spans="1:44" ht="130.5" hidden="1" customHeight="1" x14ac:dyDescent="0.3">
      <c r="A142" s="308">
        <v>635</v>
      </c>
      <c r="B142" s="827" t="s">
        <v>416</v>
      </c>
      <c r="C142" s="826" t="s">
        <v>420</v>
      </c>
      <c r="D142" s="339" t="s">
        <v>1224</v>
      </c>
      <c r="E142" s="670" t="e">
        <f>HLOOKUP($D$2,'2020 Data(H)'!$C$1:$AB$426,294,FALSE)</f>
        <v>#N/A</v>
      </c>
      <c r="F142" s="295">
        <v>0</v>
      </c>
      <c r="G142" s="750">
        <f>IF(F142&gt;F140,"Please review account numbers 635&gt;633",)</f>
        <v>0</v>
      </c>
      <c r="H142" s="736"/>
      <c r="I142" s="736"/>
      <c r="Z142" s="308"/>
      <c r="AA142" s="308"/>
      <c r="AB142" s="308"/>
      <c r="AC142" s="308"/>
      <c r="AD142" s="308"/>
      <c r="AE142" s="308"/>
      <c r="AF142" s="308"/>
      <c r="AG142" s="308"/>
      <c r="AH142" s="308"/>
      <c r="AI142" s="308"/>
      <c r="AJ142" s="308"/>
      <c r="AK142" s="308"/>
      <c r="AL142" s="308"/>
      <c r="AM142" s="308"/>
      <c r="AN142" s="308"/>
      <c r="AO142" s="308"/>
      <c r="AP142" s="308"/>
      <c r="AQ142" s="308"/>
      <c r="AR142" s="308"/>
    </row>
    <row r="143" spans="1:44" ht="106.5" hidden="1" customHeight="1" x14ac:dyDescent="0.3">
      <c r="A143" s="308">
        <v>636</v>
      </c>
      <c r="B143" s="827" t="s">
        <v>416</v>
      </c>
      <c r="C143" s="826" t="s">
        <v>420</v>
      </c>
      <c r="D143" s="339" t="s">
        <v>1229</v>
      </c>
      <c r="E143" s="670" t="e">
        <f>HLOOKUP($D$2,'2020 Data(H)'!$C$1:$AB$426,295,FALSE)</f>
        <v>#N/A</v>
      </c>
      <c r="F143" s="295">
        <v>0</v>
      </c>
      <c r="G143" s="750">
        <f>IF(F143&gt;F140,"Please review account numbers 636&gt;633",)</f>
        <v>0</v>
      </c>
      <c r="H143" s="736"/>
      <c r="I143" s="736"/>
      <c r="Z143" s="308"/>
      <c r="AA143" s="308"/>
      <c r="AB143" s="308"/>
      <c r="AC143" s="308"/>
      <c r="AD143" s="308"/>
      <c r="AE143" s="308"/>
      <c r="AF143" s="308"/>
      <c r="AG143" s="308"/>
      <c r="AH143" s="308"/>
      <c r="AI143" s="308"/>
      <c r="AJ143" s="308"/>
      <c r="AK143" s="308"/>
      <c r="AL143" s="308"/>
      <c r="AM143" s="308"/>
      <c r="AN143" s="308"/>
      <c r="AO143" s="308"/>
      <c r="AP143" s="308"/>
      <c r="AQ143" s="308"/>
      <c r="AR143" s="308"/>
    </row>
    <row r="144" spans="1:44" ht="80.25" hidden="1" customHeight="1" x14ac:dyDescent="0.3">
      <c r="A144" s="308">
        <v>637</v>
      </c>
      <c r="B144" s="827" t="s">
        <v>416</v>
      </c>
      <c r="C144" s="826" t="s">
        <v>420</v>
      </c>
      <c r="D144" s="339" t="s">
        <v>1228</v>
      </c>
      <c r="E144" s="670" t="e">
        <f>HLOOKUP($D$2,'2020 Data(H)'!$C$1:$AB$426,296,FALSE)</f>
        <v>#N/A</v>
      </c>
      <c r="F144" s="295">
        <v>0</v>
      </c>
      <c r="G144" s="750">
        <f>IF(F144&gt;F140,"Please review account numbers 637&gt;633",)</f>
        <v>0</v>
      </c>
      <c r="H144" s="736"/>
      <c r="I144" s="736"/>
      <c r="Z144" s="308"/>
      <c r="AA144" s="308"/>
      <c r="AB144" s="308"/>
      <c r="AC144" s="308"/>
      <c r="AD144" s="308"/>
      <c r="AE144" s="308"/>
      <c r="AF144" s="308"/>
      <c r="AG144" s="308"/>
      <c r="AH144" s="308"/>
      <c r="AI144" s="308"/>
      <c r="AJ144" s="308"/>
      <c r="AK144" s="308"/>
      <c r="AL144" s="308"/>
      <c r="AM144" s="308"/>
      <c r="AN144" s="308"/>
      <c r="AO144" s="308"/>
      <c r="AP144" s="308"/>
      <c r="AQ144" s="308"/>
      <c r="AR144" s="308"/>
    </row>
    <row r="145" spans="1:44" ht="110.25" hidden="1" customHeight="1" x14ac:dyDescent="0.3">
      <c r="A145" s="308">
        <v>638</v>
      </c>
      <c r="B145" s="827" t="s">
        <v>416</v>
      </c>
      <c r="C145" s="826" t="s">
        <v>420</v>
      </c>
      <c r="D145" s="339" t="s">
        <v>1227</v>
      </c>
      <c r="E145" s="670" t="e">
        <f>HLOOKUP($D$2,'2020 Data(H)'!$C$1:$AB$426,297,FALSE)</f>
        <v>#N/A</v>
      </c>
      <c r="F145" s="295">
        <v>0</v>
      </c>
      <c r="G145" s="750">
        <f>IF(F145&gt;F140,"Please review account numbers 638&gt;633",)</f>
        <v>0</v>
      </c>
      <c r="H145" s="736"/>
      <c r="I145" s="736"/>
      <c r="Z145" s="308"/>
      <c r="AA145" s="308"/>
      <c r="AB145" s="308"/>
      <c r="AC145" s="308"/>
      <c r="AD145" s="308"/>
      <c r="AE145" s="308"/>
      <c r="AF145" s="308"/>
      <c r="AG145" s="308"/>
      <c r="AH145" s="308"/>
      <c r="AI145" s="308"/>
      <c r="AJ145" s="308"/>
      <c r="AK145" s="308"/>
      <c r="AL145" s="308"/>
      <c r="AM145" s="308"/>
      <c r="AN145" s="308"/>
      <c r="AO145" s="308"/>
      <c r="AP145" s="308"/>
      <c r="AQ145" s="308"/>
      <c r="AR145" s="308"/>
    </row>
    <row r="146" spans="1:44" ht="93.75" hidden="1" customHeight="1" x14ac:dyDescent="0.3">
      <c r="A146" s="108">
        <v>383</v>
      </c>
      <c r="B146" s="4" t="s">
        <v>62</v>
      </c>
      <c r="C146" s="4" t="s">
        <v>1139</v>
      </c>
      <c r="D146" s="29" t="s">
        <v>1226</v>
      </c>
      <c r="E146" s="670" t="e">
        <f>HLOOKUP($D$2,'2020 Data(H)'!$C$1:$AB$426,142,FALSE)</f>
        <v>#N/A</v>
      </c>
      <c r="F146" s="295">
        <v>0</v>
      </c>
      <c r="G146" s="751">
        <f>IF(F146&gt;F140,"Error: Please review components of current liabilities above. Account number 383&gt;633",)</f>
        <v>0</v>
      </c>
      <c r="H146" s="752"/>
      <c r="I146" s="79"/>
      <c r="Z146" s="108"/>
      <c r="AA146" s="108"/>
      <c r="AB146" s="108"/>
      <c r="AC146" s="108"/>
      <c r="AD146" s="108"/>
      <c r="AE146" s="108"/>
      <c r="AF146" s="108"/>
      <c r="AG146" s="108"/>
      <c r="AH146" s="108"/>
      <c r="AI146" s="108"/>
      <c r="AJ146" s="108"/>
      <c r="AK146" s="108"/>
      <c r="AL146" s="108"/>
      <c r="AM146" s="108"/>
      <c r="AN146" s="108"/>
      <c r="AO146" s="108"/>
      <c r="AP146" s="108"/>
      <c r="AQ146" s="108"/>
      <c r="AR146" s="108"/>
    </row>
    <row r="147" spans="1:44" ht="61.5" hidden="1" customHeight="1" x14ac:dyDescent="0.3">
      <c r="A147" s="108">
        <v>349</v>
      </c>
      <c r="B147" s="4" t="s">
        <v>62</v>
      </c>
      <c r="C147" s="4" t="s">
        <v>1139</v>
      </c>
      <c r="D147" s="107" t="s">
        <v>153</v>
      </c>
      <c r="E147" s="670" t="e">
        <f>HLOOKUP($D$2,'2020 Data(H)'!$C$1:$AB$426,113,FALSE)</f>
        <v>#N/A</v>
      </c>
      <c r="F147" s="295">
        <v>0</v>
      </c>
      <c r="G147" s="731" t="str">
        <f>IF(F140&gt;F147,"Error: Please review accts 633&gt;349","")</f>
        <v/>
      </c>
      <c r="H147" s="17"/>
      <c r="I147" s="79"/>
      <c r="Z147" s="108"/>
      <c r="AA147" s="108"/>
      <c r="AB147" s="108"/>
      <c r="AC147" s="108"/>
      <c r="AD147" s="108"/>
      <c r="AE147" s="108"/>
      <c r="AF147" s="108"/>
      <c r="AG147" s="108"/>
      <c r="AH147" s="108"/>
      <c r="AI147" s="108"/>
      <c r="AJ147" s="108"/>
      <c r="AK147" s="108"/>
      <c r="AL147" s="108"/>
      <c r="AM147" s="108"/>
      <c r="AN147" s="108"/>
      <c r="AO147" s="108"/>
      <c r="AP147" s="108"/>
      <c r="AQ147" s="108"/>
      <c r="AR147" s="108"/>
    </row>
    <row r="148" spans="1:44" ht="105" hidden="1" customHeight="1" x14ac:dyDescent="0.3">
      <c r="A148" s="108">
        <v>375</v>
      </c>
      <c r="B148" s="4" t="s">
        <v>62</v>
      </c>
      <c r="C148" s="4" t="s">
        <v>1139</v>
      </c>
      <c r="D148" s="709" t="s">
        <v>1145</v>
      </c>
      <c r="E148" s="670" t="e">
        <f>HLOOKUP($D$2,'2020 Data(H)'!$C$1:$AB$426,134,FALSE)</f>
        <v>#N/A</v>
      </c>
      <c r="F148" s="295">
        <v>0</v>
      </c>
      <c r="G148" s="741"/>
      <c r="H148" s="17"/>
      <c r="I148" s="79"/>
      <c r="Z148" s="108"/>
      <c r="AA148" s="108"/>
      <c r="AB148" s="108"/>
      <c r="AC148" s="108"/>
      <c r="AD148" s="108"/>
      <c r="AE148" s="108"/>
      <c r="AF148" s="108"/>
      <c r="AG148" s="108"/>
      <c r="AH148" s="108"/>
      <c r="AI148" s="108"/>
      <c r="AJ148" s="108"/>
      <c r="AK148" s="108"/>
      <c r="AL148" s="108"/>
      <c r="AM148" s="108"/>
      <c r="AN148" s="108"/>
      <c r="AO148" s="108"/>
      <c r="AP148" s="108"/>
      <c r="AQ148" s="108"/>
      <c r="AR148" s="108"/>
    </row>
    <row r="149" spans="1:44" ht="67.5" hidden="1" customHeight="1" x14ac:dyDescent="0.3">
      <c r="A149" s="108">
        <v>83</v>
      </c>
      <c r="B149" s="4" t="s">
        <v>61</v>
      </c>
      <c r="C149" s="4" t="s">
        <v>1139</v>
      </c>
      <c r="D149" s="107" t="s">
        <v>154</v>
      </c>
      <c r="E149" s="670" t="e">
        <f>HLOOKUP($D$2,'2020 Data(H)'!$C$1:$AB$426,47,FALSE)</f>
        <v>#N/A</v>
      </c>
      <c r="F149" s="295">
        <v>0</v>
      </c>
      <c r="G149" s="731">
        <f>IF(F138-F147-F149=0,,"Error: Total assets less total liabilities do not equal total net assets.  Account numbers 381-349-83=0  The amount of the formula is in the cell to the right")</f>
        <v>0</v>
      </c>
      <c r="H149" s="734">
        <f>F138-F147-F149</f>
        <v>0</v>
      </c>
      <c r="I149" s="79"/>
      <c r="Z149" s="108"/>
      <c r="AA149" s="108"/>
      <c r="AB149" s="108"/>
      <c r="AC149" s="108"/>
      <c r="AD149" s="108"/>
      <c r="AE149" s="108"/>
      <c r="AF149" s="108"/>
      <c r="AG149" s="108"/>
      <c r="AH149" s="108"/>
      <c r="AI149" s="108"/>
      <c r="AJ149" s="108"/>
      <c r="AK149" s="108"/>
      <c r="AL149" s="108"/>
      <c r="AM149" s="108"/>
      <c r="AN149" s="108"/>
      <c r="AO149" s="108"/>
      <c r="AP149" s="108"/>
      <c r="AQ149" s="108"/>
      <c r="AR149" s="108"/>
    </row>
    <row r="150" spans="1:44" ht="40.5" hidden="1" customHeight="1" x14ac:dyDescent="0.3">
      <c r="A150" s="108"/>
      <c r="B150" s="867" t="s">
        <v>155</v>
      </c>
      <c r="C150" s="868"/>
      <c r="D150" s="843"/>
      <c r="E150" s="843"/>
      <c r="F150" s="863"/>
      <c r="G150" s="864"/>
      <c r="H150" s="746"/>
      <c r="I150" s="79"/>
      <c r="Z150" s="108"/>
      <c r="AA150" s="108"/>
      <c r="AB150" s="108"/>
      <c r="AC150" s="108"/>
      <c r="AD150" s="108"/>
      <c r="AE150" s="108"/>
      <c r="AF150" s="108"/>
      <c r="AG150" s="108"/>
      <c r="AH150" s="108"/>
      <c r="AI150" s="108"/>
      <c r="AJ150" s="108"/>
      <c r="AK150" s="108"/>
      <c r="AL150" s="108"/>
      <c r="AM150" s="108"/>
      <c r="AN150" s="108"/>
      <c r="AO150" s="108"/>
      <c r="AP150" s="108"/>
      <c r="AQ150" s="108"/>
      <c r="AR150" s="108"/>
    </row>
    <row r="151" spans="1:44" ht="59.25" hidden="1" customHeight="1" x14ac:dyDescent="0.3">
      <c r="A151" s="108">
        <v>90</v>
      </c>
      <c r="B151" s="4" t="s">
        <v>63</v>
      </c>
      <c r="C151" s="4" t="s">
        <v>1146</v>
      </c>
      <c r="D151" s="24" t="s">
        <v>1147</v>
      </c>
      <c r="E151" s="670" t="e">
        <f>HLOOKUP($D$2,'2020 Data(H)'!$C$1:$AB$426,52,FALSE)</f>
        <v>#N/A</v>
      </c>
      <c r="F151" s="295">
        <v>0</v>
      </c>
      <c r="G151" s="731">
        <f>IF(F151&lt;0,"Note: Number is normally positive.",)</f>
        <v>0</v>
      </c>
      <c r="H151" s="753"/>
      <c r="I151" s="79"/>
      <c r="Z151" s="108"/>
      <c r="AA151" s="108"/>
      <c r="AB151" s="108"/>
      <c r="AC151" s="108"/>
      <c r="AD151" s="108"/>
      <c r="AE151" s="108"/>
      <c r="AF151" s="108"/>
      <c r="AG151" s="108"/>
      <c r="AH151" s="108"/>
      <c r="AI151" s="108"/>
      <c r="AJ151" s="108"/>
      <c r="AK151" s="108"/>
      <c r="AL151" s="108"/>
      <c r="AM151" s="108"/>
      <c r="AN151" s="108"/>
      <c r="AO151" s="108"/>
      <c r="AP151" s="108"/>
      <c r="AQ151" s="108"/>
      <c r="AR151" s="108"/>
    </row>
    <row r="152" spans="1:44" ht="75" hidden="1" customHeight="1" x14ac:dyDescent="0.3">
      <c r="A152" s="108">
        <v>91</v>
      </c>
      <c r="B152" s="4" t="s">
        <v>58</v>
      </c>
      <c r="C152" s="4" t="s">
        <v>1146</v>
      </c>
      <c r="D152" s="24" t="s">
        <v>1148</v>
      </c>
      <c r="E152" s="670" t="e">
        <f>HLOOKUP($D$2,'2020 Data(H)'!$C$1:$AB$426,53,FALSE)</f>
        <v>#N/A</v>
      </c>
      <c r="F152" s="295">
        <v>0</v>
      </c>
      <c r="G152" s="731">
        <f>IF(F152&lt;0,"Note: Number is normally positive.",)</f>
        <v>0</v>
      </c>
      <c r="H152" s="17"/>
      <c r="I152" s="79"/>
      <c r="Z152" s="108"/>
      <c r="AA152" s="108"/>
      <c r="AB152" s="108"/>
      <c r="AC152" s="108"/>
      <c r="AD152" s="108"/>
      <c r="AE152" s="108"/>
      <c r="AF152" s="108"/>
      <c r="AG152" s="108"/>
      <c r="AH152" s="108"/>
      <c r="AI152" s="108"/>
      <c r="AJ152" s="108"/>
      <c r="AK152" s="108"/>
      <c r="AL152" s="108"/>
      <c r="AM152" s="108"/>
      <c r="AN152" s="108"/>
      <c r="AO152" s="108"/>
      <c r="AP152" s="108"/>
      <c r="AQ152" s="108"/>
      <c r="AR152" s="108"/>
    </row>
    <row r="153" spans="1:44" ht="66.75" hidden="1" customHeight="1" x14ac:dyDescent="0.3">
      <c r="A153" s="108">
        <v>581</v>
      </c>
      <c r="B153" s="672" t="s">
        <v>337</v>
      </c>
      <c r="C153" s="672" t="s">
        <v>1146</v>
      </c>
      <c r="D153" s="825" t="s">
        <v>1149</v>
      </c>
      <c r="E153" s="670" t="e">
        <f>HLOOKUP($D$2,'2020 Data(H)'!$C$1:$AB$426,231,FALSE)</f>
        <v>#N/A</v>
      </c>
      <c r="F153" s="295">
        <v>0</v>
      </c>
      <c r="G153" s="731"/>
      <c r="H153" s="17"/>
      <c r="I153" s="79"/>
      <c r="Z153" s="108"/>
      <c r="AA153" s="108"/>
      <c r="AB153" s="108"/>
      <c r="AC153" s="108"/>
      <c r="AD153" s="108"/>
      <c r="AE153" s="108"/>
      <c r="AF153" s="108"/>
      <c r="AG153" s="108"/>
      <c r="AH153" s="108"/>
      <c r="AI153" s="108"/>
      <c r="AJ153" s="108"/>
      <c r="AK153" s="108"/>
      <c r="AL153" s="108"/>
      <c r="AM153" s="108"/>
      <c r="AN153" s="108"/>
      <c r="AO153" s="108"/>
      <c r="AP153" s="108"/>
      <c r="AQ153" s="108"/>
      <c r="AR153" s="108"/>
    </row>
    <row r="154" spans="1:44" ht="67.5" hidden="1" customHeight="1" x14ac:dyDescent="0.3">
      <c r="A154" s="108">
        <v>511</v>
      </c>
      <c r="B154" s="4" t="s">
        <v>58</v>
      </c>
      <c r="C154" s="4" t="s">
        <v>1146</v>
      </c>
      <c r="D154" s="25" t="s">
        <v>156</v>
      </c>
      <c r="E154" s="670" t="e">
        <f>HLOOKUP($D$2,'2020 Data(H)'!$C$1:$AB$426,161,FALSE)</f>
        <v>#N/A</v>
      </c>
      <c r="F154" s="295">
        <v>0</v>
      </c>
      <c r="G154" s="731">
        <f>IF(F154&lt;0,"Note: Number is normally positive.",)</f>
        <v>0</v>
      </c>
      <c r="H154" s="17"/>
      <c r="I154" s="79"/>
      <c r="Z154" s="108"/>
      <c r="AA154" s="108"/>
      <c r="AB154" s="108"/>
      <c r="AC154" s="108"/>
      <c r="AD154" s="108"/>
      <c r="AE154" s="108"/>
      <c r="AF154" s="108"/>
      <c r="AG154" s="108"/>
      <c r="AH154" s="108"/>
      <c r="AI154" s="108"/>
      <c r="AJ154" s="108"/>
      <c r="AK154" s="108"/>
      <c r="AL154" s="108"/>
      <c r="AM154" s="108"/>
      <c r="AN154" s="108"/>
      <c r="AO154" s="108"/>
      <c r="AP154" s="108"/>
      <c r="AQ154" s="108"/>
      <c r="AR154" s="108"/>
    </row>
    <row r="155" spans="1:44" ht="72" hidden="1" customHeight="1" x14ac:dyDescent="0.3">
      <c r="A155" s="308">
        <v>657</v>
      </c>
      <c r="B155" s="826" t="s">
        <v>58</v>
      </c>
      <c r="C155" s="826" t="s">
        <v>1146</v>
      </c>
      <c r="D155" s="339" t="s">
        <v>1150</v>
      </c>
      <c r="E155" s="670" t="e">
        <f>HLOOKUP($D$2,'2020 Data(H)'!$C$1:$AB$426,310,FALSE)</f>
        <v>#N/A</v>
      </c>
      <c r="F155" s="295">
        <v>0</v>
      </c>
      <c r="G155" s="754">
        <f>IF((F151+F152+F154)&gt;F155,"Error: Please review components of current assets above.  Account numbers (90+91+511)&gt;657",)</f>
        <v>0</v>
      </c>
      <c r="H155" s="17"/>
      <c r="I155" s="79"/>
      <c r="Z155" s="308"/>
      <c r="AA155" s="308"/>
      <c r="AB155" s="308"/>
      <c r="AC155" s="308"/>
      <c r="AD155" s="308"/>
      <c r="AE155" s="308"/>
      <c r="AF155" s="308"/>
      <c r="AG155" s="308"/>
      <c r="AH155" s="308"/>
      <c r="AI155" s="308"/>
      <c r="AJ155" s="308"/>
      <c r="AK155" s="308"/>
      <c r="AL155" s="308"/>
      <c r="AM155" s="308"/>
      <c r="AN155" s="308"/>
      <c r="AO155" s="308"/>
      <c r="AP155" s="308"/>
      <c r="AQ155" s="308"/>
      <c r="AR155" s="308"/>
    </row>
    <row r="156" spans="1:44" ht="70.5" hidden="1" customHeight="1" x14ac:dyDescent="0.3">
      <c r="A156" s="308">
        <v>658</v>
      </c>
      <c r="B156" s="826" t="s">
        <v>58</v>
      </c>
      <c r="C156" s="826" t="s">
        <v>1146</v>
      </c>
      <c r="D156" s="310" t="s">
        <v>544</v>
      </c>
      <c r="E156" s="670" t="e">
        <f>HLOOKUP($D$2,'2020 Data(H)'!$C$1:$AB$426,311,FALSE)</f>
        <v>#N/A</v>
      </c>
      <c r="F156" s="295">
        <v>0</v>
      </c>
      <c r="G156" s="731"/>
      <c r="H156" s="17"/>
      <c r="I156" s="79"/>
      <c r="Z156" s="308"/>
      <c r="AA156" s="308"/>
      <c r="AB156" s="308"/>
      <c r="AC156" s="308"/>
      <c r="AD156" s="308"/>
      <c r="AE156" s="308"/>
      <c r="AF156" s="308"/>
      <c r="AG156" s="308"/>
      <c r="AH156" s="308"/>
      <c r="AI156" s="308"/>
      <c r="AJ156" s="308"/>
      <c r="AK156" s="308"/>
      <c r="AL156" s="308"/>
      <c r="AM156" s="308"/>
      <c r="AN156" s="308"/>
      <c r="AO156" s="308"/>
      <c r="AP156" s="308"/>
      <c r="AQ156" s="308"/>
      <c r="AR156" s="308"/>
    </row>
    <row r="157" spans="1:44" ht="50.25" hidden="1" customHeight="1" x14ac:dyDescent="0.3">
      <c r="A157" s="108">
        <v>382</v>
      </c>
      <c r="B157" s="4" t="s">
        <v>60</v>
      </c>
      <c r="C157" s="4" t="s">
        <v>1146</v>
      </c>
      <c r="D157" s="106" t="s">
        <v>130</v>
      </c>
      <c r="E157" s="670" t="e">
        <f>HLOOKUP($D$2,'2020 Data(H)'!$C$1:$AB$426,141,FALSE)</f>
        <v>#N/A</v>
      </c>
      <c r="F157" s="295">
        <v>0</v>
      </c>
      <c r="G157" s="754">
        <f>IF(F155&gt;F157,"Error: Please review components of current assets above. Account numbers 657&gt;382",)</f>
        <v>0</v>
      </c>
      <c r="H157" s="17"/>
      <c r="I157" s="79"/>
      <c r="Z157" s="108"/>
      <c r="AA157" s="108"/>
      <c r="AB157" s="108"/>
      <c r="AC157" s="108"/>
      <c r="AD157" s="108"/>
      <c r="AE157" s="108"/>
      <c r="AF157" s="108"/>
      <c r="AG157" s="108"/>
      <c r="AH157" s="108"/>
      <c r="AI157" s="108"/>
      <c r="AJ157" s="108"/>
      <c r="AK157" s="108"/>
      <c r="AL157" s="108"/>
      <c r="AM157" s="108"/>
      <c r="AN157" s="108"/>
      <c r="AO157" s="108"/>
      <c r="AP157" s="108"/>
      <c r="AQ157" s="108"/>
      <c r="AR157" s="108"/>
    </row>
    <row r="158" spans="1:44" ht="57.75" hidden="1" customHeight="1" x14ac:dyDescent="0.3">
      <c r="A158" s="108">
        <v>360</v>
      </c>
      <c r="B158" s="4" t="s">
        <v>56</v>
      </c>
      <c r="C158" s="4" t="s">
        <v>1146</v>
      </c>
      <c r="D158" s="107" t="s">
        <v>157</v>
      </c>
      <c r="E158" s="670" t="e">
        <f>HLOOKUP($D$2,'2020 Data(H)'!$C$1:$AB$426,121,FALSE)</f>
        <v>#N/A</v>
      </c>
      <c r="F158" s="295">
        <v>0</v>
      </c>
      <c r="G158" s="731"/>
      <c r="H158" s="17"/>
      <c r="I158" s="79"/>
      <c r="Z158" s="108"/>
      <c r="AA158" s="108"/>
      <c r="AB158" s="108"/>
      <c r="AC158" s="108"/>
      <c r="AD158" s="108"/>
      <c r="AE158" s="108"/>
      <c r="AF158" s="108"/>
      <c r="AG158" s="108"/>
      <c r="AH158" s="108"/>
      <c r="AI158" s="108"/>
      <c r="AJ158" s="108"/>
      <c r="AK158" s="108"/>
      <c r="AL158" s="108"/>
      <c r="AM158" s="108"/>
      <c r="AN158" s="108"/>
      <c r="AO158" s="108"/>
      <c r="AP158" s="108"/>
      <c r="AQ158" s="108"/>
      <c r="AR158" s="108"/>
    </row>
    <row r="159" spans="1:44" ht="62.25" hidden="1" customHeight="1" x14ac:dyDescent="0.3">
      <c r="A159" s="108">
        <v>580</v>
      </c>
      <c r="B159" s="672" t="s">
        <v>337</v>
      </c>
      <c r="C159" s="672" t="s">
        <v>1146</v>
      </c>
      <c r="D159" s="825" t="s">
        <v>1151</v>
      </c>
      <c r="E159" s="670" t="e">
        <f>HLOOKUP($D$2,'2020 Data(H)'!$C$1:$AB$426,230,FALSE)</f>
        <v>#N/A</v>
      </c>
      <c r="F159" s="295">
        <v>0</v>
      </c>
      <c r="G159" s="731"/>
      <c r="H159" s="17"/>
      <c r="I159" s="79"/>
      <c r="Z159" s="108"/>
      <c r="AA159" s="108"/>
      <c r="AB159" s="108"/>
      <c r="AC159" s="108"/>
      <c r="AD159" s="108"/>
      <c r="AE159" s="108"/>
      <c r="AF159" s="108"/>
      <c r="AG159" s="108"/>
      <c r="AH159" s="108"/>
      <c r="AI159" s="108"/>
      <c r="AJ159" s="108"/>
      <c r="AK159" s="108"/>
      <c r="AL159" s="108"/>
      <c r="AM159" s="108"/>
      <c r="AN159" s="108"/>
      <c r="AO159" s="108"/>
      <c r="AP159" s="108"/>
      <c r="AQ159" s="108"/>
      <c r="AR159" s="108"/>
    </row>
    <row r="160" spans="1:44" ht="114" hidden="1" customHeight="1" x14ac:dyDescent="0.3">
      <c r="A160" s="309">
        <v>639</v>
      </c>
      <c r="B160" s="826" t="s">
        <v>542</v>
      </c>
      <c r="C160" s="826" t="s">
        <v>1146</v>
      </c>
      <c r="D160" s="339" t="s">
        <v>1230</v>
      </c>
      <c r="E160" s="670" t="e">
        <f>HLOOKUP($D$2,'2020 Data(H)'!$C$1:$AB$426,298,FALSE)</f>
        <v>#N/A</v>
      </c>
      <c r="F160" s="295">
        <v>0</v>
      </c>
      <c r="G160" s="749" t="str">
        <f>IF(F160&gt;=(F161+F162+F163+F164+F165+F166),"","Account 639 is less than the total sum of accounts 640 through 644 + 384")</f>
        <v/>
      </c>
      <c r="H160" s="755">
        <f>F160-(F161+F162+F163+F164+F165+F166)</f>
        <v>0</v>
      </c>
      <c r="I160" s="736"/>
      <c r="Z160" s="309"/>
      <c r="AA160" s="309"/>
      <c r="AB160" s="309"/>
      <c r="AC160" s="309"/>
      <c r="AD160" s="309"/>
      <c r="AE160" s="309"/>
      <c r="AF160" s="309"/>
      <c r="AG160" s="309"/>
      <c r="AH160" s="309"/>
      <c r="AI160" s="309"/>
      <c r="AJ160" s="309"/>
      <c r="AK160" s="309"/>
      <c r="AL160" s="309"/>
      <c r="AM160" s="309"/>
      <c r="AN160" s="309"/>
      <c r="AO160" s="309"/>
      <c r="AP160" s="309"/>
      <c r="AQ160" s="309"/>
      <c r="AR160" s="309"/>
    </row>
    <row r="161" spans="1:44" ht="124.5" hidden="1" customHeight="1" x14ac:dyDescent="0.3">
      <c r="A161" s="308">
        <v>640</v>
      </c>
      <c r="B161" s="827" t="s">
        <v>416</v>
      </c>
      <c r="C161" s="826" t="s">
        <v>1146</v>
      </c>
      <c r="D161" s="339" t="s">
        <v>1231</v>
      </c>
      <c r="E161" s="670" t="e">
        <f>HLOOKUP($D$2,'2020 Data(H)'!$C$1:$AB$426,299,FALSE)</f>
        <v>#N/A</v>
      </c>
      <c r="F161" s="295">
        <v>0</v>
      </c>
      <c r="G161" s="754">
        <f>IF(F161&gt;F160,"Error: Please review components of current liabilities above. Account numbers 640&gt;639",)</f>
        <v>0</v>
      </c>
      <c r="H161" s="736"/>
      <c r="I161" s="755"/>
      <c r="Z161" s="308"/>
      <c r="AA161" s="308"/>
      <c r="AB161" s="308"/>
      <c r="AC161" s="308"/>
      <c r="AD161" s="308"/>
      <c r="AE161" s="308"/>
      <c r="AF161" s="308"/>
      <c r="AG161" s="308"/>
      <c r="AH161" s="308"/>
      <c r="AI161" s="308"/>
      <c r="AJ161" s="308"/>
      <c r="AK161" s="308"/>
      <c r="AL161" s="308"/>
      <c r="AM161" s="308"/>
      <c r="AN161" s="308"/>
      <c r="AO161" s="308"/>
      <c r="AP161" s="308"/>
      <c r="AQ161" s="308"/>
      <c r="AR161" s="308"/>
    </row>
    <row r="162" spans="1:44" ht="133.5" hidden="1" customHeight="1" x14ac:dyDescent="0.3">
      <c r="A162" s="308">
        <v>641</v>
      </c>
      <c r="B162" s="827" t="s">
        <v>416</v>
      </c>
      <c r="C162" s="826" t="s">
        <v>1146</v>
      </c>
      <c r="D162" s="339" t="s">
        <v>1232</v>
      </c>
      <c r="E162" s="670" t="e">
        <f>HLOOKUP($D$2,'2020 Data(H)'!$C$1:$AB$426,300,FALSE)</f>
        <v>#N/A</v>
      </c>
      <c r="F162" s="295">
        <v>0</v>
      </c>
      <c r="G162" s="754">
        <f>IF(F162&gt;F160,"Error: Please review components of current liabilities above. Account numbers 641&gt;639",)</f>
        <v>0</v>
      </c>
      <c r="H162" s="736"/>
      <c r="I162" s="736"/>
      <c r="Z162" s="308"/>
      <c r="AA162" s="308"/>
      <c r="AB162" s="308"/>
      <c r="AC162" s="308"/>
      <c r="AD162" s="308"/>
      <c r="AE162" s="308"/>
      <c r="AF162" s="308"/>
      <c r="AG162" s="308"/>
      <c r="AH162" s="308"/>
      <c r="AI162" s="308"/>
      <c r="AJ162" s="308"/>
      <c r="AK162" s="308"/>
      <c r="AL162" s="308"/>
      <c r="AM162" s="308"/>
      <c r="AN162" s="308"/>
      <c r="AO162" s="308"/>
      <c r="AP162" s="308"/>
      <c r="AQ162" s="308"/>
      <c r="AR162" s="308"/>
    </row>
    <row r="163" spans="1:44" ht="118.5" hidden="1" customHeight="1" x14ac:dyDescent="0.3">
      <c r="A163" s="308">
        <v>642</v>
      </c>
      <c r="B163" s="827" t="s">
        <v>416</v>
      </c>
      <c r="C163" s="826" t="s">
        <v>1146</v>
      </c>
      <c r="D163" s="339" t="s">
        <v>1233</v>
      </c>
      <c r="E163" s="670" t="e">
        <f>HLOOKUP($D$2,'2020 Data(H)'!$C$1:$AB$426,301,FALSE)</f>
        <v>#N/A</v>
      </c>
      <c r="F163" s="295">
        <v>0</v>
      </c>
      <c r="G163" s="754">
        <f>IF(F163&gt;F160,"Error: Please review components of current liabilities above. Account numbers  642&gt;639",)</f>
        <v>0</v>
      </c>
      <c r="H163" s="736"/>
      <c r="I163" s="736"/>
      <c r="Z163" s="308"/>
      <c r="AA163" s="308"/>
      <c r="AB163" s="308"/>
      <c r="AC163" s="308"/>
      <c r="AD163" s="308"/>
      <c r="AE163" s="308"/>
      <c r="AF163" s="308"/>
      <c r="AG163" s="308"/>
      <c r="AH163" s="308"/>
      <c r="AI163" s="308"/>
      <c r="AJ163" s="308"/>
      <c r="AK163" s="308"/>
      <c r="AL163" s="308"/>
      <c r="AM163" s="308"/>
      <c r="AN163" s="308"/>
      <c r="AO163" s="308"/>
      <c r="AP163" s="308"/>
      <c r="AQ163" s="308"/>
      <c r="AR163" s="308"/>
    </row>
    <row r="164" spans="1:44" ht="81.75" hidden="1" customHeight="1" x14ac:dyDescent="0.3">
      <c r="A164" s="308">
        <v>643</v>
      </c>
      <c r="B164" s="827" t="s">
        <v>416</v>
      </c>
      <c r="C164" s="826" t="s">
        <v>1146</v>
      </c>
      <c r="D164" s="339" t="s">
        <v>1234</v>
      </c>
      <c r="E164" s="670" t="e">
        <f>HLOOKUP($D$2,'2020 Data(H)'!$C$1:$AB$426,302,FALSE)</f>
        <v>#N/A</v>
      </c>
      <c r="F164" s="295">
        <v>0</v>
      </c>
      <c r="G164" s="754">
        <f>IF(F164&gt;F160,"Error: Please review components of current liabilities above. Account numbers 643&gt;639",)</f>
        <v>0</v>
      </c>
      <c r="H164" s="736"/>
      <c r="I164" s="736"/>
      <c r="Z164" s="308"/>
      <c r="AA164" s="308"/>
      <c r="AB164" s="308"/>
      <c r="AC164" s="308"/>
      <c r="AD164" s="308"/>
      <c r="AE164" s="308"/>
      <c r="AF164" s="308"/>
      <c r="AG164" s="308"/>
      <c r="AH164" s="308"/>
      <c r="AI164" s="308"/>
      <c r="AJ164" s="308"/>
      <c r="AK164" s="308"/>
      <c r="AL164" s="308"/>
      <c r="AM164" s="308"/>
      <c r="AN164" s="308"/>
      <c r="AO164" s="308"/>
      <c r="AP164" s="308"/>
      <c r="AQ164" s="308"/>
      <c r="AR164" s="308"/>
    </row>
    <row r="165" spans="1:44" ht="108" hidden="1" customHeight="1" x14ac:dyDescent="0.3">
      <c r="A165" s="308">
        <v>644</v>
      </c>
      <c r="B165" s="827" t="s">
        <v>416</v>
      </c>
      <c r="C165" s="826" t="s">
        <v>1146</v>
      </c>
      <c r="D165" s="339" t="s">
        <v>1235</v>
      </c>
      <c r="E165" s="670" t="e">
        <f>HLOOKUP($D$2,'2020 Data(H)'!$C$1:$AB$426,303,FALSE)</f>
        <v>#N/A</v>
      </c>
      <c r="F165" s="295">
        <v>0</v>
      </c>
      <c r="G165" s="754">
        <f>IF(F165&gt;F160,"Error: Please review components of current liabilities above. Account number 644&gt;639",)</f>
        <v>0</v>
      </c>
      <c r="H165" s="736"/>
      <c r="I165" s="736"/>
      <c r="Z165" s="308"/>
      <c r="AA165" s="308"/>
      <c r="AB165" s="308"/>
      <c r="AC165" s="308"/>
      <c r="AD165" s="308"/>
      <c r="AE165" s="308"/>
      <c r="AF165" s="308"/>
      <c r="AG165" s="308"/>
      <c r="AH165" s="308"/>
      <c r="AI165" s="308"/>
      <c r="AJ165" s="308"/>
      <c r="AK165" s="308"/>
      <c r="AL165" s="308"/>
      <c r="AM165" s="308"/>
      <c r="AN165" s="308"/>
      <c r="AO165" s="308"/>
      <c r="AP165" s="308"/>
      <c r="AQ165" s="308"/>
      <c r="AR165" s="308"/>
    </row>
    <row r="166" spans="1:44" ht="99.75" hidden="1" customHeight="1" x14ac:dyDescent="0.3">
      <c r="A166" s="108">
        <v>384</v>
      </c>
      <c r="B166" s="4" t="s">
        <v>63</v>
      </c>
      <c r="C166" s="4" t="s">
        <v>1146</v>
      </c>
      <c r="D166" s="29" t="s">
        <v>1236</v>
      </c>
      <c r="E166" s="670" t="e">
        <f>HLOOKUP($D$2,'2020 Data(H)'!$C$1:$AB$426,143,FALSE)</f>
        <v>#N/A</v>
      </c>
      <c r="F166" s="739">
        <v>0</v>
      </c>
      <c r="G166" s="751">
        <f>IF(F166&gt;F160,"Error: Please review components of current liabilities above. Account number 384&gt;639",)</f>
        <v>0</v>
      </c>
      <c r="I166" s="79"/>
      <c r="Z166" s="108"/>
      <c r="AA166" s="108"/>
      <c r="AB166" s="108"/>
      <c r="AC166" s="108"/>
      <c r="AD166" s="108"/>
      <c r="AE166" s="108"/>
      <c r="AF166" s="108"/>
      <c r="AG166" s="108"/>
      <c r="AH166" s="108"/>
      <c r="AI166" s="108"/>
      <c r="AJ166" s="108"/>
      <c r="AK166" s="108"/>
      <c r="AL166" s="108"/>
      <c r="AM166" s="108"/>
      <c r="AN166" s="108"/>
      <c r="AO166" s="108"/>
      <c r="AP166" s="108"/>
      <c r="AQ166" s="108"/>
      <c r="AR166" s="108"/>
    </row>
    <row r="167" spans="1:44" ht="104.25" hidden="1" customHeight="1" x14ac:dyDescent="0.3">
      <c r="A167" s="108">
        <v>361</v>
      </c>
      <c r="B167" s="4" t="s">
        <v>56</v>
      </c>
      <c r="C167" s="4" t="s">
        <v>1146</v>
      </c>
      <c r="D167" s="709" t="s">
        <v>1152</v>
      </c>
      <c r="E167" s="670" t="e">
        <f>HLOOKUP($D$2,'2020 Data(H)'!$C$1:$AB$426,122,FALSE)</f>
        <v>#N/A</v>
      </c>
      <c r="F167" s="295">
        <v>0</v>
      </c>
      <c r="G167" s="741"/>
      <c r="H167" s="17"/>
      <c r="I167" s="79"/>
      <c r="Z167" s="108"/>
      <c r="AA167" s="108"/>
      <c r="AB167" s="108"/>
      <c r="AC167" s="108"/>
      <c r="AD167" s="108"/>
      <c r="AE167" s="108"/>
      <c r="AF167" s="108"/>
      <c r="AG167" s="108"/>
      <c r="AH167" s="108"/>
      <c r="AI167" s="108"/>
      <c r="AJ167" s="108"/>
      <c r="AK167" s="108"/>
      <c r="AL167" s="108"/>
      <c r="AM167" s="108"/>
      <c r="AN167" s="108"/>
      <c r="AO167" s="108"/>
      <c r="AP167" s="108"/>
      <c r="AQ167" s="108"/>
      <c r="AR167" s="108"/>
    </row>
    <row r="168" spans="1:44" ht="54" hidden="1" customHeight="1" x14ac:dyDescent="0.3">
      <c r="A168" s="108">
        <v>362</v>
      </c>
      <c r="B168" s="4" t="s">
        <v>56</v>
      </c>
      <c r="C168" s="4" t="s">
        <v>1146</v>
      </c>
      <c r="D168" s="107" t="s">
        <v>158</v>
      </c>
      <c r="E168" s="670" t="e">
        <f>HLOOKUP($D$2,'2020 Data(H)'!$C$1:$AB$426,123,FALSE)</f>
        <v>#N/A</v>
      </c>
      <c r="F168" s="295">
        <v>0</v>
      </c>
      <c r="G168" s="731">
        <f>IF(H168=0,,"Error: Total assets less total liabilities do not equal total net position. Account numbers 382-360-362=0  The amount of the formula is in the cell to the right")</f>
        <v>0</v>
      </c>
      <c r="H168" s="734">
        <f>F157-F158-F168</f>
        <v>0</v>
      </c>
      <c r="I168" s="79"/>
      <c r="Z168" s="108"/>
      <c r="AA168" s="108"/>
      <c r="AB168" s="108"/>
      <c r="AC168" s="108"/>
      <c r="AD168" s="108"/>
      <c r="AE168" s="108"/>
      <c r="AF168" s="108"/>
      <c r="AG168" s="108"/>
      <c r="AH168" s="108"/>
      <c r="AI168" s="108"/>
      <c r="AJ168" s="108"/>
      <c r="AK168" s="108"/>
      <c r="AL168" s="108"/>
      <c r="AM168" s="108"/>
      <c r="AN168" s="108"/>
      <c r="AO168" s="108"/>
      <c r="AP168" s="108"/>
      <c r="AQ168" s="108"/>
      <c r="AR168" s="108"/>
    </row>
    <row r="169" spans="1:44" ht="26.25" hidden="1" customHeight="1" x14ac:dyDescent="0.3">
      <c r="A169" s="108"/>
      <c r="B169" s="856" t="s">
        <v>182</v>
      </c>
      <c r="C169" s="857"/>
      <c r="D169" s="869"/>
      <c r="E169" s="850"/>
      <c r="F169" s="855"/>
      <c r="G169" s="855"/>
      <c r="H169" s="17"/>
      <c r="I169" s="79"/>
      <c r="Z169" s="108"/>
      <c r="AA169" s="108"/>
      <c r="AB169" s="108"/>
      <c r="AC169" s="108"/>
      <c r="AD169" s="108"/>
      <c r="AE169" s="108"/>
      <c r="AF169" s="108"/>
      <c r="AG169" s="108"/>
      <c r="AH169" s="108"/>
      <c r="AI169" s="108"/>
      <c r="AJ169" s="108"/>
      <c r="AK169" s="108"/>
      <c r="AL169" s="108"/>
      <c r="AM169" s="108"/>
      <c r="AN169" s="108"/>
      <c r="AO169" s="108"/>
      <c r="AP169" s="108"/>
      <c r="AQ169" s="108"/>
      <c r="AR169" s="108"/>
    </row>
    <row r="170" spans="1:44" s="18" customFormat="1" ht="99.75" hidden="1" customHeight="1" x14ac:dyDescent="0.3">
      <c r="A170" s="108"/>
      <c r="B170" s="1087" t="s">
        <v>1252</v>
      </c>
      <c r="C170" s="1087"/>
      <c r="D170" s="1087"/>
      <c r="E170" s="843"/>
      <c r="F170" s="864"/>
      <c r="G170" s="864"/>
      <c r="H170" s="17"/>
      <c r="I170" s="79"/>
      <c r="N170" s="296"/>
      <c r="Z170" s="108"/>
      <c r="AA170" s="108"/>
      <c r="AB170" s="108"/>
      <c r="AC170" s="108"/>
      <c r="AD170" s="108"/>
      <c r="AE170" s="108"/>
      <c r="AF170" s="108"/>
      <c r="AG170" s="108"/>
      <c r="AH170" s="108"/>
      <c r="AI170" s="108"/>
      <c r="AJ170" s="108"/>
      <c r="AK170" s="108"/>
      <c r="AL170" s="108"/>
      <c r="AM170" s="108"/>
      <c r="AN170" s="108"/>
      <c r="AO170" s="108"/>
      <c r="AP170" s="108"/>
      <c r="AQ170" s="108"/>
      <c r="AR170" s="108"/>
    </row>
    <row r="171" spans="1:44" ht="87" hidden="1" customHeight="1" x14ac:dyDescent="0.3">
      <c r="A171" s="108">
        <v>88</v>
      </c>
      <c r="B171" s="4" t="s">
        <v>61</v>
      </c>
      <c r="C171" s="4" t="s">
        <v>1153</v>
      </c>
      <c r="D171" s="24" t="s">
        <v>1154</v>
      </c>
      <c r="E171" s="670" t="e">
        <f>HLOOKUP($D$2,'2020 Data(H)'!$C$1:$AB$426,50,FALSE)</f>
        <v>#N/A</v>
      </c>
      <c r="F171" s="295">
        <v>0</v>
      </c>
      <c r="G171" s="741"/>
      <c r="H171" s="17"/>
      <c r="I171" s="79"/>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ht="94.5" hidden="1" customHeight="1" x14ac:dyDescent="0.3">
      <c r="A172" s="108">
        <v>84</v>
      </c>
      <c r="B172" s="4" t="s">
        <v>61</v>
      </c>
      <c r="C172" s="4" t="s">
        <v>1153</v>
      </c>
      <c r="D172" s="29" t="s">
        <v>159</v>
      </c>
      <c r="E172" s="670" t="e">
        <f>HLOOKUP($D$2,'2020 Data(H)'!$C$1:$AB$426,48,FALSE)</f>
        <v>#N/A</v>
      </c>
      <c r="F172" s="295">
        <v>0</v>
      </c>
      <c r="G172" s="731">
        <f>IF(F172&gt;=F171,,"Error: Charges for services exceed total operating revenues. Account numbers 84&gt;=88")</f>
        <v>0</v>
      </c>
      <c r="H172" s="17"/>
      <c r="I172" s="79"/>
      <c r="Z172" s="108"/>
      <c r="AA172" s="108"/>
      <c r="AB172" s="108"/>
      <c r="AC172" s="108"/>
      <c r="AD172" s="108"/>
      <c r="AE172" s="108"/>
      <c r="AF172" s="108"/>
      <c r="AG172" s="108"/>
      <c r="AH172" s="108"/>
      <c r="AI172" s="108"/>
      <c r="AJ172" s="108"/>
      <c r="AK172" s="108"/>
      <c r="AL172" s="108"/>
      <c r="AM172" s="108"/>
      <c r="AN172" s="108"/>
      <c r="AO172" s="108"/>
      <c r="AP172" s="108"/>
      <c r="AQ172" s="108"/>
      <c r="AR172" s="108"/>
    </row>
    <row r="173" spans="1:44" ht="90" hidden="1" customHeight="1" x14ac:dyDescent="0.3">
      <c r="A173" s="108">
        <v>49</v>
      </c>
      <c r="B173" s="4" t="s">
        <v>57</v>
      </c>
      <c r="C173" s="4" t="s">
        <v>1153</v>
      </c>
      <c r="D173" s="29" t="s">
        <v>160</v>
      </c>
      <c r="E173" s="670" t="e">
        <f>HLOOKUP($D$2,'2020 Data(H)'!$C$1:$AB$426,36,FALSE)</f>
        <v>#N/A</v>
      </c>
      <c r="F173" s="295">
        <v>0</v>
      </c>
      <c r="G173" s="731">
        <f>IF(F173&lt;0,"Error: Enter as positive.",)</f>
        <v>0</v>
      </c>
      <c r="H173" s="17"/>
      <c r="I173" s="79"/>
      <c r="Z173" s="108"/>
      <c r="AA173" s="108"/>
      <c r="AB173" s="108"/>
      <c r="AC173" s="108"/>
      <c r="AD173" s="108"/>
      <c r="AE173" s="108"/>
      <c r="AF173" s="108"/>
      <c r="AG173" s="108"/>
      <c r="AH173" s="108"/>
      <c r="AI173" s="108"/>
      <c r="AJ173" s="108"/>
      <c r="AK173" s="108"/>
      <c r="AL173" s="108"/>
      <c r="AM173" s="108"/>
      <c r="AN173" s="108"/>
      <c r="AO173" s="108"/>
      <c r="AP173" s="108"/>
      <c r="AQ173" s="108"/>
      <c r="AR173" s="108"/>
    </row>
    <row r="174" spans="1:44" ht="106.5" hidden="1" customHeight="1" x14ac:dyDescent="0.3">
      <c r="A174" s="108">
        <v>85</v>
      </c>
      <c r="B174" s="4" t="s">
        <v>68</v>
      </c>
      <c r="C174" s="4" t="s">
        <v>1153</v>
      </c>
      <c r="D174" s="29" t="s">
        <v>161</v>
      </c>
      <c r="E174" s="670" t="e">
        <f>HLOOKUP($D$2,'2020 Data(H)'!$C$1:$AB$426,49,FALSE)</f>
        <v>#N/A</v>
      </c>
      <c r="F174" s="295">
        <v>0</v>
      </c>
      <c r="G174" s="731">
        <f>IF(F174&lt;0,"Error: Enter as positive.",)</f>
        <v>0</v>
      </c>
      <c r="H174" s="17"/>
      <c r="I174" s="79"/>
      <c r="Z174" s="108"/>
      <c r="AA174" s="108"/>
      <c r="AB174" s="108"/>
      <c r="AC174" s="108"/>
      <c r="AD174" s="108"/>
      <c r="AE174" s="108"/>
      <c r="AF174" s="108"/>
      <c r="AG174" s="108"/>
      <c r="AH174" s="108"/>
      <c r="AI174" s="108"/>
      <c r="AJ174" s="108"/>
      <c r="AK174" s="108"/>
      <c r="AL174" s="108"/>
      <c r="AM174" s="108"/>
      <c r="AN174" s="108"/>
      <c r="AO174" s="108"/>
      <c r="AP174" s="108"/>
      <c r="AQ174" s="108"/>
      <c r="AR174" s="108"/>
    </row>
    <row r="175" spans="1:44" ht="88.5" hidden="1" customHeight="1" x14ac:dyDescent="0.3">
      <c r="A175" s="108">
        <v>89</v>
      </c>
      <c r="B175" s="4" t="s">
        <v>56</v>
      </c>
      <c r="C175" s="4" t="s">
        <v>1153</v>
      </c>
      <c r="D175" s="29" t="s">
        <v>162</v>
      </c>
      <c r="E175" s="670" t="e">
        <f>HLOOKUP($D$2,'2020 Data(H)'!$C$1:$AB$426,51,FALSE)</f>
        <v>#N/A</v>
      </c>
      <c r="F175" s="295">
        <v>0</v>
      </c>
      <c r="G175" s="731">
        <f>IF(F175&lt;0,"Error: Enter as positive.",)</f>
        <v>0</v>
      </c>
      <c r="H175" s="17"/>
      <c r="I175" s="79"/>
      <c r="Z175" s="108"/>
      <c r="AA175" s="108"/>
      <c r="AB175" s="108"/>
      <c r="AC175" s="108"/>
      <c r="AD175" s="108"/>
      <c r="AE175" s="108"/>
      <c r="AF175" s="108"/>
      <c r="AG175" s="108"/>
      <c r="AH175" s="108"/>
      <c r="AI175" s="108"/>
      <c r="AJ175" s="108"/>
      <c r="AK175" s="108"/>
      <c r="AL175" s="108"/>
      <c r="AM175" s="108"/>
      <c r="AN175" s="108"/>
      <c r="AO175" s="108"/>
      <c r="AP175" s="108"/>
      <c r="AQ175" s="108"/>
      <c r="AR175" s="108"/>
    </row>
    <row r="176" spans="1:44" ht="100.5" hidden="1" customHeight="1" x14ac:dyDescent="0.3">
      <c r="A176" s="108">
        <v>350</v>
      </c>
      <c r="B176" s="4" t="s">
        <v>56</v>
      </c>
      <c r="C176" s="4" t="s">
        <v>1153</v>
      </c>
      <c r="D176" s="24" t="s">
        <v>1155</v>
      </c>
      <c r="E176" s="670" t="e">
        <f>HLOOKUP($D$2,'2020 Data(H)'!$C$1:$AB$426,114,FALSE)</f>
        <v>#N/A</v>
      </c>
      <c r="F176" s="295">
        <v>0</v>
      </c>
      <c r="G176" s="741"/>
      <c r="H176" s="17"/>
      <c r="I176" s="79"/>
      <c r="Z176" s="108"/>
      <c r="AA176" s="108"/>
      <c r="AB176" s="108"/>
      <c r="AC176" s="108"/>
      <c r="AD176" s="108"/>
      <c r="AE176" s="108"/>
      <c r="AF176" s="108"/>
      <c r="AG176" s="108"/>
      <c r="AH176" s="108"/>
      <c r="AI176" s="108"/>
      <c r="AJ176" s="108"/>
      <c r="AK176" s="108"/>
      <c r="AL176" s="108"/>
      <c r="AM176" s="108"/>
      <c r="AN176" s="108"/>
      <c r="AO176" s="108"/>
      <c r="AP176" s="108"/>
      <c r="AQ176" s="108"/>
      <c r="AR176" s="108"/>
    </row>
    <row r="177" spans="1:44" ht="66" hidden="1" customHeight="1" x14ac:dyDescent="0.3">
      <c r="A177" s="108">
        <v>351</v>
      </c>
      <c r="B177" s="4" t="s">
        <v>56</v>
      </c>
      <c r="C177" s="4" t="s">
        <v>1153</v>
      </c>
      <c r="D177" s="24" t="s">
        <v>1156</v>
      </c>
      <c r="E177" s="670" t="e">
        <f>HLOOKUP($D$2,'2020 Data(H)'!$C$1:$AB$426,115,FALSE)</f>
        <v>#N/A</v>
      </c>
      <c r="F177" s="295">
        <v>0</v>
      </c>
      <c r="G177" s="731">
        <f>IF(F177&lt;0,"Error: Enter as positive.",)</f>
        <v>0</v>
      </c>
      <c r="H177" s="17"/>
      <c r="I177" s="79"/>
      <c r="Z177" s="108"/>
      <c r="AA177" s="108"/>
      <c r="AB177" s="108"/>
      <c r="AC177" s="108"/>
      <c r="AD177" s="108"/>
      <c r="AE177" s="108"/>
      <c r="AF177" s="108"/>
      <c r="AG177" s="108"/>
      <c r="AH177" s="108"/>
      <c r="AI177" s="108"/>
      <c r="AJ177" s="108"/>
      <c r="AK177" s="108"/>
      <c r="AL177" s="108"/>
      <c r="AM177" s="108"/>
      <c r="AN177" s="108"/>
      <c r="AO177" s="108"/>
      <c r="AP177" s="108"/>
      <c r="AQ177" s="108"/>
      <c r="AR177" s="108"/>
    </row>
    <row r="178" spans="1:44" ht="93.75" hidden="1" customHeight="1" x14ac:dyDescent="0.3">
      <c r="A178" s="108">
        <v>191</v>
      </c>
      <c r="B178" s="4" t="s">
        <v>57</v>
      </c>
      <c r="C178" s="4" t="s">
        <v>1153</v>
      </c>
      <c r="D178" s="24" t="s">
        <v>1157</v>
      </c>
      <c r="E178" s="670" t="e">
        <f>HLOOKUP($D$2,'2020 Data(H)'!$C$1:$AB$426,72,FALSE)</f>
        <v>#N/A</v>
      </c>
      <c r="F178" s="295">
        <v>0</v>
      </c>
      <c r="G178" s="731">
        <f>IF(F178&lt;0,"Error: Enter as positive.",)</f>
        <v>0</v>
      </c>
      <c r="H178" s="17"/>
      <c r="I178" s="79"/>
      <c r="Z178" s="108"/>
      <c r="AA178" s="108"/>
      <c r="AB178" s="108"/>
      <c r="AC178" s="108"/>
      <c r="AD178" s="108"/>
      <c r="AE178" s="108"/>
      <c r="AF178" s="108"/>
      <c r="AG178" s="108"/>
      <c r="AH178" s="108"/>
      <c r="AI178" s="108"/>
      <c r="AJ178" s="108"/>
      <c r="AK178" s="108"/>
      <c r="AL178" s="108"/>
      <c r="AM178" s="108"/>
      <c r="AN178" s="108"/>
      <c r="AO178" s="108"/>
      <c r="AP178" s="108"/>
      <c r="AQ178" s="108"/>
      <c r="AR178" s="108"/>
    </row>
    <row r="179" spans="1:44" ht="98.25" hidden="1" customHeight="1" x14ac:dyDescent="0.3">
      <c r="A179" s="108">
        <v>352</v>
      </c>
      <c r="B179" s="4" t="s">
        <v>68</v>
      </c>
      <c r="C179" s="4" t="s">
        <v>1153</v>
      </c>
      <c r="D179" s="29" t="s">
        <v>998</v>
      </c>
      <c r="E179" s="670" t="e">
        <f>HLOOKUP($D$2,'2020 Data(H)'!$C$1:$AB$426,116,FALSE)</f>
        <v>#N/A</v>
      </c>
      <c r="F179" s="295">
        <v>0</v>
      </c>
      <c r="G179" s="731">
        <f>IF(F179&lt;0,"Error: Enter as positive.",)</f>
        <v>0</v>
      </c>
      <c r="H179" s="710"/>
      <c r="I179" s="17"/>
      <c r="Z179" s="108"/>
      <c r="AA179" s="108"/>
      <c r="AB179" s="108"/>
      <c r="AC179" s="108"/>
      <c r="AD179" s="108"/>
      <c r="AE179" s="108"/>
      <c r="AF179" s="108"/>
      <c r="AG179" s="108"/>
      <c r="AH179" s="108"/>
      <c r="AI179" s="108"/>
      <c r="AJ179" s="108"/>
      <c r="AK179" s="108"/>
      <c r="AL179" s="108"/>
      <c r="AM179" s="108"/>
      <c r="AN179" s="108"/>
      <c r="AO179" s="108"/>
      <c r="AP179" s="108"/>
      <c r="AQ179" s="108"/>
      <c r="AR179" s="108"/>
    </row>
    <row r="180" spans="1:44" ht="91.5" hidden="1" customHeight="1" x14ac:dyDescent="0.3">
      <c r="A180" s="108">
        <v>986</v>
      </c>
      <c r="B180" s="830" t="s">
        <v>737</v>
      </c>
      <c r="C180" s="830" t="s">
        <v>1153</v>
      </c>
      <c r="D180" s="313" t="s">
        <v>764</v>
      </c>
      <c r="E180" s="670" t="s">
        <v>738</v>
      </c>
      <c r="F180" s="295">
        <v>0</v>
      </c>
      <c r="G180" s="731">
        <f>IF(F180&lt;0,"Error: Enter as positive.",)</f>
        <v>0</v>
      </c>
      <c r="H180" s="17"/>
      <c r="I180" s="79"/>
      <c r="Z180" s="108"/>
      <c r="AA180" s="108"/>
      <c r="AB180" s="108"/>
      <c r="AC180" s="108"/>
      <c r="AD180" s="108"/>
      <c r="AE180" s="108"/>
      <c r="AF180" s="108"/>
      <c r="AG180" s="108"/>
      <c r="AH180" s="108"/>
      <c r="AI180" s="108"/>
      <c r="AJ180" s="108"/>
      <c r="AK180" s="108"/>
      <c r="AL180" s="108"/>
      <c r="AM180" s="108"/>
      <c r="AN180" s="108"/>
      <c r="AO180" s="108"/>
      <c r="AP180" s="108"/>
      <c r="AQ180" s="108"/>
      <c r="AR180" s="108"/>
    </row>
    <row r="181" spans="1:44" ht="90" hidden="1" customHeight="1" x14ac:dyDescent="0.3">
      <c r="A181" s="108">
        <v>353</v>
      </c>
      <c r="B181" s="4" t="s">
        <v>68</v>
      </c>
      <c r="C181" s="4" t="s">
        <v>1153</v>
      </c>
      <c r="D181" s="29" t="s">
        <v>143</v>
      </c>
      <c r="E181" s="670" t="e">
        <f>HLOOKUP($D$2,'2020 Data(H)'!$C$1:$AB$426,117,FALSE)</f>
        <v>#N/A</v>
      </c>
      <c r="F181" s="295">
        <v>0</v>
      </c>
      <c r="G181" s="731">
        <f>IF(F181&lt;0,"Error: Enter as positive.",)</f>
        <v>0</v>
      </c>
      <c r="H181" s="17"/>
      <c r="I181" s="79"/>
      <c r="Z181" s="108"/>
      <c r="AA181" s="108"/>
      <c r="AB181" s="108"/>
      <c r="AC181" s="108"/>
      <c r="AD181" s="108"/>
      <c r="AE181" s="108"/>
      <c r="AF181" s="108"/>
      <c r="AG181" s="108"/>
      <c r="AH181" s="108"/>
      <c r="AI181" s="108"/>
      <c r="AJ181" s="108"/>
      <c r="AK181" s="108"/>
      <c r="AL181" s="108"/>
      <c r="AM181" s="108"/>
      <c r="AN181" s="108"/>
      <c r="AO181" s="108"/>
      <c r="AP181" s="108"/>
      <c r="AQ181" s="108"/>
      <c r="AR181" s="108"/>
    </row>
    <row r="182" spans="1:44" ht="102.75" hidden="1" customHeight="1" x14ac:dyDescent="0.3">
      <c r="A182" s="108">
        <v>50</v>
      </c>
      <c r="B182" s="4" t="s">
        <v>64</v>
      </c>
      <c r="C182" s="4" t="s">
        <v>1153</v>
      </c>
      <c r="D182" s="709" t="s">
        <v>1158</v>
      </c>
      <c r="E182" s="670" t="e">
        <f>HLOOKUP($D$2,'2020 Data(H)'!$C$1:$AB$426,37,FALSE)</f>
        <v>#N/A</v>
      </c>
      <c r="F182" s="293">
        <v>0</v>
      </c>
      <c r="G182" s="731">
        <f>IF(H182=0,,"Error: Total revenues less total expenses do not equal total change in net position. Account number 84-85+350-351+191+352-353-50=0  The amount of the formula is in the cell to the right")</f>
        <v>0</v>
      </c>
      <c r="H182" s="734">
        <f>F172-F174+F176-F177+F178+F179-F181-F182</f>
        <v>0</v>
      </c>
      <c r="I182" s="79"/>
      <c r="Z182" s="108"/>
      <c r="AA182" s="108"/>
      <c r="AB182" s="108"/>
      <c r="AC182" s="108"/>
      <c r="AD182" s="108"/>
      <c r="AE182" s="108"/>
      <c r="AF182" s="108"/>
      <c r="AG182" s="108"/>
      <c r="AH182" s="108"/>
      <c r="AI182" s="108"/>
      <c r="AJ182" s="108"/>
      <c r="AK182" s="108"/>
      <c r="AL182" s="108"/>
      <c r="AM182" s="108"/>
      <c r="AN182" s="108"/>
      <c r="AO182" s="108"/>
      <c r="AP182" s="108"/>
      <c r="AQ182" s="108"/>
      <c r="AR182" s="108"/>
    </row>
    <row r="183" spans="1:44" ht="121.5" hidden="1" customHeight="1" x14ac:dyDescent="0.3">
      <c r="A183" s="108">
        <v>377</v>
      </c>
      <c r="B183" s="4" t="s">
        <v>68</v>
      </c>
      <c r="C183" s="4" t="s">
        <v>1153</v>
      </c>
      <c r="D183" s="709" t="s">
        <v>1159</v>
      </c>
      <c r="E183" s="670" t="e">
        <f>HLOOKUP($D$2,'2020 Data(H)'!$C$1:$AB$426,136,FALSE)</f>
        <v>#N/A</v>
      </c>
      <c r="F183" s="293">
        <v>0</v>
      </c>
      <c r="G183" s="731" t="e">
        <f>IF(F149-F182-F183=E149,,"Error: Beginning Balance does not agree with our records.  Acct #s (83-50-377)=prior year 83 The amount of the formula is in the cell to the right")</f>
        <v>#N/A</v>
      </c>
      <c r="H183" s="734" t="e">
        <f>+F149-F182-F183-E149</f>
        <v>#N/A</v>
      </c>
      <c r="I183" s="79"/>
      <c r="Z183" s="108"/>
      <c r="AA183" s="108"/>
      <c r="AB183" s="108"/>
      <c r="AC183" s="108"/>
      <c r="AD183" s="108"/>
      <c r="AE183" s="108"/>
      <c r="AF183" s="108"/>
      <c r="AG183" s="108"/>
      <c r="AH183" s="108"/>
      <c r="AI183" s="108"/>
      <c r="AJ183" s="108"/>
      <c r="AK183" s="108"/>
      <c r="AL183" s="108"/>
      <c r="AM183" s="108"/>
      <c r="AN183" s="108"/>
      <c r="AO183" s="108"/>
      <c r="AP183" s="108"/>
      <c r="AQ183" s="108"/>
      <c r="AR183" s="108"/>
    </row>
    <row r="184" spans="1:44" ht="97.5" hidden="1" customHeight="1" x14ac:dyDescent="0.3">
      <c r="A184" s="108">
        <v>537</v>
      </c>
      <c r="B184" s="672" t="s">
        <v>59</v>
      </c>
      <c r="C184" s="672" t="s">
        <v>1153</v>
      </c>
      <c r="D184" s="669" t="s">
        <v>1160</v>
      </c>
      <c r="E184" s="59" t="e">
        <f>HLOOKUP($D$2,'2020 Data(H)'!$C$1:$AB$426,250,FALSE)</f>
        <v>#N/A</v>
      </c>
      <c r="F184" s="295"/>
      <c r="G184" s="731"/>
      <c r="H184" s="732"/>
      <c r="I184" s="733"/>
      <c r="Z184" s="108"/>
      <c r="AA184" s="108"/>
      <c r="AB184" s="108"/>
      <c r="AC184" s="108"/>
      <c r="AD184" s="108"/>
      <c r="AE184" s="108"/>
      <c r="AF184" s="108"/>
      <c r="AG184" s="108"/>
      <c r="AH184" s="108"/>
      <c r="AI184" s="108"/>
      <c r="AJ184" s="108"/>
      <c r="AK184" s="108"/>
      <c r="AL184" s="108"/>
      <c r="AM184" s="108"/>
      <c r="AN184" s="108"/>
      <c r="AO184" s="108"/>
      <c r="AP184" s="108"/>
      <c r="AQ184" s="108"/>
      <c r="AR184" s="108"/>
    </row>
    <row r="185" spans="1:44" ht="96.75" hidden="1" customHeight="1" x14ac:dyDescent="0.3">
      <c r="A185" s="108">
        <v>538</v>
      </c>
      <c r="B185" s="672" t="s">
        <v>59</v>
      </c>
      <c r="C185" s="672" t="s">
        <v>1153</v>
      </c>
      <c r="D185" s="669" t="s">
        <v>1161</v>
      </c>
      <c r="E185" s="670" t="e">
        <f>HLOOKUP($D$2,'2020 Data(H)'!$C$1:$AB$426,251,FALSE)</f>
        <v>#N/A</v>
      </c>
      <c r="F185" s="295"/>
      <c r="G185" s="731"/>
      <c r="H185" s="732"/>
      <c r="I185" s="733"/>
      <c r="Z185" s="108"/>
      <c r="AA185" s="108"/>
      <c r="AB185" s="108"/>
      <c r="AC185" s="108"/>
      <c r="AD185" s="108"/>
      <c r="AE185" s="108"/>
      <c r="AF185" s="108"/>
      <c r="AG185" s="108"/>
      <c r="AH185" s="108"/>
      <c r="AI185" s="108"/>
      <c r="AJ185" s="108"/>
      <c r="AK185" s="108"/>
      <c r="AL185" s="108"/>
      <c r="AM185" s="108"/>
      <c r="AN185" s="108"/>
      <c r="AO185" s="108"/>
      <c r="AP185" s="108"/>
      <c r="AQ185" s="108"/>
      <c r="AR185" s="108"/>
    </row>
    <row r="186" spans="1:44" ht="26.25" hidden="1" customHeight="1" x14ac:dyDescent="0.3">
      <c r="A186" s="108"/>
      <c r="B186" s="867" t="s">
        <v>6</v>
      </c>
      <c r="C186" s="868"/>
      <c r="D186" s="843"/>
      <c r="E186" s="843"/>
      <c r="F186" s="863"/>
      <c r="G186" s="864"/>
      <c r="H186" s="17"/>
      <c r="I186" s="79"/>
      <c r="Z186" s="108"/>
      <c r="AA186" s="108"/>
      <c r="AB186" s="108"/>
      <c r="AC186" s="108"/>
      <c r="AD186" s="108"/>
      <c r="AE186" s="108"/>
      <c r="AF186" s="108"/>
      <c r="AG186" s="108"/>
      <c r="AH186" s="108"/>
      <c r="AI186" s="108"/>
      <c r="AJ186" s="108"/>
      <c r="AK186" s="108"/>
      <c r="AL186" s="108"/>
      <c r="AM186" s="108"/>
      <c r="AN186" s="108"/>
      <c r="AO186" s="108"/>
      <c r="AP186" s="108"/>
      <c r="AQ186" s="108"/>
      <c r="AR186" s="108"/>
    </row>
    <row r="187" spans="1:44" ht="112.5" hidden="1" customHeight="1" x14ac:dyDescent="0.3">
      <c r="A187" s="108">
        <v>97</v>
      </c>
      <c r="B187" s="4" t="s">
        <v>68</v>
      </c>
      <c r="C187" s="4" t="s">
        <v>1162</v>
      </c>
      <c r="D187" s="29" t="s">
        <v>163</v>
      </c>
      <c r="E187" s="670" t="e">
        <f>HLOOKUP($D$2,'2020 Data(H)'!$C$1:$AB$426,57,FALSE)</f>
        <v>#N/A</v>
      </c>
      <c r="F187" s="293">
        <v>0</v>
      </c>
      <c r="G187" s="741"/>
      <c r="H187" s="17"/>
      <c r="I187" s="79"/>
      <c r="Z187" s="108"/>
      <c r="AA187" s="108"/>
      <c r="AB187" s="108"/>
      <c r="AC187" s="108"/>
      <c r="AD187" s="108"/>
      <c r="AE187" s="108"/>
      <c r="AF187" s="108"/>
      <c r="AG187" s="108"/>
      <c r="AH187" s="108"/>
      <c r="AI187" s="108"/>
      <c r="AJ187" s="108"/>
      <c r="AK187" s="108"/>
      <c r="AL187" s="108"/>
      <c r="AM187" s="108"/>
      <c r="AN187" s="108"/>
      <c r="AO187" s="108"/>
      <c r="AP187" s="108"/>
      <c r="AQ187" s="108"/>
      <c r="AR187" s="108"/>
    </row>
    <row r="188" spans="1:44" ht="87.75" hidden="1" customHeight="1" x14ac:dyDescent="0.3">
      <c r="A188" s="108">
        <v>93</v>
      </c>
      <c r="B188" s="4" t="s">
        <v>66</v>
      </c>
      <c r="C188" s="4" t="s">
        <v>1162</v>
      </c>
      <c r="D188" s="29" t="s">
        <v>159</v>
      </c>
      <c r="E188" s="670" t="e">
        <f>HLOOKUP($D$2,'2020 Data(H)'!$C$1:$AB$426,55,FALSE)</f>
        <v>#N/A</v>
      </c>
      <c r="F188" s="294">
        <v>0</v>
      </c>
      <c r="G188" s="731">
        <f>IF(F187&gt;F188,"Error: Charges for services exceed total operating revenues. Account number 97&gt;93",)</f>
        <v>0</v>
      </c>
      <c r="H188" s="17"/>
      <c r="I188" s="79"/>
      <c r="Z188" s="108"/>
      <c r="AA188" s="108"/>
      <c r="AB188" s="108"/>
      <c r="AC188" s="108"/>
      <c r="AD188" s="108"/>
      <c r="AE188" s="108"/>
      <c r="AF188" s="108"/>
      <c r="AG188" s="108"/>
      <c r="AH188" s="108"/>
      <c r="AI188" s="108"/>
      <c r="AJ188" s="108"/>
      <c r="AK188" s="108"/>
      <c r="AL188" s="108"/>
      <c r="AM188" s="108"/>
      <c r="AN188" s="108"/>
      <c r="AO188" s="108"/>
      <c r="AP188" s="108"/>
      <c r="AQ188" s="108"/>
      <c r="AR188" s="108"/>
    </row>
    <row r="189" spans="1:44" ht="96" hidden="1" customHeight="1" x14ac:dyDescent="0.3">
      <c r="A189" s="108">
        <v>99</v>
      </c>
      <c r="B189" s="4" t="s">
        <v>58</v>
      </c>
      <c r="C189" s="4" t="s">
        <v>1162</v>
      </c>
      <c r="D189" s="29" t="s">
        <v>164</v>
      </c>
      <c r="E189" s="670" t="e">
        <f>HLOOKUP($D$2,'2020 Data(H)'!$C$1:$AB$426,59,FALSE)</f>
        <v>#N/A</v>
      </c>
      <c r="F189" s="294">
        <v>0</v>
      </c>
      <c r="G189" s="731">
        <f t="shared" ref="G189:G197" si="2">IF(F189&lt;0,"Error: Enter as positive.",)</f>
        <v>0</v>
      </c>
      <c r="H189" s="17"/>
      <c r="I189" s="79"/>
      <c r="Z189" s="108"/>
      <c r="AA189" s="108"/>
      <c r="AB189" s="108"/>
      <c r="AC189" s="108"/>
      <c r="AD189" s="108"/>
      <c r="AE189" s="108"/>
      <c r="AF189" s="108"/>
      <c r="AG189" s="108"/>
      <c r="AH189" s="108"/>
      <c r="AI189" s="108"/>
      <c r="AJ189" s="108"/>
      <c r="AK189" s="108"/>
      <c r="AL189" s="108"/>
      <c r="AM189" s="108"/>
      <c r="AN189" s="108"/>
      <c r="AO189" s="108"/>
      <c r="AP189" s="108"/>
      <c r="AQ189" s="108"/>
      <c r="AR189" s="108"/>
    </row>
    <row r="190" spans="1:44" ht="79.5" hidden="1" customHeight="1" x14ac:dyDescent="0.3">
      <c r="A190" s="108">
        <v>52</v>
      </c>
      <c r="B190" s="4" t="s">
        <v>58</v>
      </c>
      <c r="C190" s="4" t="s">
        <v>1162</v>
      </c>
      <c r="D190" s="29" t="s">
        <v>160</v>
      </c>
      <c r="E190" s="670" t="e">
        <f>HLOOKUP($D$2,'2020 Data(H)'!$C$1:$AB$426,39,FALSE)</f>
        <v>#N/A</v>
      </c>
      <c r="F190" s="294">
        <v>0</v>
      </c>
      <c r="G190" s="731">
        <f t="shared" si="2"/>
        <v>0</v>
      </c>
      <c r="H190" s="17"/>
      <c r="I190" s="79"/>
      <c r="Z190" s="108"/>
      <c r="AA190" s="108"/>
      <c r="AB190" s="108"/>
      <c r="AC190" s="108"/>
      <c r="AD190" s="108"/>
      <c r="AE190" s="108"/>
      <c r="AF190" s="108"/>
      <c r="AG190" s="108"/>
      <c r="AH190" s="108"/>
      <c r="AI190" s="108"/>
      <c r="AJ190" s="108"/>
      <c r="AK190" s="108"/>
      <c r="AL190" s="108"/>
      <c r="AM190" s="108"/>
      <c r="AN190" s="108"/>
      <c r="AO190" s="108"/>
      <c r="AP190" s="108"/>
      <c r="AQ190" s="108"/>
      <c r="AR190" s="108"/>
    </row>
    <row r="191" spans="1:44" ht="95.25" hidden="1" customHeight="1" x14ac:dyDescent="0.3">
      <c r="A191" s="108">
        <v>94</v>
      </c>
      <c r="B191" s="4" t="s">
        <v>66</v>
      </c>
      <c r="C191" s="4" t="s">
        <v>1162</v>
      </c>
      <c r="D191" s="29" t="s">
        <v>161</v>
      </c>
      <c r="E191" s="670" t="e">
        <f>HLOOKUP($D$2,'2020 Data(H)'!$C$1:$AB$426,56,FALSE)</f>
        <v>#N/A</v>
      </c>
      <c r="F191" s="294">
        <v>0</v>
      </c>
      <c r="G191" s="731">
        <f t="shared" si="2"/>
        <v>0</v>
      </c>
      <c r="H191" s="17"/>
      <c r="I191" s="79"/>
      <c r="Z191" s="108"/>
      <c r="AA191" s="108"/>
      <c r="AB191" s="108"/>
      <c r="AC191" s="108"/>
      <c r="AD191" s="108"/>
      <c r="AE191" s="108"/>
      <c r="AF191" s="108"/>
      <c r="AG191" s="108"/>
      <c r="AH191" s="108"/>
      <c r="AI191" s="108"/>
      <c r="AJ191" s="108"/>
      <c r="AK191" s="108"/>
      <c r="AL191" s="108"/>
      <c r="AM191" s="108"/>
      <c r="AN191" s="108"/>
      <c r="AO191" s="108"/>
      <c r="AP191" s="108"/>
      <c r="AQ191" s="108"/>
      <c r="AR191" s="108"/>
    </row>
    <row r="192" spans="1:44" ht="100.5" hidden="1" customHeight="1" x14ac:dyDescent="0.3">
      <c r="A192" s="108">
        <v>98</v>
      </c>
      <c r="B192" s="4" t="s">
        <v>66</v>
      </c>
      <c r="C192" s="4" t="s">
        <v>1162</v>
      </c>
      <c r="D192" s="29" t="s">
        <v>162</v>
      </c>
      <c r="E192" s="670" t="e">
        <f>HLOOKUP($D$2,'2020 Data(H)'!$C$1:$AB$426,58,FALSE)</f>
        <v>#N/A</v>
      </c>
      <c r="F192" s="294">
        <v>0</v>
      </c>
      <c r="G192" s="731">
        <f t="shared" si="2"/>
        <v>0</v>
      </c>
      <c r="H192" s="17"/>
      <c r="I192" s="79"/>
      <c r="Z192" s="108"/>
      <c r="AA192" s="108"/>
      <c r="AB192" s="108"/>
      <c r="AC192" s="108"/>
      <c r="AD192" s="108"/>
      <c r="AE192" s="108"/>
      <c r="AF192" s="108"/>
      <c r="AG192" s="108"/>
      <c r="AH192" s="108"/>
      <c r="AI192" s="108"/>
      <c r="AJ192" s="108"/>
      <c r="AK192" s="108"/>
      <c r="AL192" s="108"/>
      <c r="AM192" s="108"/>
      <c r="AN192" s="108"/>
      <c r="AO192" s="108"/>
      <c r="AP192" s="108"/>
      <c r="AQ192" s="108"/>
      <c r="AR192" s="108"/>
    </row>
    <row r="193" spans="1:44" ht="95.25" hidden="1" customHeight="1" x14ac:dyDescent="0.3">
      <c r="A193" s="108">
        <v>363</v>
      </c>
      <c r="B193" s="4" t="s">
        <v>56</v>
      </c>
      <c r="C193" s="4" t="s">
        <v>1162</v>
      </c>
      <c r="D193" s="24" t="s">
        <v>1163</v>
      </c>
      <c r="E193" s="670" t="e">
        <f>HLOOKUP($D$2,'2020 Data(H)'!$C$1:$AB$426,124,FALSE)</f>
        <v>#N/A</v>
      </c>
      <c r="F193" s="294">
        <v>0</v>
      </c>
      <c r="G193" s="731">
        <f t="shared" si="2"/>
        <v>0</v>
      </c>
      <c r="H193" s="17"/>
      <c r="I193" s="79"/>
      <c r="Z193" s="108"/>
      <c r="AA193" s="108"/>
      <c r="AB193" s="108"/>
      <c r="AC193" s="108"/>
      <c r="AD193" s="108"/>
      <c r="AE193" s="108"/>
      <c r="AF193" s="108"/>
      <c r="AG193" s="108"/>
      <c r="AH193" s="108"/>
      <c r="AI193" s="108"/>
      <c r="AJ193" s="108"/>
      <c r="AK193" s="108"/>
      <c r="AL193" s="108"/>
      <c r="AM193" s="108"/>
      <c r="AN193" s="108"/>
      <c r="AO193" s="108"/>
      <c r="AP193" s="108"/>
      <c r="AQ193" s="108"/>
      <c r="AR193" s="108"/>
    </row>
    <row r="194" spans="1:44" ht="83.25" hidden="1" customHeight="1" x14ac:dyDescent="0.3">
      <c r="A194" s="108">
        <v>364</v>
      </c>
      <c r="B194" s="4" t="s">
        <v>56</v>
      </c>
      <c r="C194" s="4" t="s">
        <v>1162</v>
      </c>
      <c r="D194" s="24" t="s">
        <v>1164</v>
      </c>
      <c r="E194" s="670" t="e">
        <f>HLOOKUP($D$2,'2020 Data(H)'!$C$1:$AB$426,125,FALSE)</f>
        <v>#N/A</v>
      </c>
      <c r="F194" s="294">
        <v>0</v>
      </c>
      <c r="G194" s="731">
        <f t="shared" si="2"/>
        <v>0</v>
      </c>
      <c r="H194" s="17"/>
      <c r="I194" s="79"/>
      <c r="Z194" s="108"/>
      <c r="AA194" s="108"/>
      <c r="AB194" s="108"/>
      <c r="AC194" s="108"/>
      <c r="AD194" s="108"/>
      <c r="AE194" s="108"/>
      <c r="AF194" s="108"/>
      <c r="AG194" s="108"/>
      <c r="AH194" s="108"/>
      <c r="AI194" s="108"/>
      <c r="AJ194" s="108"/>
      <c r="AK194" s="108"/>
      <c r="AL194" s="108"/>
      <c r="AM194" s="108"/>
      <c r="AN194" s="108"/>
      <c r="AO194" s="108"/>
      <c r="AP194" s="108"/>
      <c r="AQ194" s="108"/>
      <c r="AR194" s="108"/>
    </row>
    <row r="195" spans="1:44" ht="93" hidden="1" customHeight="1" x14ac:dyDescent="0.3">
      <c r="A195" s="108">
        <v>192</v>
      </c>
      <c r="B195" s="4" t="s">
        <v>58</v>
      </c>
      <c r="C195" s="4" t="s">
        <v>1162</v>
      </c>
      <c r="D195" s="24" t="s">
        <v>1165</v>
      </c>
      <c r="E195" s="670" t="e">
        <f>HLOOKUP($D$2,'2020 Data(H)'!$C$1:$AB$426,73,FALSE)</f>
        <v>#N/A</v>
      </c>
      <c r="F195" s="294">
        <v>0</v>
      </c>
      <c r="G195" s="731">
        <f t="shared" si="2"/>
        <v>0</v>
      </c>
      <c r="H195" s="17"/>
      <c r="I195" s="79"/>
      <c r="Z195" s="108"/>
      <c r="AA195" s="108"/>
      <c r="AB195" s="108"/>
      <c r="AC195" s="108"/>
      <c r="AD195" s="108"/>
      <c r="AE195" s="108"/>
      <c r="AF195" s="108"/>
      <c r="AG195" s="108"/>
      <c r="AH195" s="108"/>
      <c r="AI195" s="108"/>
      <c r="AJ195" s="108"/>
      <c r="AK195" s="108"/>
      <c r="AL195" s="108"/>
      <c r="AM195" s="108"/>
      <c r="AN195" s="108"/>
      <c r="AO195" s="108"/>
      <c r="AP195" s="108"/>
      <c r="AQ195" s="108"/>
      <c r="AR195" s="108"/>
    </row>
    <row r="196" spans="1:44" ht="108" hidden="1" customHeight="1" x14ac:dyDescent="0.3">
      <c r="A196" s="108">
        <v>365</v>
      </c>
      <c r="B196" s="4" t="s">
        <v>66</v>
      </c>
      <c r="C196" s="4" t="s">
        <v>1162</v>
      </c>
      <c r="D196" s="24" t="s">
        <v>1166</v>
      </c>
      <c r="E196" s="670" t="e">
        <f>HLOOKUP($D$2,'2020 Data(H)'!$C$1:$AB$426,126,FALSE)</f>
        <v>#N/A</v>
      </c>
      <c r="F196" s="294">
        <v>0</v>
      </c>
      <c r="G196" s="731">
        <f t="shared" si="2"/>
        <v>0</v>
      </c>
      <c r="H196" s="17"/>
      <c r="I196" s="79"/>
      <c r="Z196" s="108"/>
      <c r="AA196" s="108"/>
      <c r="AB196" s="108"/>
      <c r="AC196" s="108"/>
      <c r="AD196" s="108"/>
      <c r="AE196" s="108"/>
      <c r="AF196" s="108"/>
      <c r="AG196" s="108"/>
      <c r="AH196" s="108"/>
      <c r="AI196" s="108"/>
      <c r="AJ196" s="108"/>
      <c r="AK196" s="108"/>
      <c r="AL196" s="108"/>
      <c r="AM196" s="108"/>
      <c r="AN196" s="108"/>
      <c r="AO196" s="108"/>
      <c r="AP196" s="108"/>
      <c r="AQ196" s="108"/>
      <c r="AR196" s="108"/>
    </row>
    <row r="197" spans="1:44" ht="84.75" hidden="1" customHeight="1" x14ac:dyDescent="0.3">
      <c r="A197" s="108">
        <v>366</v>
      </c>
      <c r="B197" s="4" t="s">
        <v>66</v>
      </c>
      <c r="C197" s="4" t="s">
        <v>1162</v>
      </c>
      <c r="D197" s="24" t="s">
        <v>1167</v>
      </c>
      <c r="E197" s="670" t="e">
        <f>HLOOKUP($D$2,'2020 Data(H)'!$C$1:$AB$426,127,FALSE)</f>
        <v>#N/A</v>
      </c>
      <c r="F197" s="294">
        <v>0</v>
      </c>
      <c r="G197" s="731">
        <f t="shared" si="2"/>
        <v>0</v>
      </c>
      <c r="H197" s="17"/>
      <c r="I197" s="79"/>
      <c r="Z197" s="108"/>
      <c r="AA197" s="108"/>
      <c r="AB197" s="108"/>
      <c r="AC197" s="108"/>
      <c r="AD197" s="108"/>
      <c r="AE197" s="108"/>
      <c r="AF197" s="108"/>
      <c r="AG197" s="108"/>
      <c r="AH197" s="108"/>
      <c r="AI197" s="108"/>
      <c r="AJ197" s="108"/>
      <c r="AK197" s="108"/>
      <c r="AL197" s="108"/>
      <c r="AM197" s="108"/>
      <c r="AN197" s="108"/>
      <c r="AO197" s="108"/>
      <c r="AP197" s="108"/>
      <c r="AQ197" s="108"/>
      <c r="AR197" s="108"/>
    </row>
    <row r="198" spans="1:44" s="18" customFormat="1" ht="93.75" hidden="1" customHeight="1" x14ac:dyDescent="0.3">
      <c r="A198" s="108">
        <v>53</v>
      </c>
      <c r="B198" s="672" t="s">
        <v>66</v>
      </c>
      <c r="C198" s="672" t="s">
        <v>1162</v>
      </c>
      <c r="D198" s="709" t="s">
        <v>1168</v>
      </c>
      <c r="E198" s="670" t="e">
        <f>HLOOKUP($D$2,'2020 Data(H)'!$C$1:$AB$426,40,FALSE)</f>
        <v>#N/A</v>
      </c>
      <c r="F198" s="294">
        <v>0</v>
      </c>
      <c r="G198" s="731">
        <f>IF(H198=0,,"Error: Total revenues less total expenses do not equal total change in net position. Account number 93-94+363-364+192+365-366-53=0  The amount of the formula is in the cell to the right")</f>
        <v>0</v>
      </c>
      <c r="H198" s="734">
        <f>+F188-F191+F193-F194+F195+F196-F197-F198</f>
        <v>0</v>
      </c>
      <c r="I198" s="79"/>
      <c r="N198" s="296"/>
      <c r="Z198" s="108"/>
      <c r="AA198" s="108"/>
      <c r="AB198" s="108"/>
      <c r="AC198" s="108"/>
      <c r="AD198" s="108"/>
      <c r="AE198" s="108"/>
      <c r="AF198" s="108"/>
      <c r="AG198" s="108"/>
      <c r="AH198" s="108"/>
      <c r="AI198" s="108"/>
      <c r="AJ198" s="108"/>
      <c r="AK198" s="108"/>
      <c r="AL198" s="108"/>
      <c r="AM198" s="108"/>
      <c r="AN198" s="108"/>
      <c r="AO198" s="108"/>
      <c r="AP198" s="108"/>
      <c r="AQ198" s="108"/>
      <c r="AR198" s="108"/>
    </row>
    <row r="199" spans="1:44" s="18" customFormat="1" ht="135" hidden="1" customHeight="1" x14ac:dyDescent="0.3">
      <c r="A199" s="108">
        <v>378</v>
      </c>
      <c r="B199" s="5" t="s">
        <v>56</v>
      </c>
      <c r="C199" s="4" t="s">
        <v>1162</v>
      </c>
      <c r="D199" s="709" t="s">
        <v>1169</v>
      </c>
      <c r="E199" s="670" t="e">
        <f>HLOOKUP($D$2,'2020 Data(H)'!$C$1:$AB$426,137,FALSE)</f>
        <v>#N/A</v>
      </c>
      <c r="F199" s="293">
        <v>0</v>
      </c>
      <c r="G199" s="731" t="e">
        <f>IF(F168-F198-F199=E168,,"Error: Beginning Balance does not agree with our records.  Acct #s (362-53-378)=prior year 362  The amount of the formula is in the cell to the right")</f>
        <v>#N/A</v>
      </c>
      <c r="H199" s="734" t="e">
        <f>+F168-F198-F199-E168</f>
        <v>#N/A</v>
      </c>
      <c r="I199" s="79"/>
      <c r="N199" s="296"/>
      <c r="Z199" s="108"/>
      <c r="AA199" s="108"/>
      <c r="AB199" s="108"/>
      <c r="AC199" s="108"/>
      <c r="AD199" s="108"/>
      <c r="AE199" s="108"/>
      <c r="AF199" s="108"/>
      <c r="AG199" s="108"/>
      <c r="AH199" s="108"/>
      <c r="AI199" s="108"/>
      <c r="AJ199" s="108"/>
      <c r="AK199" s="108"/>
      <c r="AL199" s="108"/>
      <c r="AM199" s="108"/>
      <c r="AN199" s="108"/>
      <c r="AO199" s="108"/>
      <c r="AP199" s="108"/>
      <c r="AQ199" s="108"/>
      <c r="AR199" s="108"/>
    </row>
    <row r="200" spans="1:44" ht="30.75" hidden="1" customHeight="1" x14ac:dyDescent="0.3">
      <c r="A200" s="108"/>
      <c r="B200" s="867" t="s">
        <v>517</v>
      </c>
      <c r="C200" s="867"/>
      <c r="D200" s="870"/>
      <c r="E200" s="850"/>
      <c r="F200" s="871"/>
      <c r="G200" s="852"/>
      <c r="H200" s="17"/>
      <c r="I200" s="79"/>
      <c r="Z200" s="108"/>
      <c r="AA200" s="108"/>
      <c r="AB200" s="108"/>
      <c r="AC200" s="108"/>
      <c r="AD200" s="108"/>
      <c r="AE200" s="108"/>
      <c r="AF200" s="108"/>
      <c r="AG200" s="108"/>
      <c r="AH200" s="108"/>
      <c r="AI200" s="108"/>
      <c r="AJ200" s="108"/>
      <c r="AK200" s="108"/>
      <c r="AL200" s="108"/>
      <c r="AM200" s="108"/>
      <c r="AN200" s="108"/>
      <c r="AO200" s="108"/>
      <c r="AP200" s="108"/>
      <c r="AQ200" s="108"/>
      <c r="AR200" s="108"/>
    </row>
    <row r="201" spans="1:44" ht="13.5" hidden="1" customHeight="1" x14ac:dyDescent="0.3">
      <c r="A201" s="108"/>
      <c r="B201" s="872" t="s">
        <v>1170</v>
      </c>
      <c r="C201" s="868"/>
      <c r="D201" s="843"/>
      <c r="E201" s="843"/>
      <c r="F201" s="873"/>
      <c r="G201" s="864"/>
      <c r="H201" s="17"/>
      <c r="I201" s="79"/>
      <c r="Z201" s="108"/>
      <c r="AA201" s="108"/>
      <c r="AB201" s="108"/>
      <c r="AC201" s="108"/>
      <c r="AD201" s="108"/>
      <c r="AE201" s="108"/>
      <c r="AF201" s="108"/>
      <c r="AG201" s="108"/>
      <c r="AH201" s="108"/>
      <c r="AI201" s="108"/>
      <c r="AJ201" s="108"/>
      <c r="AK201" s="108"/>
      <c r="AL201" s="108"/>
      <c r="AM201" s="108"/>
      <c r="AN201" s="108"/>
      <c r="AO201" s="108"/>
      <c r="AP201" s="108"/>
      <c r="AQ201" s="108"/>
      <c r="AR201" s="108"/>
    </row>
    <row r="202" spans="1:44" ht="17.25" hidden="1" customHeight="1" x14ac:dyDescent="0.3">
      <c r="A202" s="108"/>
      <c r="B202" s="868" t="s">
        <v>1171</v>
      </c>
      <c r="C202" s="868"/>
      <c r="D202" s="859"/>
      <c r="E202" s="841"/>
      <c r="F202" s="874"/>
      <c r="G202" s="866"/>
      <c r="H202" s="17"/>
      <c r="I202" s="79"/>
      <c r="Z202" s="108"/>
      <c r="AA202" s="108"/>
      <c r="AB202" s="108"/>
      <c r="AC202" s="108"/>
      <c r="AD202" s="108"/>
      <c r="AE202" s="108"/>
      <c r="AF202" s="108"/>
      <c r="AG202" s="108"/>
      <c r="AH202" s="108"/>
      <c r="AI202" s="108"/>
      <c r="AJ202" s="108"/>
      <c r="AK202" s="108"/>
      <c r="AL202" s="108"/>
      <c r="AM202" s="108"/>
      <c r="AN202" s="108"/>
      <c r="AO202" s="108"/>
      <c r="AP202" s="108"/>
      <c r="AQ202" s="108"/>
      <c r="AR202" s="108"/>
    </row>
    <row r="203" spans="1:44" ht="13.5" hidden="1" customHeight="1" x14ac:dyDescent="0.3">
      <c r="A203" s="108"/>
      <c r="B203" s="868" t="s">
        <v>23</v>
      </c>
      <c r="C203" s="868"/>
      <c r="D203" s="859"/>
      <c r="E203" s="841"/>
      <c r="F203" s="874"/>
      <c r="G203" s="866"/>
      <c r="H203" s="17"/>
      <c r="I203" s="79"/>
      <c r="Z203" s="108"/>
      <c r="AA203" s="108"/>
      <c r="AB203" s="108"/>
      <c r="AC203" s="108"/>
      <c r="AD203" s="108"/>
      <c r="AE203" s="108"/>
      <c r="AF203" s="108"/>
      <c r="AG203" s="108"/>
      <c r="AH203" s="108"/>
      <c r="AI203" s="108"/>
      <c r="AJ203" s="108"/>
      <c r="AK203" s="108"/>
      <c r="AL203" s="108"/>
      <c r="AM203" s="108"/>
      <c r="AN203" s="108"/>
      <c r="AO203" s="108"/>
      <c r="AP203" s="108"/>
      <c r="AQ203" s="108"/>
      <c r="AR203" s="108"/>
    </row>
    <row r="204" spans="1:44" ht="59.25" hidden="1" customHeight="1" x14ac:dyDescent="0.3">
      <c r="A204" s="108">
        <v>51</v>
      </c>
      <c r="B204" s="4" t="s">
        <v>306</v>
      </c>
      <c r="C204" s="831" t="s">
        <v>1172</v>
      </c>
      <c r="D204" s="24" t="s">
        <v>1173</v>
      </c>
      <c r="E204" s="670" t="e">
        <f>HLOOKUP($D$2,'2020 Data(H)'!$C$1:$AB$426,38,FALSE)</f>
        <v>#N/A</v>
      </c>
      <c r="F204" s="294">
        <v>0</v>
      </c>
      <c r="G204" s="741"/>
      <c r="H204" s="17"/>
      <c r="I204" s="79"/>
      <c r="Z204" s="108"/>
      <c r="AA204" s="108"/>
      <c r="AB204" s="108"/>
      <c r="AC204" s="108"/>
      <c r="AD204" s="108"/>
      <c r="AE204" s="108"/>
      <c r="AF204" s="108"/>
      <c r="AG204" s="108"/>
      <c r="AH204" s="108"/>
      <c r="AI204" s="108"/>
      <c r="AJ204" s="108"/>
      <c r="AK204" s="108"/>
      <c r="AL204" s="108"/>
      <c r="AM204" s="108"/>
      <c r="AN204" s="108"/>
      <c r="AO204" s="108"/>
      <c r="AP204" s="108"/>
      <c r="AQ204" s="108"/>
      <c r="AR204" s="108"/>
    </row>
    <row r="205" spans="1:44" ht="45" hidden="1" customHeight="1" x14ac:dyDescent="0.3">
      <c r="A205" s="108">
        <v>332</v>
      </c>
      <c r="B205" s="4" t="s">
        <v>37</v>
      </c>
      <c r="C205" s="831" t="s">
        <v>1172</v>
      </c>
      <c r="D205" s="24" t="s">
        <v>1174</v>
      </c>
      <c r="E205" s="670" t="e">
        <f>HLOOKUP($D$2,'2020 Data(H)'!$C$1:$AB$426,98,FALSE)</f>
        <v>#N/A</v>
      </c>
      <c r="F205" s="294">
        <v>0</v>
      </c>
      <c r="G205" s="731">
        <f>IF(F205&lt;0,"Error: Enter as positive.",)</f>
        <v>0</v>
      </c>
      <c r="H205" s="17"/>
      <c r="I205" s="79"/>
      <c r="Z205" s="108"/>
      <c r="AA205" s="108"/>
      <c r="AB205" s="108"/>
      <c r="AC205" s="108"/>
      <c r="AD205" s="108"/>
      <c r="AE205" s="108"/>
      <c r="AF205" s="108"/>
      <c r="AG205" s="108"/>
      <c r="AH205" s="108"/>
      <c r="AI205" s="108"/>
      <c r="AJ205" s="108"/>
      <c r="AK205" s="108"/>
      <c r="AL205" s="108"/>
      <c r="AM205" s="108"/>
      <c r="AN205" s="108"/>
      <c r="AO205" s="108"/>
      <c r="AP205" s="108"/>
      <c r="AQ205" s="108"/>
      <c r="AR205" s="108"/>
    </row>
    <row r="206" spans="1:44" ht="63" hidden="1" customHeight="1" x14ac:dyDescent="0.3">
      <c r="A206" s="108">
        <v>331</v>
      </c>
      <c r="B206" s="4" t="s">
        <v>306</v>
      </c>
      <c r="C206" s="831" t="s">
        <v>1172</v>
      </c>
      <c r="D206" s="24" t="s">
        <v>1175</v>
      </c>
      <c r="E206" s="670" t="e">
        <f>HLOOKUP($D$2,'2020 Data(H)'!$C$1:$AB$426,97,FALSE)</f>
        <v>#N/A</v>
      </c>
      <c r="F206" s="294">
        <v>0</v>
      </c>
      <c r="G206" s="731">
        <f>IF(F206&lt;0,"Error: Enter as positive.",)</f>
        <v>0</v>
      </c>
      <c r="H206" s="17"/>
      <c r="I206" s="79"/>
      <c r="Z206" s="108"/>
      <c r="AA206" s="108"/>
      <c r="AB206" s="108"/>
      <c r="AC206" s="108"/>
      <c r="AD206" s="108"/>
      <c r="AE206" s="108"/>
      <c r="AF206" s="108"/>
      <c r="AG206" s="108"/>
      <c r="AH206" s="108"/>
      <c r="AI206" s="108"/>
      <c r="AJ206" s="108"/>
      <c r="AK206" s="108"/>
      <c r="AL206" s="108"/>
      <c r="AM206" s="108"/>
      <c r="AN206" s="108"/>
      <c r="AO206" s="108"/>
      <c r="AP206" s="108"/>
      <c r="AQ206" s="108"/>
      <c r="AR206" s="108"/>
    </row>
    <row r="207" spans="1:44" hidden="1" x14ac:dyDescent="0.3">
      <c r="A207" s="108"/>
      <c r="B207" s="867" t="s">
        <v>6</v>
      </c>
      <c r="C207" s="868"/>
      <c r="D207" s="868"/>
      <c r="E207" s="843"/>
      <c r="F207" s="873"/>
      <c r="G207" s="875"/>
      <c r="H207" s="17"/>
      <c r="I207" s="79"/>
      <c r="Z207" s="108"/>
      <c r="AA207" s="108"/>
      <c r="AB207" s="108"/>
      <c r="AC207" s="108"/>
      <c r="AD207" s="108"/>
      <c r="AE207" s="108"/>
      <c r="AF207" s="108"/>
      <c r="AG207" s="108"/>
      <c r="AH207" s="108"/>
      <c r="AI207" s="108"/>
      <c r="AJ207" s="108"/>
      <c r="AK207" s="108"/>
      <c r="AL207" s="108"/>
      <c r="AM207" s="108"/>
      <c r="AN207" s="108"/>
      <c r="AO207" s="108"/>
      <c r="AP207" s="108"/>
      <c r="AQ207" s="108"/>
      <c r="AR207" s="108"/>
    </row>
    <row r="208" spans="1:44" ht="48" hidden="1" customHeight="1" x14ac:dyDescent="0.3">
      <c r="A208" s="108">
        <v>55</v>
      </c>
      <c r="B208" s="4" t="s">
        <v>59</v>
      </c>
      <c r="C208" s="831" t="s">
        <v>1176</v>
      </c>
      <c r="D208" s="24" t="s">
        <v>1177</v>
      </c>
      <c r="E208" s="670" t="e">
        <f>HLOOKUP($D$2,'2020 Data(H)'!$C$1:$AB$426,42,FALSE)</f>
        <v>#N/A</v>
      </c>
      <c r="F208" s="294">
        <v>0</v>
      </c>
      <c r="G208" s="741"/>
      <c r="H208" s="17"/>
      <c r="I208" s="79"/>
      <c r="Z208" s="108"/>
      <c r="AA208" s="108"/>
      <c r="AB208" s="108"/>
      <c r="AC208" s="108"/>
      <c r="AD208" s="108"/>
      <c r="AE208" s="108"/>
      <c r="AF208" s="108"/>
      <c r="AG208" s="108"/>
      <c r="AH208" s="108"/>
      <c r="AI208" s="108"/>
      <c r="AJ208" s="108"/>
      <c r="AK208" s="108"/>
      <c r="AL208" s="108"/>
      <c r="AM208" s="108"/>
      <c r="AN208" s="108"/>
      <c r="AO208" s="108"/>
      <c r="AP208" s="108"/>
      <c r="AQ208" s="108"/>
      <c r="AR208" s="108"/>
    </row>
    <row r="209" spans="1:44" ht="60" hidden="1" customHeight="1" x14ac:dyDescent="0.3">
      <c r="A209" s="108">
        <v>101</v>
      </c>
      <c r="B209" s="4" t="s">
        <v>65</v>
      </c>
      <c r="C209" s="831" t="s">
        <v>1176</v>
      </c>
      <c r="D209" s="24" t="s">
        <v>1178</v>
      </c>
      <c r="E209" s="670" t="e">
        <f>HLOOKUP($D$2,'2020 Data(H)'!$C$1:$AB$426,61,FALSE)</f>
        <v>#N/A</v>
      </c>
      <c r="F209" s="294">
        <v>0</v>
      </c>
      <c r="G209" s="731">
        <f>IF(F209&lt;0,"Error: Enter as positive.",)</f>
        <v>0</v>
      </c>
      <c r="H209" s="17"/>
      <c r="I209" s="79"/>
      <c r="Z209" s="108"/>
      <c r="AA209" s="108"/>
      <c r="AB209" s="108"/>
      <c r="AC209" s="108"/>
      <c r="AD209" s="108"/>
      <c r="AE209" s="108"/>
      <c r="AF209" s="108"/>
      <c r="AG209" s="108"/>
      <c r="AH209" s="108"/>
      <c r="AI209" s="108"/>
      <c r="AJ209" s="108"/>
      <c r="AK209" s="108"/>
      <c r="AL209" s="108"/>
      <c r="AM209" s="108"/>
      <c r="AN209" s="108"/>
      <c r="AO209" s="108"/>
      <c r="AP209" s="108"/>
      <c r="AQ209" s="108"/>
      <c r="AR209" s="108"/>
    </row>
    <row r="210" spans="1:44" ht="71.25" hidden="1" customHeight="1" x14ac:dyDescent="0.3">
      <c r="A210" s="108">
        <v>100</v>
      </c>
      <c r="B210" s="4" t="s">
        <v>66</v>
      </c>
      <c r="C210" s="831" t="s">
        <v>1176</v>
      </c>
      <c r="D210" s="24" t="s">
        <v>1175</v>
      </c>
      <c r="E210" s="670" t="e">
        <f>HLOOKUP($D$2,'2020 Data(H)'!$C$1:$AB$426,60,FALSE)</f>
        <v>#N/A</v>
      </c>
      <c r="F210" s="294">
        <v>0</v>
      </c>
      <c r="G210" s="731">
        <f>IF(F210&lt;0,"Error: Enter as positive.",)</f>
        <v>0</v>
      </c>
      <c r="H210" s="17"/>
      <c r="I210" s="79"/>
      <c r="Z210" s="108"/>
      <c r="AA210" s="108"/>
      <c r="AB210" s="108"/>
      <c r="AC210" s="108"/>
      <c r="AD210" s="108"/>
      <c r="AE210" s="108"/>
      <c r="AF210" s="108"/>
      <c r="AG210" s="108"/>
      <c r="AH210" s="108"/>
      <c r="AI210" s="108"/>
      <c r="AJ210" s="108"/>
      <c r="AK210" s="108"/>
      <c r="AL210" s="108"/>
      <c r="AM210" s="108"/>
      <c r="AN210" s="108"/>
      <c r="AO210" s="108"/>
      <c r="AP210" s="108"/>
      <c r="AQ210" s="108"/>
      <c r="AR210" s="108"/>
    </row>
    <row r="211" spans="1:44" hidden="1" x14ac:dyDescent="0.3">
      <c r="A211" s="108"/>
      <c r="B211" s="843" t="s">
        <v>71</v>
      </c>
      <c r="C211" s="859"/>
      <c r="D211" s="843"/>
      <c r="E211" s="843"/>
      <c r="F211" s="876"/>
      <c r="G211" s="862"/>
      <c r="H211" s="17"/>
      <c r="I211" s="79"/>
      <c r="J211" s="576"/>
      <c r="Z211" s="108"/>
      <c r="AA211" s="108"/>
      <c r="AB211" s="108"/>
      <c r="AC211" s="108"/>
      <c r="AD211" s="108"/>
      <c r="AE211" s="108"/>
      <c r="AF211" s="108"/>
      <c r="AG211" s="108"/>
      <c r="AH211" s="108"/>
      <c r="AI211" s="108"/>
      <c r="AJ211" s="108"/>
      <c r="AK211" s="108"/>
      <c r="AL211" s="108"/>
      <c r="AM211" s="108"/>
      <c r="AN211" s="108"/>
      <c r="AO211" s="108"/>
      <c r="AP211" s="108"/>
      <c r="AQ211" s="108"/>
      <c r="AR211" s="108"/>
    </row>
    <row r="212" spans="1:44" ht="106.5" hidden="1" customHeight="1" x14ac:dyDescent="0.3">
      <c r="A212" s="108">
        <v>512</v>
      </c>
      <c r="B212" s="560"/>
      <c r="C212" s="831" t="s">
        <v>165</v>
      </c>
      <c r="D212" s="24" t="s">
        <v>1179</v>
      </c>
      <c r="E212" s="670" t="e">
        <f>HLOOKUP($D$2,'2020 Data(H)'!$C$1:$AB$426,162,FALSE)</f>
        <v>#N/A</v>
      </c>
      <c r="F212" s="294">
        <v>0</v>
      </c>
      <c r="G212" s="731">
        <f>IF(F212&lt;0,"Error: Enter as positive.",)</f>
        <v>0</v>
      </c>
      <c r="H212" s="17"/>
      <c r="I212" s="79"/>
      <c r="J212" s="576"/>
      <c r="Z212" s="108"/>
      <c r="AA212" s="108"/>
      <c r="AB212" s="108"/>
      <c r="AC212" s="108"/>
      <c r="AD212" s="108"/>
      <c r="AE212" s="108"/>
      <c r="AF212" s="108"/>
      <c r="AG212" s="108"/>
      <c r="AH212" s="108"/>
      <c r="AI212" s="108"/>
      <c r="AJ212" s="108"/>
      <c r="AK212" s="108"/>
      <c r="AL212" s="108"/>
      <c r="AM212" s="108"/>
      <c r="AN212" s="108"/>
      <c r="AO212" s="108"/>
      <c r="AP212" s="108"/>
      <c r="AQ212" s="108"/>
      <c r="AR212" s="108"/>
    </row>
    <row r="213" spans="1:44" hidden="1" x14ac:dyDescent="0.3">
      <c r="A213" s="108"/>
      <c r="B213" s="867" t="s">
        <v>503</v>
      </c>
      <c r="C213" s="868"/>
      <c r="D213" s="870"/>
      <c r="E213" s="877"/>
      <c r="F213" s="876"/>
      <c r="G213" s="862"/>
      <c r="H213" s="732"/>
      <c r="I213" s="733"/>
      <c r="Z213" s="108"/>
      <c r="AA213" s="108"/>
      <c r="AB213" s="108"/>
      <c r="AC213" s="108"/>
      <c r="AD213" s="108"/>
      <c r="AE213" s="108"/>
      <c r="AF213" s="108"/>
      <c r="AG213" s="108"/>
      <c r="AH213" s="108"/>
      <c r="AI213" s="108"/>
      <c r="AJ213" s="108"/>
      <c r="AK213" s="108"/>
      <c r="AL213" s="108"/>
      <c r="AM213" s="108"/>
      <c r="AN213" s="108"/>
      <c r="AO213" s="108"/>
      <c r="AP213" s="108"/>
      <c r="AQ213" s="108"/>
      <c r="AR213" s="108"/>
    </row>
    <row r="214" spans="1:44" ht="59.25" hidden="1" customHeight="1" x14ac:dyDescent="0.3">
      <c r="A214" s="308">
        <v>656</v>
      </c>
      <c r="B214" s="308"/>
      <c r="C214" s="308"/>
      <c r="D214" s="757" t="s">
        <v>504</v>
      </c>
      <c r="E214" s="670" t="e">
        <f>HLOOKUP($D$2,'2020 Data(H)'!$C$1:$AB$426,309,FALSE)</f>
        <v>#N/A</v>
      </c>
      <c r="F214" s="294">
        <v>0</v>
      </c>
      <c r="G214" s="731"/>
      <c r="H214" s="17"/>
      <c r="I214" s="79"/>
      <c r="J214" s="576"/>
      <c r="Z214" s="308"/>
      <c r="AA214" s="308"/>
      <c r="AB214" s="308"/>
      <c r="AC214" s="308"/>
      <c r="AD214" s="308"/>
      <c r="AE214" s="308"/>
      <c r="AF214" s="308"/>
      <c r="AG214" s="308"/>
      <c r="AH214" s="308"/>
      <c r="AI214" s="308"/>
      <c r="AJ214" s="308"/>
      <c r="AK214" s="308"/>
      <c r="AL214" s="308"/>
      <c r="AM214" s="308"/>
      <c r="AN214" s="308"/>
      <c r="AO214" s="308"/>
      <c r="AP214" s="308"/>
      <c r="AQ214" s="308"/>
      <c r="AR214" s="308"/>
    </row>
    <row r="215" spans="1:44" hidden="1" x14ac:dyDescent="0.3">
      <c r="A215" s="108"/>
      <c r="B215" s="867" t="s">
        <v>309</v>
      </c>
      <c r="C215" s="868"/>
      <c r="D215" s="870"/>
      <c r="E215" s="877"/>
      <c r="F215" s="876"/>
      <c r="G215" s="862"/>
      <c r="H215" s="732"/>
      <c r="I215" s="733"/>
      <c r="Z215" s="108"/>
      <c r="AA215" s="108"/>
      <c r="AB215" s="108"/>
      <c r="AC215" s="108"/>
      <c r="AD215" s="108"/>
      <c r="AE215" s="108"/>
      <c r="AF215" s="108"/>
      <c r="AG215" s="108"/>
      <c r="AH215" s="108"/>
      <c r="AI215" s="108"/>
      <c r="AJ215" s="108"/>
      <c r="AK215" s="108"/>
      <c r="AL215" s="108"/>
      <c r="AM215" s="108"/>
      <c r="AN215" s="108"/>
      <c r="AO215" s="108"/>
      <c r="AP215" s="108"/>
      <c r="AQ215" s="108"/>
      <c r="AR215" s="108"/>
    </row>
    <row r="216" spans="1:44" ht="121.5" hidden="1" customHeight="1" x14ac:dyDescent="0.3">
      <c r="A216" s="108">
        <v>535</v>
      </c>
      <c r="B216" s="672" t="s">
        <v>55</v>
      </c>
      <c r="C216" s="672" t="s">
        <v>166</v>
      </c>
      <c r="D216" s="24" t="s">
        <v>1180</v>
      </c>
      <c r="E216" s="670" t="e">
        <f>HLOOKUP($D$2,'2020 Data(H)'!$C$1:$AB$426,185,FALSE)</f>
        <v>#N/A</v>
      </c>
      <c r="F216" s="294">
        <v>0</v>
      </c>
      <c r="G216" s="731" t="str">
        <f>IF(F216&lt;1,"Reminder: Please make sure you have entered all cash and investments from bond/Debt proceeds, if applicable.",)</f>
        <v>Reminder: Please make sure you have entered all cash and investments from bond/Debt proceeds, if applicable.</v>
      </c>
      <c r="H216" s="732"/>
      <c r="I216" s="733"/>
      <c r="Z216" s="108"/>
      <c r="AA216" s="108"/>
      <c r="AB216" s="108"/>
      <c r="AC216" s="108"/>
      <c r="AD216" s="108"/>
      <c r="AE216" s="108"/>
      <c r="AF216" s="108"/>
      <c r="AG216" s="108"/>
      <c r="AH216" s="108"/>
      <c r="AI216" s="108"/>
      <c r="AJ216" s="108"/>
      <c r="AK216" s="108"/>
      <c r="AL216" s="108"/>
      <c r="AM216" s="108"/>
      <c r="AN216" s="108"/>
      <c r="AO216" s="108"/>
      <c r="AP216" s="108"/>
      <c r="AQ216" s="108"/>
      <c r="AR216" s="108"/>
    </row>
    <row r="217" spans="1:44" hidden="1" x14ac:dyDescent="0.3">
      <c r="A217" s="108"/>
      <c r="B217" s="867" t="s">
        <v>29</v>
      </c>
      <c r="C217" s="868"/>
      <c r="D217" s="844"/>
      <c r="E217" s="844"/>
      <c r="F217" s="873"/>
      <c r="G217" s="864"/>
      <c r="H217" s="17"/>
      <c r="I217" s="79"/>
      <c r="Z217" s="108"/>
      <c r="AA217" s="108"/>
      <c r="AB217" s="108"/>
      <c r="AC217" s="108"/>
      <c r="AD217" s="108"/>
      <c r="AE217" s="108"/>
      <c r="AF217" s="108"/>
      <c r="AG217" s="108"/>
      <c r="AH217" s="108"/>
      <c r="AI217" s="108"/>
      <c r="AJ217" s="108"/>
      <c r="AK217" s="108"/>
      <c r="AL217" s="108"/>
      <c r="AM217" s="108"/>
      <c r="AN217" s="108"/>
      <c r="AO217" s="108"/>
      <c r="AP217" s="108"/>
      <c r="AQ217" s="108"/>
      <c r="AR217" s="108"/>
    </row>
    <row r="218" spans="1:44" hidden="1" x14ac:dyDescent="0.3">
      <c r="A218" s="108"/>
      <c r="B218" s="560"/>
      <c r="C218" s="560"/>
      <c r="D218" s="758" t="s">
        <v>2</v>
      </c>
      <c r="E218" s="1"/>
      <c r="F218" s="164"/>
      <c r="G218" s="741"/>
      <c r="H218" s="17"/>
      <c r="I218" s="79"/>
      <c r="Z218" s="108"/>
      <c r="AA218" s="108"/>
      <c r="AB218" s="108"/>
      <c r="AC218" s="108"/>
      <c r="AD218" s="108"/>
      <c r="AE218" s="108"/>
      <c r="AF218" s="108"/>
      <c r="AG218" s="108"/>
      <c r="AH218" s="108"/>
      <c r="AI218" s="108"/>
      <c r="AJ218" s="108"/>
      <c r="AK218" s="108"/>
      <c r="AL218" s="108"/>
      <c r="AM218" s="108"/>
      <c r="AN218" s="108"/>
      <c r="AO218" s="108"/>
      <c r="AP218" s="108"/>
      <c r="AQ218" s="108"/>
      <c r="AR218" s="108"/>
    </row>
    <row r="219" spans="1:44" ht="36" hidden="1" customHeight="1" x14ac:dyDescent="0.3">
      <c r="A219" s="108"/>
      <c r="B219" s="560"/>
      <c r="C219" s="560"/>
      <c r="D219" s="671" t="s">
        <v>1181</v>
      </c>
      <c r="E219" s="1"/>
      <c r="F219" s="164"/>
      <c r="G219" s="741"/>
      <c r="H219" s="17"/>
      <c r="I219" s="79"/>
      <c r="Z219" s="108"/>
      <c r="AA219" s="108"/>
      <c r="AB219" s="108"/>
      <c r="AC219" s="108"/>
      <c r="AD219" s="108"/>
      <c r="AE219" s="108"/>
      <c r="AF219" s="108"/>
      <c r="AG219" s="108"/>
      <c r="AH219" s="108"/>
      <c r="AI219" s="108"/>
      <c r="AJ219" s="108"/>
      <c r="AK219" s="108"/>
      <c r="AL219" s="108"/>
      <c r="AM219" s="108"/>
      <c r="AN219" s="108"/>
      <c r="AO219" s="108"/>
      <c r="AP219" s="108"/>
      <c r="AQ219" s="108"/>
      <c r="AR219" s="108"/>
    </row>
    <row r="220" spans="1:44" ht="45.6" hidden="1" customHeight="1" x14ac:dyDescent="0.3">
      <c r="A220" s="108">
        <v>334</v>
      </c>
      <c r="B220" s="4" t="s">
        <v>56</v>
      </c>
      <c r="C220" s="4" t="s">
        <v>173</v>
      </c>
      <c r="D220" s="24" t="s">
        <v>1182</v>
      </c>
      <c r="E220" s="670" t="e">
        <f>HLOOKUP($D$2,'2020 Data(H)'!$C$1:$AB$426,100,FALSE)</f>
        <v>#N/A</v>
      </c>
      <c r="F220" s="294">
        <v>0</v>
      </c>
      <c r="G220" s="741"/>
      <c r="H220" s="17"/>
      <c r="I220" s="79"/>
      <c r="Z220" s="108"/>
      <c r="AA220" s="108"/>
      <c r="AB220" s="108"/>
      <c r="AC220" s="108"/>
      <c r="AD220" s="108"/>
      <c r="AE220" s="108"/>
      <c r="AF220" s="108"/>
      <c r="AG220" s="108"/>
      <c r="AH220" s="108"/>
      <c r="AI220" s="108"/>
      <c r="AJ220" s="108"/>
      <c r="AK220" s="108"/>
      <c r="AL220" s="108"/>
      <c r="AM220" s="108"/>
      <c r="AN220" s="108"/>
      <c r="AO220" s="108"/>
      <c r="AP220" s="108"/>
      <c r="AQ220" s="108"/>
      <c r="AR220" s="108"/>
    </row>
    <row r="221" spans="1:44" ht="45.6" hidden="1" customHeight="1" x14ac:dyDescent="0.3">
      <c r="A221" s="108">
        <v>373</v>
      </c>
      <c r="B221" s="4" t="s">
        <v>56</v>
      </c>
      <c r="C221" s="4" t="s">
        <v>173</v>
      </c>
      <c r="D221" s="29" t="s">
        <v>172</v>
      </c>
      <c r="E221" s="670" t="e">
        <f>HLOOKUP($D$2,'2020 Data(H)'!$C$1:$AB$426,133,FALSE)</f>
        <v>#N/A</v>
      </c>
      <c r="F221" s="294">
        <v>0</v>
      </c>
      <c r="G221" s="731">
        <f>IF(F221&lt;0,"Error: Enter as positive.",)</f>
        <v>0</v>
      </c>
      <c r="H221" s="17"/>
      <c r="I221" s="79"/>
      <c r="Z221" s="108"/>
      <c r="AA221" s="108"/>
      <c r="AB221" s="108"/>
      <c r="AC221" s="108"/>
      <c r="AD221" s="108"/>
      <c r="AE221" s="108"/>
      <c r="AF221" s="108"/>
      <c r="AG221" s="108"/>
      <c r="AH221" s="108"/>
      <c r="AI221" s="108"/>
      <c r="AJ221" s="108"/>
      <c r="AK221" s="108"/>
      <c r="AL221" s="108"/>
      <c r="AM221" s="108"/>
      <c r="AN221" s="108"/>
      <c r="AO221" s="108"/>
      <c r="AP221" s="108"/>
      <c r="AQ221" s="108"/>
      <c r="AR221" s="108"/>
    </row>
    <row r="222" spans="1:44" ht="92.25" hidden="1" customHeight="1" x14ac:dyDescent="0.3">
      <c r="A222" s="108">
        <v>987</v>
      </c>
      <c r="B222" s="830" t="s">
        <v>737</v>
      </c>
      <c r="C222" s="830"/>
      <c r="D222" s="759" t="s">
        <v>983</v>
      </c>
      <c r="E222" s="670" t="s">
        <v>738</v>
      </c>
      <c r="F222" s="294">
        <v>0</v>
      </c>
      <c r="G222" s="760" t="str">
        <f>IF(F222="","If this question is not applicable please place a zero in the cell to the left","")</f>
        <v/>
      </c>
      <c r="H222" s="710"/>
      <c r="I222" s="79"/>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66.75" hidden="1" customHeight="1" x14ac:dyDescent="0.3">
      <c r="A223" s="108">
        <v>988</v>
      </c>
      <c r="B223" s="830" t="s">
        <v>737</v>
      </c>
      <c r="C223" s="830"/>
      <c r="D223" s="759" t="s">
        <v>981</v>
      </c>
      <c r="E223" s="670" t="s">
        <v>738</v>
      </c>
      <c r="F223" s="294"/>
      <c r="G223" s="731"/>
      <c r="H223" s="17"/>
      <c r="I223" s="79"/>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90" hidden="1" customHeight="1" x14ac:dyDescent="0.3">
      <c r="A224" s="108">
        <v>989</v>
      </c>
      <c r="B224" s="830" t="s">
        <v>737</v>
      </c>
      <c r="C224" s="830"/>
      <c r="D224" s="759" t="s">
        <v>1237</v>
      </c>
      <c r="E224" s="670" t="s">
        <v>765</v>
      </c>
      <c r="F224" s="294"/>
      <c r="G224" s="731"/>
      <c r="H224" s="17"/>
      <c r="I224" s="79"/>
      <c r="Z224" s="108"/>
      <c r="AA224" s="108"/>
      <c r="AB224" s="108"/>
      <c r="AC224" s="108"/>
      <c r="AD224" s="108"/>
      <c r="AE224" s="108"/>
      <c r="AF224" s="108"/>
      <c r="AG224" s="108"/>
      <c r="AH224" s="108"/>
      <c r="AI224" s="108"/>
      <c r="AJ224" s="108"/>
      <c r="AK224" s="108"/>
      <c r="AL224" s="108"/>
      <c r="AM224" s="108"/>
      <c r="AN224" s="108"/>
      <c r="AO224" s="108"/>
      <c r="AP224" s="108"/>
      <c r="AQ224" s="108"/>
      <c r="AR224" s="108"/>
    </row>
    <row r="225" spans="1:44" hidden="1" x14ac:dyDescent="0.3">
      <c r="A225" s="108"/>
      <c r="B225" s="878"/>
      <c r="C225" s="878"/>
      <c r="D225" s="879"/>
      <c r="E225" s="880"/>
      <c r="F225" s="881"/>
      <c r="G225" s="882"/>
      <c r="H225" s="17"/>
      <c r="I225" s="79"/>
      <c r="Z225" s="108"/>
      <c r="AA225" s="108"/>
      <c r="AB225" s="108"/>
      <c r="AC225" s="108"/>
      <c r="AD225" s="108"/>
      <c r="AE225" s="108"/>
      <c r="AF225" s="108"/>
      <c r="AG225" s="108"/>
      <c r="AH225" s="108"/>
      <c r="AI225" s="108"/>
      <c r="AJ225" s="108"/>
      <c r="AK225" s="108"/>
      <c r="AL225" s="108"/>
      <c r="AM225" s="108"/>
      <c r="AN225" s="108"/>
      <c r="AO225" s="108"/>
      <c r="AP225" s="108"/>
      <c r="AQ225" s="108"/>
      <c r="AR225" s="108"/>
    </row>
    <row r="226" spans="1:44" ht="108" hidden="1" customHeight="1" x14ac:dyDescent="0.3">
      <c r="A226" s="108"/>
      <c r="B226" s="560"/>
      <c r="C226" s="560"/>
      <c r="D226" s="761" t="s">
        <v>1183</v>
      </c>
      <c r="E226" s="1"/>
      <c r="F226" s="375"/>
      <c r="G226" s="741"/>
      <c r="H226" s="17"/>
      <c r="I226" s="79"/>
      <c r="Z226" s="108"/>
      <c r="AA226" s="108"/>
      <c r="AB226" s="108"/>
      <c r="AC226" s="108"/>
      <c r="AD226" s="108"/>
      <c r="AE226" s="108"/>
      <c r="AF226" s="108"/>
      <c r="AG226" s="108"/>
      <c r="AH226" s="108"/>
      <c r="AI226" s="108"/>
      <c r="AJ226" s="108"/>
      <c r="AK226" s="108"/>
      <c r="AL226" s="108"/>
      <c r="AM226" s="108"/>
      <c r="AN226" s="108"/>
      <c r="AO226" s="108"/>
      <c r="AP226" s="108"/>
      <c r="AQ226" s="108"/>
      <c r="AR226" s="108"/>
    </row>
    <row r="227" spans="1:44" ht="48.75" hidden="1" customHeight="1" x14ac:dyDescent="0.3">
      <c r="A227" s="108"/>
      <c r="B227" s="560"/>
      <c r="C227" s="560"/>
      <c r="D227" s="24" t="s">
        <v>1184</v>
      </c>
      <c r="E227" s="1"/>
      <c r="F227" s="375"/>
      <c r="G227" s="741"/>
      <c r="H227" s="17"/>
      <c r="I227" s="79"/>
      <c r="Z227" s="108"/>
      <c r="AA227" s="108"/>
      <c r="AB227" s="108"/>
      <c r="AC227" s="108"/>
      <c r="AD227" s="108"/>
      <c r="AE227" s="108"/>
      <c r="AF227" s="108"/>
      <c r="AG227" s="108"/>
      <c r="AH227" s="108"/>
      <c r="AI227" s="108"/>
      <c r="AJ227" s="108"/>
      <c r="AK227" s="108"/>
      <c r="AL227" s="108"/>
      <c r="AM227" s="108"/>
      <c r="AN227" s="108"/>
      <c r="AO227" s="108"/>
      <c r="AP227" s="108"/>
      <c r="AQ227" s="108"/>
      <c r="AR227" s="108"/>
    </row>
    <row r="228" spans="1:44" ht="51.75" hidden="1" customHeight="1" x14ac:dyDescent="0.3">
      <c r="A228" s="108">
        <v>327</v>
      </c>
      <c r="B228" s="672" t="s">
        <v>37</v>
      </c>
      <c r="C228" s="672" t="s">
        <v>174</v>
      </c>
      <c r="D228" s="762" t="s">
        <v>1185</v>
      </c>
      <c r="E228" s="670" t="e">
        <f>HLOOKUP($D$2,'2020 Data(H)'!$C$1:$AB$426,94,FALSE)</f>
        <v>#N/A</v>
      </c>
      <c r="F228" s="274">
        <v>0</v>
      </c>
      <c r="G228" s="741"/>
      <c r="H228" s="17"/>
      <c r="I228" s="733"/>
      <c r="Z228" s="108"/>
      <c r="AA228" s="108"/>
      <c r="AB228" s="108"/>
      <c r="AC228" s="108"/>
      <c r="AD228" s="108"/>
      <c r="AE228" s="108"/>
      <c r="AF228" s="108"/>
      <c r="AG228" s="108"/>
      <c r="AH228" s="108"/>
      <c r="AI228" s="108"/>
      <c r="AJ228" s="108"/>
      <c r="AK228" s="108"/>
      <c r="AL228" s="108"/>
      <c r="AM228" s="108"/>
      <c r="AN228" s="108"/>
      <c r="AO228" s="108"/>
      <c r="AP228" s="108"/>
      <c r="AQ228" s="108"/>
      <c r="AR228" s="108"/>
    </row>
    <row r="229" spans="1:44" ht="51.75" hidden="1" customHeight="1" x14ac:dyDescent="0.3">
      <c r="A229" s="108">
        <v>328</v>
      </c>
      <c r="B229" s="672" t="s">
        <v>37</v>
      </c>
      <c r="C229" s="672" t="s">
        <v>174</v>
      </c>
      <c r="D229" s="30" t="s">
        <v>7</v>
      </c>
      <c r="E229" s="670" t="e">
        <f>HLOOKUP($D$2,'2020 Data(H)'!$C$1:$AB$426,95,FALSE)</f>
        <v>#N/A</v>
      </c>
      <c r="F229" s="274">
        <v>0</v>
      </c>
      <c r="G229" s="741"/>
      <c r="H229" s="17"/>
      <c r="I229" s="733"/>
      <c r="Z229" s="108"/>
      <c r="AA229" s="108"/>
      <c r="AB229" s="108"/>
      <c r="AC229" s="108"/>
      <c r="AD229" s="108"/>
      <c r="AE229" s="108"/>
      <c r="AF229" s="108"/>
      <c r="AG229" s="108"/>
      <c r="AH229" s="108"/>
      <c r="AI229" s="108"/>
      <c r="AJ229" s="108"/>
      <c r="AK229" s="108"/>
      <c r="AL229" s="108"/>
      <c r="AM229" s="108"/>
      <c r="AN229" s="108"/>
      <c r="AO229" s="108"/>
      <c r="AP229" s="108"/>
      <c r="AQ229" s="108"/>
      <c r="AR229" s="108"/>
    </row>
    <row r="230" spans="1:44" ht="42" hidden="1" customHeight="1" x14ac:dyDescent="0.3">
      <c r="A230" s="108"/>
      <c r="B230" s="560"/>
      <c r="C230" s="560"/>
      <c r="D230" s="31" t="s">
        <v>1186</v>
      </c>
      <c r="E230" s="101" t="e">
        <f>SUM(E228:E229)</f>
        <v>#N/A</v>
      </c>
      <c r="F230" s="101">
        <f>SUM(F228:F229)</f>
        <v>0</v>
      </c>
      <c r="G230" s="741"/>
      <c r="H230" s="17"/>
      <c r="I230" s="79"/>
      <c r="Z230" s="108"/>
      <c r="AA230" s="108"/>
      <c r="AB230" s="108"/>
      <c r="AC230" s="108"/>
      <c r="AD230" s="108"/>
      <c r="AE230" s="108"/>
      <c r="AF230" s="108"/>
      <c r="AG230" s="108"/>
      <c r="AH230" s="108"/>
      <c r="AI230" s="108"/>
      <c r="AJ230" s="108"/>
      <c r="AK230" s="108"/>
      <c r="AL230" s="108"/>
      <c r="AM230" s="108"/>
      <c r="AN230" s="108"/>
      <c r="AO230" s="108"/>
      <c r="AP230" s="108"/>
      <c r="AQ230" s="108"/>
      <c r="AR230" s="108"/>
    </row>
    <row r="231" spans="1:44" ht="28.8" hidden="1" x14ac:dyDescent="0.3">
      <c r="A231" s="108"/>
      <c r="B231" s="560"/>
      <c r="C231" s="560"/>
      <c r="D231" s="24" t="s">
        <v>1187</v>
      </c>
      <c r="E231" s="1"/>
      <c r="F231" s="375"/>
      <c r="G231" s="741"/>
      <c r="H231" s="17"/>
      <c r="I231" s="79"/>
      <c r="Z231" s="108"/>
      <c r="AA231" s="108"/>
      <c r="AB231" s="108"/>
      <c r="AC231" s="108"/>
      <c r="AD231" s="108"/>
      <c r="AE231" s="108"/>
      <c r="AF231" s="108"/>
      <c r="AG231" s="108"/>
      <c r="AH231" s="108"/>
      <c r="AI231" s="108"/>
      <c r="AJ231" s="108"/>
      <c r="AK231" s="108"/>
      <c r="AL231" s="108"/>
      <c r="AM231" s="108"/>
      <c r="AN231" s="108"/>
      <c r="AO231" s="108"/>
      <c r="AP231" s="108"/>
      <c r="AQ231" s="108"/>
      <c r="AR231" s="108"/>
    </row>
    <row r="232" spans="1:44" ht="24" hidden="1" customHeight="1" x14ac:dyDescent="0.3">
      <c r="A232" s="108"/>
      <c r="B232" s="560"/>
      <c r="C232" s="560"/>
      <c r="D232" s="28" t="s">
        <v>9</v>
      </c>
      <c r="F232" s="763"/>
      <c r="G232" s="741"/>
      <c r="H232" s="17"/>
      <c r="I232" s="79"/>
      <c r="Z232" s="108"/>
      <c r="AA232" s="108"/>
      <c r="AB232" s="108"/>
      <c r="AC232" s="108"/>
      <c r="AD232" s="108"/>
      <c r="AE232" s="108"/>
      <c r="AF232" s="108"/>
      <c r="AG232" s="108"/>
      <c r="AH232" s="108"/>
      <c r="AI232" s="108"/>
      <c r="AJ232" s="108"/>
      <c r="AK232" s="108"/>
      <c r="AL232" s="108"/>
      <c r="AM232" s="108"/>
      <c r="AN232" s="108"/>
      <c r="AO232" s="108"/>
      <c r="AP232" s="108"/>
      <c r="AQ232" s="108"/>
      <c r="AR232" s="108"/>
    </row>
    <row r="233" spans="1:44" ht="52.5" hidden="1" customHeight="1" x14ac:dyDescent="0.3">
      <c r="A233" s="108">
        <v>515</v>
      </c>
      <c r="B233" s="672" t="s">
        <v>305</v>
      </c>
      <c r="C233" s="672" t="s">
        <v>175</v>
      </c>
      <c r="D233" s="32" t="s">
        <v>3</v>
      </c>
      <c r="E233" s="670" t="e">
        <f>HLOOKUP($D$2,'2020 Data(H)'!$C$1:$AB$426,165,FALSE)</f>
        <v>#N/A</v>
      </c>
      <c r="F233" s="294">
        <v>0</v>
      </c>
      <c r="G233" s="731"/>
      <c r="H233" s="17"/>
      <c r="I233" s="79"/>
      <c r="Z233" s="108"/>
      <c r="AA233" s="108"/>
      <c r="AB233" s="108"/>
      <c r="AC233" s="108"/>
      <c r="AD233" s="108"/>
      <c r="AE233" s="108"/>
      <c r="AF233" s="108"/>
      <c r="AG233" s="108"/>
      <c r="AH233" s="108"/>
      <c r="AI233" s="108"/>
      <c r="AJ233" s="108"/>
      <c r="AK233" s="108"/>
      <c r="AL233" s="108"/>
      <c r="AM233" s="108"/>
      <c r="AN233" s="108"/>
      <c r="AO233" s="108"/>
      <c r="AP233" s="108"/>
      <c r="AQ233" s="108"/>
      <c r="AR233" s="108"/>
    </row>
    <row r="234" spans="1:44" ht="57" hidden="1" customHeight="1" x14ac:dyDescent="0.3">
      <c r="A234" s="108">
        <v>516</v>
      </c>
      <c r="B234" s="672" t="s">
        <v>305</v>
      </c>
      <c r="C234" s="672" t="s">
        <v>175</v>
      </c>
      <c r="D234" s="32" t="s">
        <v>4</v>
      </c>
      <c r="E234" s="670" t="e">
        <f>HLOOKUP($D$2,'2020 Data(H)'!$C$1:$AB$426,166,FALSE)</f>
        <v>#N/A</v>
      </c>
      <c r="F234" s="294">
        <v>0</v>
      </c>
      <c r="G234" s="731"/>
      <c r="H234" s="17"/>
      <c r="I234" s="79"/>
      <c r="Z234" s="108"/>
      <c r="AA234" s="108"/>
      <c r="AB234" s="108"/>
      <c r="AC234" s="108"/>
      <c r="AD234" s="108"/>
      <c r="AE234" s="108"/>
      <c r="AF234" s="108"/>
      <c r="AG234" s="108"/>
      <c r="AH234" s="108"/>
      <c r="AI234" s="108"/>
      <c r="AJ234" s="108"/>
      <c r="AK234" s="108"/>
      <c r="AL234" s="108"/>
      <c r="AM234" s="108"/>
      <c r="AN234" s="108"/>
      <c r="AO234" s="108"/>
      <c r="AP234" s="108"/>
      <c r="AQ234" s="108"/>
      <c r="AR234" s="108"/>
    </row>
    <row r="235" spans="1:44" ht="60.75" hidden="1" customHeight="1" x14ac:dyDescent="0.3">
      <c r="A235" s="108">
        <v>517</v>
      </c>
      <c r="B235" s="672" t="s">
        <v>305</v>
      </c>
      <c r="C235" s="672" t="s">
        <v>175</v>
      </c>
      <c r="D235" s="32" t="s">
        <v>5</v>
      </c>
      <c r="E235" s="670" t="e">
        <f>HLOOKUP($D$2,'2020 Data(H)'!$C$1:$AB$426,167,FALSE)</f>
        <v>#N/A</v>
      </c>
      <c r="F235" s="294">
        <v>0</v>
      </c>
      <c r="G235" s="731"/>
      <c r="H235" s="17"/>
      <c r="I235" s="79"/>
      <c r="Z235" s="108"/>
      <c r="AA235" s="108"/>
      <c r="AB235" s="108"/>
      <c r="AC235" s="108"/>
      <c r="AD235" s="108"/>
      <c r="AE235" s="108"/>
      <c r="AF235" s="108"/>
      <c r="AG235" s="108"/>
      <c r="AH235" s="108"/>
      <c r="AI235" s="108"/>
      <c r="AJ235" s="108"/>
      <c r="AK235" s="108"/>
      <c r="AL235" s="108"/>
      <c r="AM235" s="108"/>
      <c r="AN235" s="108"/>
      <c r="AO235" s="108"/>
      <c r="AP235" s="108"/>
      <c r="AQ235" s="108"/>
      <c r="AR235" s="108"/>
    </row>
    <row r="236" spans="1:44" ht="66" hidden="1" customHeight="1" x14ac:dyDescent="0.3">
      <c r="A236" s="108">
        <v>518</v>
      </c>
      <c r="B236" s="672" t="s">
        <v>305</v>
      </c>
      <c r="C236" s="672" t="s">
        <v>175</v>
      </c>
      <c r="D236" s="32" t="s">
        <v>39</v>
      </c>
      <c r="E236" s="670" t="e">
        <f>HLOOKUP($D$2,'2020 Data(H)'!$C$1:$AB$426,168,FALSE)</f>
        <v>#N/A</v>
      </c>
      <c r="F236" s="294">
        <v>0</v>
      </c>
      <c r="G236" s="731"/>
      <c r="H236" s="17"/>
      <c r="I236" s="79"/>
      <c r="Z236" s="108"/>
      <c r="AA236" s="108"/>
      <c r="AB236" s="108"/>
      <c r="AC236" s="108"/>
      <c r="AD236" s="108"/>
      <c r="AE236" s="108"/>
      <c r="AF236" s="108"/>
      <c r="AG236" s="108"/>
      <c r="AH236" s="108"/>
      <c r="AI236" s="108"/>
      <c r="AJ236" s="108"/>
      <c r="AK236" s="108"/>
      <c r="AL236" s="108"/>
      <c r="AM236" s="108"/>
      <c r="AN236" s="108"/>
      <c r="AO236" s="108"/>
      <c r="AP236" s="108"/>
      <c r="AQ236" s="108"/>
      <c r="AR236" s="108"/>
    </row>
    <row r="237" spans="1:44" ht="51" hidden="1" customHeight="1" x14ac:dyDescent="0.3">
      <c r="A237" s="298"/>
      <c r="B237" s="560"/>
      <c r="C237" s="560"/>
      <c r="D237" s="764" t="s">
        <v>1188</v>
      </c>
      <c r="E237" s="101" t="e">
        <f>SUM(E233:E236)</f>
        <v>#N/A</v>
      </c>
      <c r="F237" s="101">
        <f>SUM(F233:F236)</f>
        <v>0</v>
      </c>
      <c r="G237" s="741"/>
      <c r="H237" s="17"/>
      <c r="I237" s="79"/>
      <c r="Z237" s="298"/>
      <c r="AA237" s="298"/>
      <c r="AB237" s="298"/>
      <c r="AC237" s="298"/>
      <c r="AD237" s="298"/>
      <c r="AE237" s="298"/>
      <c r="AF237" s="298"/>
      <c r="AG237" s="298"/>
      <c r="AH237" s="298"/>
      <c r="AI237" s="298"/>
      <c r="AJ237" s="298"/>
      <c r="AK237" s="298"/>
      <c r="AL237" s="298"/>
      <c r="AM237" s="298"/>
      <c r="AN237" s="298"/>
      <c r="AO237" s="298"/>
      <c r="AP237" s="298"/>
      <c r="AQ237" s="298"/>
      <c r="AR237" s="298"/>
    </row>
    <row r="238" spans="1:44" ht="30.75" hidden="1" customHeight="1" x14ac:dyDescent="0.3">
      <c r="A238" s="108"/>
      <c r="B238" s="560"/>
      <c r="C238" s="560"/>
      <c r="D238" s="28" t="s">
        <v>48</v>
      </c>
      <c r="E238" s="1"/>
      <c r="F238" s="375"/>
      <c r="G238" s="741"/>
      <c r="H238" s="17"/>
      <c r="I238" s="79"/>
      <c r="Z238" s="108"/>
      <c r="AA238" s="108"/>
      <c r="AB238" s="108"/>
      <c r="AC238" s="108"/>
      <c r="AD238" s="108"/>
      <c r="AE238" s="108"/>
      <c r="AF238" s="108"/>
      <c r="AG238" s="108"/>
      <c r="AH238" s="108"/>
      <c r="AI238" s="108"/>
      <c r="AJ238" s="108"/>
      <c r="AK238" s="108"/>
      <c r="AL238" s="108"/>
      <c r="AM238" s="108"/>
      <c r="AN238" s="108"/>
      <c r="AO238" s="108"/>
      <c r="AP238" s="108"/>
      <c r="AQ238" s="108"/>
      <c r="AR238" s="108"/>
    </row>
    <row r="239" spans="1:44" ht="63" hidden="1" customHeight="1" x14ac:dyDescent="0.3">
      <c r="A239" s="108">
        <v>519</v>
      </c>
      <c r="B239" s="672" t="s">
        <v>37</v>
      </c>
      <c r="C239" s="672" t="s">
        <v>176</v>
      </c>
      <c r="D239" s="32" t="s">
        <v>14</v>
      </c>
      <c r="E239" s="670" t="e">
        <f>HLOOKUP($D$2,'2020 Data(H)'!$C$1:$AB$426,169,FALSE)</f>
        <v>#N/A</v>
      </c>
      <c r="F239" s="294">
        <v>0</v>
      </c>
      <c r="G239" s="731">
        <f>IF(F239&lt;0,"Error: Enter as positive.",)</f>
        <v>0</v>
      </c>
      <c r="H239" s="17"/>
      <c r="I239" s="79"/>
      <c r="Z239" s="108"/>
      <c r="AA239" s="108"/>
      <c r="AB239" s="108"/>
      <c r="AC239" s="108"/>
      <c r="AD239" s="108"/>
      <c r="AE239" s="108"/>
      <c r="AF239" s="108"/>
      <c r="AG239" s="108"/>
      <c r="AH239" s="108"/>
      <c r="AI239" s="108"/>
      <c r="AJ239" s="108"/>
      <c r="AK239" s="108"/>
      <c r="AL239" s="108"/>
      <c r="AM239" s="108"/>
      <c r="AN239" s="108"/>
      <c r="AO239" s="108"/>
      <c r="AP239" s="108"/>
      <c r="AQ239" s="108"/>
      <c r="AR239" s="108"/>
    </row>
    <row r="240" spans="1:44" ht="69.75" hidden="1" customHeight="1" x14ac:dyDescent="0.3">
      <c r="A240" s="108">
        <v>520</v>
      </c>
      <c r="B240" s="672" t="s">
        <v>37</v>
      </c>
      <c r="C240" s="672" t="s">
        <v>176</v>
      </c>
      <c r="D240" s="32" t="s">
        <v>16</v>
      </c>
      <c r="E240" s="670" t="e">
        <f>HLOOKUP($D$2,'2020 Data(H)'!$C$1:$AB$426,170,FALSE)</f>
        <v>#N/A</v>
      </c>
      <c r="F240" s="294">
        <v>0</v>
      </c>
      <c r="G240" s="731">
        <f>IF(F240&lt;0,"Error: Enter as positive.",)</f>
        <v>0</v>
      </c>
      <c r="H240" s="17"/>
      <c r="I240" s="79"/>
      <c r="Z240" s="108"/>
      <c r="AA240" s="108"/>
      <c r="AB240" s="108"/>
      <c r="AC240" s="108"/>
      <c r="AD240" s="108"/>
      <c r="AE240" s="108"/>
      <c r="AF240" s="108"/>
      <c r="AG240" s="108"/>
      <c r="AH240" s="108"/>
      <c r="AI240" s="108"/>
      <c r="AJ240" s="108"/>
      <c r="AK240" s="108"/>
      <c r="AL240" s="108"/>
      <c r="AM240" s="108"/>
      <c r="AN240" s="108"/>
      <c r="AO240" s="108"/>
      <c r="AP240" s="108"/>
      <c r="AQ240" s="108"/>
      <c r="AR240" s="108"/>
    </row>
    <row r="241" spans="1:44" ht="72" hidden="1" customHeight="1" x14ac:dyDescent="0.3">
      <c r="A241" s="108">
        <v>521</v>
      </c>
      <c r="B241" s="672" t="s">
        <v>37</v>
      </c>
      <c r="C241" s="672" t="s">
        <v>176</v>
      </c>
      <c r="D241" s="32" t="s">
        <v>18</v>
      </c>
      <c r="E241" s="670" t="e">
        <f>HLOOKUP($D$2,'2020 Data(H)'!$C$1:$AB$426,171,FALSE)</f>
        <v>#N/A</v>
      </c>
      <c r="F241" s="294">
        <v>0</v>
      </c>
      <c r="G241" s="731">
        <f>IF(F241&lt;0,"Error: Enter as positive.",)</f>
        <v>0</v>
      </c>
      <c r="H241" s="17"/>
      <c r="I241" s="79"/>
      <c r="Z241" s="108"/>
      <c r="AA241" s="108"/>
      <c r="AB241" s="108"/>
      <c r="AC241" s="108"/>
      <c r="AD241" s="108"/>
      <c r="AE241" s="108"/>
      <c r="AF241" s="108"/>
      <c r="AG241" s="108"/>
      <c r="AH241" s="108"/>
      <c r="AI241" s="108"/>
      <c r="AJ241" s="108"/>
      <c r="AK241" s="108"/>
      <c r="AL241" s="108"/>
      <c r="AM241" s="108"/>
      <c r="AN241" s="108"/>
      <c r="AO241" s="108"/>
      <c r="AP241" s="108"/>
      <c r="AQ241" s="108"/>
      <c r="AR241" s="108"/>
    </row>
    <row r="242" spans="1:44" ht="74.25" hidden="1" customHeight="1" x14ac:dyDescent="0.3">
      <c r="A242" s="108">
        <v>522</v>
      </c>
      <c r="B242" s="672" t="s">
        <v>37</v>
      </c>
      <c r="C242" s="672" t="s">
        <v>176</v>
      </c>
      <c r="D242" s="32" t="s">
        <v>40</v>
      </c>
      <c r="E242" s="670" t="e">
        <f>HLOOKUP($D$2,'2020 Data(H)'!$C$1:$AB$426,172,FALSE)</f>
        <v>#N/A</v>
      </c>
      <c r="F242" s="294">
        <v>0</v>
      </c>
      <c r="G242" s="731">
        <f>IF(F242&lt;0,"Error: Enter as positive.",)</f>
        <v>0</v>
      </c>
      <c r="H242" s="17"/>
      <c r="I242" s="79"/>
      <c r="Z242" s="108"/>
      <c r="AA242" s="108"/>
      <c r="AB242" s="108"/>
      <c r="AC242" s="108"/>
      <c r="AD242" s="108"/>
      <c r="AE242" s="108"/>
      <c r="AF242" s="108"/>
      <c r="AG242" s="108"/>
      <c r="AH242" s="108"/>
      <c r="AI242" s="108"/>
      <c r="AJ242" s="108"/>
      <c r="AK242" s="108"/>
      <c r="AL242" s="108"/>
      <c r="AM242" s="108"/>
      <c r="AN242" s="108"/>
      <c r="AO242" s="108"/>
      <c r="AP242" s="108"/>
      <c r="AQ242" s="108"/>
      <c r="AR242" s="108"/>
    </row>
    <row r="243" spans="1:44" ht="31.5" hidden="1" customHeight="1" x14ac:dyDescent="0.3">
      <c r="A243" s="6"/>
      <c r="B243" s="560"/>
      <c r="C243" s="560"/>
      <c r="D243" s="765" t="s">
        <v>34</v>
      </c>
      <c r="E243" s="101" t="e">
        <f>SUM(E239:E242)</f>
        <v>#N/A</v>
      </c>
      <c r="F243" s="101">
        <f>SUM(F239:F242)</f>
        <v>0</v>
      </c>
      <c r="G243" s="131"/>
      <c r="H243" s="17"/>
      <c r="I243" s="79"/>
      <c r="Z243" s="6"/>
      <c r="AA243" s="6"/>
      <c r="AB243" s="6"/>
      <c r="AC243" s="6"/>
      <c r="AD243" s="6"/>
      <c r="AE243" s="6"/>
      <c r="AF243" s="6"/>
      <c r="AG243" s="6"/>
      <c r="AH243" s="6"/>
      <c r="AI243" s="6"/>
      <c r="AJ243" s="6"/>
      <c r="AK243" s="6"/>
      <c r="AL243" s="6"/>
      <c r="AM243" s="6"/>
      <c r="AN243" s="6"/>
      <c r="AO243" s="6"/>
      <c r="AP243" s="6"/>
      <c r="AQ243" s="6"/>
      <c r="AR243" s="6"/>
    </row>
    <row r="244" spans="1:44" ht="26.25" hidden="1" customHeight="1" x14ac:dyDescent="0.3">
      <c r="A244" s="6"/>
      <c r="B244" s="560"/>
      <c r="C244" s="560"/>
      <c r="D244" s="28" t="s">
        <v>32</v>
      </c>
      <c r="E244" s="6"/>
      <c r="F244" s="766"/>
      <c r="G244" s="131"/>
      <c r="H244" s="17"/>
      <c r="I244" s="79"/>
      <c r="Z244" s="6"/>
      <c r="AA244" s="6"/>
      <c r="AB244" s="6"/>
      <c r="AC244" s="6"/>
      <c r="AD244" s="6"/>
      <c r="AE244" s="6"/>
      <c r="AF244" s="6"/>
      <c r="AG244" s="6"/>
      <c r="AH244" s="6"/>
      <c r="AI244" s="6"/>
      <c r="AJ244" s="6"/>
      <c r="AK244" s="6"/>
      <c r="AL244" s="6"/>
      <c r="AM244" s="6"/>
      <c r="AN244" s="6"/>
      <c r="AO244" s="6"/>
      <c r="AP244" s="6"/>
      <c r="AQ244" s="6"/>
      <c r="AR244" s="6"/>
    </row>
    <row r="245" spans="1:44" ht="89.25" hidden="1" customHeight="1" x14ac:dyDescent="0.3">
      <c r="A245" s="108">
        <v>523</v>
      </c>
      <c r="B245" s="672" t="s">
        <v>305</v>
      </c>
      <c r="C245" s="672" t="s">
        <v>177</v>
      </c>
      <c r="D245" s="32" t="s">
        <v>15</v>
      </c>
      <c r="E245" s="670" t="e">
        <f>HLOOKUP($D$2,'2020 Data(H)'!$C$1:$AB$426,173,FALSE)</f>
        <v>#N/A</v>
      </c>
      <c r="F245" s="294">
        <v>0</v>
      </c>
      <c r="G245" s="731">
        <f>IF(F245&lt;0,"Error: Enter as positive.",)</f>
        <v>0</v>
      </c>
      <c r="H245" s="17"/>
      <c r="I245" s="79"/>
      <c r="Z245" s="108"/>
      <c r="AA245" s="108"/>
      <c r="AB245" s="108"/>
      <c r="AC245" s="108"/>
      <c r="AD245" s="108"/>
      <c r="AE245" s="108"/>
      <c r="AF245" s="108"/>
      <c r="AG245" s="108"/>
      <c r="AH245" s="108"/>
      <c r="AI245" s="108"/>
      <c r="AJ245" s="108"/>
      <c r="AK245" s="108"/>
      <c r="AL245" s="108"/>
      <c r="AM245" s="108"/>
      <c r="AN245" s="108"/>
      <c r="AO245" s="108"/>
      <c r="AP245" s="108"/>
      <c r="AQ245" s="108"/>
      <c r="AR245" s="108"/>
    </row>
    <row r="246" spans="1:44" ht="75" hidden="1" customHeight="1" x14ac:dyDescent="0.3">
      <c r="A246" s="108">
        <v>524</v>
      </c>
      <c r="B246" s="672" t="s">
        <v>305</v>
      </c>
      <c r="C246" s="672" t="s">
        <v>177</v>
      </c>
      <c r="D246" s="32" t="s">
        <v>17</v>
      </c>
      <c r="E246" s="670" t="e">
        <f>HLOOKUP($D$2,'2020 Data(H)'!$C$1:$AB$426,174,FALSE)</f>
        <v>#N/A</v>
      </c>
      <c r="F246" s="294">
        <v>0</v>
      </c>
      <c r="G246" s="731">
        <f>IF(F246&lt;0,"Error: Enter as positive.",)</f>
        <v>0</v>
      </c>
      <c r="H246" s="17"/>
      <c r="I246" s="79"/>
      <c r="Z246" s="108"/>
      <c r="AA246" s="108"/>
      <c r="AB246" s="108"/>
      <c r="AC246" s="108"/>
      <c r="AD246" s="108"/>
      <c r="AE246" s="108"/>
      <c r="AF246" s="108"/>
      <c r="AG246" s="108"/>
      <c r="AH246" s="108"/>
      <c r="AI246" s="108"/>
      <c r="AJ246" s="108"/>
      <c r="AK246" s="108"/>
      <c r="AL246" s="108"/>
      <c r="AM246" s="108"/>
      <c r="AN246" s="108"/>
      <c r="AO246" s="108"/>
      <c r="AP246" s="108"/>
      <c r="AQ246" s="108"/>
      <c r="AR246" s="108"/>
    </row>
    <row r="247" spans="1:44" ht="75" hidden="1" customHeight="1" x14ac:dyDescent="0.3">
      <c r="A247" s="108">
        <v>525</v>
      </c>
      <c r="B247" s="672" t="s">
        <v>305</v>
      </c>
      <c r="C247" s="672" t="s">
        <v>177</v>
      </c>
      <c r="D247" s="32" t="s">
        <v>19</v>
      </c>
      <c r="E247" s="670" t="e">
        <f>HLOOKUP($D$2,'2020 Data(H)'!$C$1:$AB$426,175,FALSE)</f>
        <v>#N/A</v>
      </c>
      <c r="F247" s="294">
        <v>0</v>
      </c>
      <c r="G247" s="731">
        <f>IF(F247&lt;0,"Error: Enter as positive.",)</f>
        <v>0</v>
      </c>
      <c r="H247" s="17"/>
      <c r="I247" s="79"/>
      <c r="Z247" s="108"/>
      <c r="AA247" s="108"/>
      <c r="AB247" s="108"/>
      <c r="AC247" s="108"/>
      <c r="AD247" s="108"/>
      <c r="AE247" s="108"/>
      <c r="AF247" s="108"/>
      <c r="AG247" s="108"/>
      <c r="AH247" s="108"/>
      <c r="AI247" s="108"/>
      <c r="AJ247" s="108"/>
      <c r="AK247" s="108"/>
      <c r="AL247" s="108"/>
      <c r="AM247" s="108"/>
      <c r="AN247" s="108"/>
      <c r="AO247" s="108"/>
      <c r="AP247" s="108"/>
      <c r="AQ247" s="108"/>
      <c r="AR247" s="108"/>
    </row>
    <row r="248" spans="1:44" ht="76.5" hidden="1" customHeight="1" x14ac:dyDescent="0.3">
      <c r="A248" s="108">
        <v>526</v>
      </c>
      <c r="B248" s="672" t="s">
        <v>305</v>
      </c>
      <c r="C248" s="672" t="s">
        <v>177</v>
      </c>
      <c r="D248" s="32" t="s">
        <v>41</v>
      </c>
      <c r="E248" s="670" t="e">
        <f>HLOOKUP($D$2,'2020 Data(H)'!$C$1:$AB$426,176,FALSE)</f>
        <v>#N/A</v>
      </c>
      <c r="F248" s="294">
        <v>0</v>
      </c>
      <c r="G248" s="731">
        <f>IF(F248&lt;0,"Error: Enter as positive.",)</f>
        <v>0</v>
      </c>
      <c r="H248" s="17"/>
      <c r="I248" s="79"/>
      <c r="Z248" s="108"/>
      <c r="AA248" s="108"/>
      <c r="AB248" s="108"/>
      <c r="AC248" s="108"/>
      <c r="AD248" s="108"/>
      <c r="AE248" s="108"/>
      <c r="AF248" s="108"/>
      <c r="AG248" s="108"/>
      <c r="AH248" s="108"/>
      <c r="AI248" s="108"/>
      <c r="AJ248" s="108"/>
      <c r="AK248" s="108"/>
      <c r="AL248" s="108"/>
      <c r="AM248" s="108"/>
      <c r="AN248" s="108"/>
      <c r="AO248" s="108"/>
      <c r="AP248" s="108"/>
      <c r="AQ248" s="108"/>
      <c r="AR248" s="108"/>
    </row>
    <row r="249" spans="1:44" ht="24.75" hidden="1" customHeight="1" x14ac:dyDescent="0.3">
      <c r="A249" s="108"/>
      <c r="B249" s="832"/>
      <c r="C249" s="832"/>
      <c r="D249" s="765" t="s">
        <v>33</v>
      </c>
      <c r="E249" s="101" t="e">
        <f>SUM(E245:E248)</f>
        <v>#N/A</v>
      </c>
      <c r="F249" s="101">
        <f>SUM(F245:F248)</f>
        <v>0</v>
      </c>
      <c r="G249" s="741"/>
      <c r="H249" s="17"/>
      <c r="I249" s="79"/>
      <c r="Z249" s="108"/>
      <c r="AA249" s="108"/>
      <c r="AB249" s="108"/>
      <c r="AC249" s="108"/>
      <c r="AD249" s="108"/>
      <c r="AE249" s="108"/>
      <c r="AF249" s="108"/>
      <c r="AG249" s="108"/>
      <c r="AH249" s="108"/>
      <c r="AI249" s="108"/>
      <c r="AJ249" s="108"/>
      <c r="AK249" s="108"/>
      <c r="AL249" s="108"/>
      <c r="AM249" s="108"/>
      <c r="AN249" s="108"/>
      <c r="AO249" s="108"/>
      <c r="AP249" s="108"/>
      <c r="AQ249" s="108"/>
      <c r="AR249" s="108"/>
    </row>
    <row r="250" spans="1:44" ht="61.5" hidden="1" customHeight="1" x14ac:dyDescent="0.3">
      <c r="A250" s="108"/>
      <c r="B250" s="832"/>
      <c r="C250" s="832"/>
      <c r="D250" s="767" t="s">
        <v>35</v>
      </c>
      <c r="E250" s="101" t="e">
        <f>E230+E237-E249</f>
        <v>#N/A</v>
      </c>
      <c r="F250" s="101">
        <f>F230+F237-F249</f>
        <v>0</v>
      </c>
      <c r="G250" s="741"/>
      <c r="H250" s="17"/>
      <c r="I250" s="79"/>
      <c r="J250" s="576"/>
      <c r="Z250" s="108"/>
      <c r="AA250" s="108"/>
      <c r="AB250" s="108"/>
      <c r="AC250" s="108"/>
      <c r="AD250" s="108"/>
      <c r="AE250" s="108"/>
      <c r="AF250" s="108"/>
      <c r="AG250" s="108"/>
      <c r="AH250" s="108"/>
      <c r="AI250" s="108"/>
      <c r="AJ250" s="108"/>
      <c r="AK250" s="108"/>
      <c r="AL250" s="108"/>
      <c r="AM250" s="108"/>
      <c r="AN250" s="108"/>
      <c r="AO250" s="108"/>
      <c r="AP250" s="108"/>
      <c r="AQ250" s="108"/>
      <c r="AR250" s="108"/>
    </row>
    <row r="251" spans="1:44" ht="21.6" hidden="1" customHeight="1" x14ac:dyDescent="0.3">
      <c r="A251" s="108"/>
      <c r="B251" s="560"/>
      <c r="C251" s="560"/>
      <c r="D251" s="758"/>
      <c r="E251" s="1"/>
      <c r="F251" s="375"/>
      <c r="G251" s="741"/>
      <c r="H251" s="17"/>
      <c r="I251" s="79"/>
      <c r="J251" s="576"/>
      <c r="Z251" s="108"/>
      <c r="AA251" s="108"/>
      <c r="AB251" s="108"/>
      <c r="AC251" s="108"/>
      <c r="AD251" s="108"/>
      <c r="AE251" s="108"/>
      <c r="AF251" s="108"/>
      <c r="AG251" s="108"/>
      <c r="AH251" s="108"/>
      <c r="AI251" s="108"/>
      <c r="AJ251" s="108"/>
      <c r="AK251" s="108"/>
      <c r="AL251" s="108"/>
      <c r="AM251" s="108"/>
      <c r="AN251" s="108"/>
      <c r="AO251" s="108"/>
      <c r="AP251" s="108"/>
      <c r="AQ251" s="108"/>
      <c r="AR251" s="108"/>
    </row>
    <row r="252" spans="1:44" ht="34.5" hidden="1" customHeight="1" x14ac:dyDescent="0.3">
      <c r="A252" s="108"/>
      <c r="B252" s="878"/>
      <c r="C252" s="878"/>
      <c r="D252" s="869" t="s">
        <v>8</v>
      </c>
      <c r="E252" s="880"/>
      <c r="F252" s="881"/>
      <c r="G252" s="882"/>
      <c r="H252" s="17"/>
      <c r="I252" s="79"/>
      <c r="Z252" s="108"/>
      <c r="AA252" s="108"/>
      <c r="AB252" s="108"/>
      <c r="AC252" s="108"/>
      <c r="AD252" s="108"/>
      <c r="AE252" s="108"/>
      <c r="AF252" s="108"/>
      <c r="AG252" s="108"/>
      <c r="AH252" s="108"/>
      <c r="AI252" s="108"/>
      <c r="AJ252" s="108"/>
      <c r="AK252" s="108"/>
      <c r="AL252" s="108"/>
      <c r="AM252" s="108"/>
      <c r="AN252" s="108"/>
      <c r="AO252" s="108"/>
      <c r="AP252" s="108"/>
      <c r="AQ252" s="108"/>
      <c r="AR252" s="108"/>
    </row>
    <row r="253" spans="1:44" ht="55.5" hidden="1" customHeight="1" x14ac:dyDescent="0.3">
      <c r="A253" s="108">
        <v>527</v>
      </c>
      <c r="B253" s="672" t="s">
        <v>58</v>
      </c>
      <c r="C253" s="672" t="s">
        <v>178</v>
      </c>
      <c r="D253" s="29" t="s">
        <v>1189</v>
      </c>
      <c r="E253" s="670" t="e">
        <f>HLOOKUP($D$2,'2020 Data(H)'!$C$1:$AB$426,177,FALSE)</f>
        <v>#N/A</v>
      </c>
      <c r="F253" s="294">
        <v>0</v>
      </c>
      <c r="G253" s="741"/>
      <c r="H253" s="17"/>
      <c r="I253" s="733"/>
      <c r="Z253" s="108"/>
      <c r="AA253" s="108"/>
      <c r="AB253" s="108"/>
      <c r="AC253" s="108"/>
      <c r="AD253" s="108"/>
      <c r="AE253" s="108"/>
      <c r="AF253" s="108"/>
      <c r="AG253" s="108"/>
      <c r="AH253" s="108"/>
      <c r="AI253" s="108"/>
      <c r="AJ253" s="108"/>
      <c r="AK253" s="108"/>
      <c r="AL253" s="108"/>
      <c r="AM253" s="108"/>
      <c r="AN253" s="108"/>
      <c r="AO253" s="108"/>
      <c r="AP253" s="108"/>
      <c r="AQ253" s="108"/>
      <c r="AR253" s="108"/>
    </row>
    <row r="254" spans="1:44" ht="55.5" hidden="1" customHeight="1" x14ac:dyDescent="0.3">
      <c r="A254" s="108">
        <v>356</v>
      </c>
      <c r="B254" s="672" t="s">
        <v>66</v>
      </c>
      <c r="C254" s="672" t="s">
        <v>178</v>
      </c>
      <c r="D254" s="107" t="s">
        <v>20</v>
      </c>
      <c r="E254" s="670" t="e">
        <f>HLOOKUP($D$2,'2020 Data(H)'!$C$1:$AB$426,118,FALSE)</f>
        <v>#N/A</v>
      </c>
      <c r="F254" s="294">
        <v>0</v>
      </c>
      <c r="G254" s="741"/>
      <c r="H254" s="17"/>
      <c r="I254" s="733"/>
      <c r="Z254" s="108"/>
      <c r="AA254" s="108"/>
      <c r="AB254" s="108"/>
      <c r="AC254" s="108"/>
      <c r="AD254" s="108"/>
      <c r="AE254" s="108"/>
      <c r="AF254" s="108"/>
      <c r="AG254" s="108"/>
      <c r="AH254" s="108"/>
      <c r="AI254" s="108"/>
      <c r="AJ254" s="108"/>
      <c r="AK254" s="108"/>
      <c r="AL254" s="108"/>
      <c r="AM254" s="108"/>
      <c r="AN254" s="108"/>
      <c r="AO254" s="108"/>
      <c r="AP254" s="108"/>
      <c r="AQ254" s="108"/>
      <c r="AR254" s="108"/>
    </row>
    <row r="255" spans="1:44" ht="55.5" hidden="1" customHeight="1" x14ac:dyDescent="0.3">
      <c r="A255" s="108">
        <v>357</v>
      </c>
      <c r="B255" s="672" t="s">
        <v>56</v>
      </c>
      <c r="C255" s="672" t="s">
        <v>179</v>
      </c>
      <c r="D255" s="107" t="s">
        <v>21</v>
      </c>
      <c r="E255" s="670" t="e">
        <f>HLOOKUP($D$2,'2020 Data(H)'!$C$1:$AB$426,119,FALSE)</f>
        <v>#N/A</v>
      </c>
      <c r="F255" s="294">
        <v>0</v>
      </c>
      <c r="G255" s="731">
        <f>IF(F255&lt;0,"Error: Enter as positive.",)</f>
        <v>0</v>
      </c>
      <c r="H255" s="17"/>
      <c r="I255" s="733"/>
      <c r="Z255" s="108"/>
      <c r="AA255" s="108"/>
      <c r="AB255" s="108"/>
      <c r="AC255" s="108"/>
      <c r="AD255" s="108"/>
      <c r="AE255" s="108"/>
      <c r="AF255" s="108"/>
      <c r="AG255" s="108"/>
      <c r="AH255" s="108"/>
      <c r="AI255" s="108"/>
      <c r="AJ255" s="108"/>
      <c r="AK255" s="108"/>
      <c r="AL255" s="108"/>
      <c r="AM255" s="108"/>
      <c r="AN255" s="108"/>
      <c r="AO255" s="108"/>
      <c r="AP255" s="108"/>
      <c r="AQ255" s="108"/>
      <c r="AR255" s="108"/>
    </row>
    <row r="256" spans="1:44" s="18" customFormat="1" ht="35.25" hidden="1" customHeight="1" x14ac:dyDescent="0.3">
      <c r="A256" s="108"/>
      <c r="B256" s="867" t="s">
        <v>10</v>
      </c>
      <c r="C256" s="868"/>
      <c r="D256" s="843"/>
      <c r="E256" s="844"/>
      <c r="F256" s="883"/>
      <c r="G256" s="864"/>
      <c r="H256" s="17"/>
      <c r="I256" s="79"/>
      <c r="N256" s="296"/>
      <c r="Z256" s="108"/>
      <c r="AA256" s="108"/>
      <c r="AB256" s="108"/>
      <c r="AC256" s="108"/>
      <c r="AD256" s="108"/>
      <c r="AE256" s="108"/>
      <c r="AF256" s="108"/>
      <c r="AG256" s="108"/>
      <c r="AH256" s="108"/>
      <c r="AI256" s="108"/>
      <c r="AJ256" s="108"/>
      <c r="AK256" s="108"/>
      <c r="AL256" s="108"/>
      <c r="AM256" s="108"/>
      <c r="AN256" s="108"/>
      <c r="AO256" s="108"/>
      <c r="AP256" s="108"/>
      <c r="AQ256" s="108"/>
      <c r="AR256" s="108"/>
    </row>
    <row r="257" spans="1:1881" s="18" customFormat="1" ht="273.75" hidden="1" customHeight="1" x14ac:dyDescent="0.3">
      <c r="A257" s="108">
        <v>337</v>
      </c>
      <c r="B257" s="4" t="s">
        <v>56</v>
      </c>
      <c r="C257" s="4" t="s">
        <v>1190</v>
      </c>
      <c r="D257" s="24" t="s">
        <v>985</v>
      </c>
      <c r="E257" s="670" t="e">
        <f>HLOOKUP($D$2,'2020 Data(H)'!$C$1:$AB$426,103,FALSE)</f>
        <v>#N/A</v>
      </c>
      <c r="F257" s="294">
        <v>0</v>
      </c>
      <c r="G257" s="731">
        <f>IF(F257&lt;0,"Error: Enter as positive.",)</f>
        <v>0</v>
      </c>
      <c r="H257" s="17"/>
      <c r="I257" s="79"/>
      <c r="N257" s="296"/>
      <c r="Z257" s="108"/>
      <c r="AA257" s="108"/>
      <c r="AB257" s="108"/>
      <c r="AC257" s="108"/>
      <c r="AD257" s="108"/>
      <c r="AE257" s="108"/>
      <c r="AF257" s="108"/>
      <c r="AG257" s="108"/>
      <c r="AH257" s="108"/>
      <c r="AI257" s="108"/>
      <c r="AJ257" s="108"/>
      <c r="AK257" s="108"/>
      <c r="AL257" s="108"/>
      <c r="AM257" s="108"/>
      <c r="AN257" s="108"/>
      <c r="AO257" s="108"/>
      <c r="AP257" s="108"/>
      <c r="AQ257" s="108"/>
      <c r="AR257" s="108"/>
    </row>
    <row r="258" spans="1:1881" s="18" customFormat="1" ht="81.75" hidden="1" customHeight="1" x14ac:dyDescent="0.3">
      <c r="A258" s="108">
        <v>343</v>
      </c>
      <c r="B258" s="4" t="s">
        <v>56</v>
      </c>
      <c r="C258" s="4" t="s">
        <v>381</v>
      </c>
      <c r="D258" s="29" t="s">
        <v>1191</v>
      </c>
      <c r="E258" s="670" t="e">
        <f>HLOOKUP($D$2,'2020 Data(H)'!$C$1:$AB$426,109,FALSE)</f>
        <v>#N/A</v>
      </c>
      <c r="F258" s="294">
        <v>0</v>
      </c>
      <c r="G258" s="731">
        <f>IF(F258&lt;0,"Error: Enter as positive.",)</f>
        <v>0</v>
      </c>
      <c r="H258" s="17"/>
      <c r="I258" s="79"/>
      <c r="M258" s="98"/>
      <c r="N258" s="296"/>
      <c r="Z258" s="108"/>
      <c r="AA258" s="108"/>
      <c r="AB258" s="108"/>
      <c r="AC258" s="108"/>
      <c r="AD258" s="108"/>
      <c r="AE258" s="108"/>
      <c r="AF258" s="108"/>
      <c r="AG258" s="108"/>
      <c r="AH258" s="108"/>
      <c r="AI258" s="108"/>
      <c r="AJ258" s="108"/>
      <c r="AK258" s="108"/>
      <c r="AL258" s="108"/>
      <c r="AM258" s="108"/>
      <c r="AN258" s="108"/>
      <c r="AO258" s="108"/>
      <c r="AP258" s="108"/>
      <c r="AQ258" s="108"/>
      <c r="AR258" s="108"/>
    </row>
    <row r="259" spans="1:1881" ht="274.5" hidden="1" customHeight="1" x14ac:dyDescent="0.3">
      <c r="A259" s="108">
        <v>82</v>
      </c>
      <c r="B259" s="4" t="s">
        <v>61</v>
      </c>
      <c r="C259" s="4" t="s">
        <v>1192</v>
      </c>
      <c r="D259" s="24" t="s">
        <v>552</v>
      </c>
      <c r="E259" s="670" t="e">
        <f>HLOOKUP($D$2,'2020 Data(H)'!$C$1:$AB$426,46,FALSE)</f>
        <v>#N/A</v>
      </c>
      <c r="F259" s="294">
        <v>0</v>
      </c>
      <c r="G259" s="731">
        <f>IF(F259&lt;0,"Error: Enter as positive.",)</f>
        <v>0</v>
      </c>
      <c r="H259" s="17"/>
      <c r="I259" s="768"/>
      <c r="Z259" s="108"/>
      <c r="AA259" s="108"/>
      <c r="AB259" s="108"/>
      <c r="AC259" s="108"/>
      <c r="AD259" s="108"/>
      <c r="AE259" s="108"/>
      <c r="AF259" s="108"/>
      <c r="AG259" s="108"/>
      <c r="AH259" s="108"/>
      <c r="AI259" s="108"/>
      <c r="AJ259" s="108"/>
      <c r="AK259" s="108"/>
      <c r="AL259" s="108"/>
      <c r="AM259" s="108"/>
      <c r="AN259" s="108"/>
      <c r="AO259" s="108"/>
      <c r="AP259" s="108"/>
      <c r="AQ259" s="108"/>
      <c r="AR259" s="108"/>
    </row>
    <row r="260" spans="1:1881" ht="270.75" hidden="1" customHeight="1" x14ac:dyDescent="0.3">
      <c r="A260" s="108">
        <v>359</v>
      </c>
      <c r="B260" s="4" t="s">
        <v>56</v>
      </c>
      <c r="C260" s="4" t="s">
        <v>1193</v>
      </c>
      <c r="D260" s="24" t="s">
        <v>552</v>
      </c>
      <c r="E260" s="670" t="e">
        <f>HLOOKUP($D$2,'2020 Data(H)'!$C$1:$AB$426,120,FALSE)</f>
        <v>#N/A</v>
      </c>
      <c r="F260" s="294">
        <v>0</v>
      </c>
      <c r="G260" s="731">
        <f>IF(F260&lt;0,"Error: Enter as positive.",)</f>
        <v>0</v>
      </c>
      <c r="H260" s="17"/>
      <c r="I260" s="768"/>
      <c r="J260" s="576"/>
      <c r="L260" s="769" t="str">
        <f>IF(ISBLANK(K258),"",IF(ISBLANK(K259),"",IF(K260=M260,"","Please review percentage")))</f>
        <v/>
      </c>
      <c r="Z260" s="108"/>
      <c r="AA260" s="108"/>
      <c r="AB260" s="108"/>
      <c r="AC260" s="108"/>
      <c r="AD260" s="108"/>
      <c r="AE260" s="108"/>
      <c r="AF260" s="108"/>
      <c r="AG260" s="108"/>
      <c r="AH260" s="108"/>
      <c r="AI260" s="108"/>
      <c r="AJ260" s="108"/>
      <c r="AK260" s="108"/>
      <c r="AL260" s="108"/>
      <c r="AM260" s="108"/>
      <c r="AN260" s="108"/>
      <c r="AO260" s="108"/>
      <c r="AP260" s="108"/>
      <c r="AQ260" s="108"/>
      <c r="AR260" s="108"/>
    </row>
    <row r="261" spans="1:1881" s="771" customFormat="1" ht="33" customHeight="1" x14ac:dyDescent="0.3">
      <c r="A261" s="108"/>
      <c r="B261" s="828" t="s">
        <v>410</v>
      </c>
      <c r="C261" s="829"/>
      <c r="D261" s="96"/>
      <c r="E261" s="770"/>
      <c r="F261" s="756"/>
      <c r="G261" s="730"/>
      <c r="H261" s="17"/>
      <c r="I261" s="768"/>
      <c r="J261" s="18"/>
      <c r="K261" s="18"/>
      <c r="L261" s="18"/>
      <c r="M261" s="18"/>
      <c r="N261" s="296"/>
      <c r="O261" s="18"/>
      <c r="P261" s="18"/>
      <c r="Q261" s="18"/>
      <c r="R261" s="18"/>
      <c r="S261" s="18"/>
      <c r="T261" s="18"/>
      <c r="U261" s="18"/>
      <c r="V261" s="18"/>
      <c r="W261" s="18"/>
      <c r="X261" s="18"/>
      <c r="Y261" s="18"/>
      <c r="Z261" s="108"/>
      <c r="AA261" s="108"/>
      <c r="AB261" s="108"/>
      <c r="AC261" s="108"/>
      <c r="AD261" s="108"/>
      <c r="AE261" s="108"/>
      <c r="AF261" s="108"/>
      <c r="AG261" s="108"/>
      <c r="AH261" s="108"/>
      <c r="AI261" s="108"/>
      <c r="AJ261" s="108"/>
      <c r="AK261" s="108"/>
      <c r="AL261" s="108"/>
      <c r="AM261" s="108"/>
      <c r="AN261" s="108"/>
      <c r="AO261" s="108"/>
      <c r="AP261" s="108"/>
      <c r="AQ261" s="108"/>
      <c r="AR261" s="10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71" customFormat="1" ht="110.25" customHeight="1" x14ac:dyDescent="0.3">
      <c r="A262" s="124">
        <v>622</v>
      </c>
      <c r="B262" s="772" t="s">
        <v>352</v>
      </c>
      <c r="C262" s="124" t="s">
        <v>409</v>
      </c>
      <c r="D262" s="124" t="s">
        <v>1086</v>
      </c>
      <c r="E262" s="670" t="e">
        <f>HLOOKUP($D$2,'2020 Data(H)'!$C$1:$AB$426,282,FALSE)</f>
        <v>#N/A</v>
      </c>
      <c r="F262" s="294">
        <v>0</v>
      </c>
      <c r="G262" s="731"/>
      <c r="H262" s="17"/>
      <c r="I262" s="768"/>
      <c r="J262" s="18"/>
      <c r="K262" s="18"/>
      <c r="L262" s="18"/>
      <c r="M262" s="18"/>
      <c r="N262" s="296"/>
      <c r="O262" s="18"/>
      <c r="P262" s="18"/>
      <c r="Q262" s="18"/>
      <c r="R262" s="18"/>
      <c r="S262" s="18"/>
      <c r="T262" s="18"/>
      <c r="U262" s="18"/>
      <c r="V262" s="18"/>
      <c r="W262" s="18"/>
      <c r="X262" s="18"/>
      <c r="Y262" s="18"/>
      <c r="Z262" s="124"/>
      <c r="AA262" s="124"/>
      <c r="AB262" s="124"/>
      <c r="AC262" s="124"/>
      <c r="AD262" s="124"/>
      <c r="AE262" s="124"/>
      <c r="AF262" s="124"/>
      <c r="AG262" s="124"/>
      <c r="AH262" s="124"/>
      <c r="AI262" s="124"/>
      <c r="AJ262" s="124"/>
      <c r="AK262" s="124"/>
      <c r="AL262" s="124"/>
      <c r="AM262" s="124"/>
      <c r="AN262" s="124"/>
      <c r="AO262" s="124"/>
      <c r="AP262" s="124"/>
      <c r="AQ262" s="124"/>
      <c r="AR262" s="124"/>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71" customFormat="1" ht="225" customHeight="1" x14ac:dyDescent="0.3">
      <c r="A263" s="108">
        <v>577</v>
      </c>
      <c r="B263" s="672"/>
      <c r="C263" s="672" t="s">
        <v>320</v>
      </c>
      <c r="D263" s="352" t="s">
        <v>378</v>
      </c>
      <c r="E263" s="376"/>
      <c r="F263" s="294"/>
      <c r="G263" s="1042" t="str">
        <f>IF(F263="Yes","In this cell - Please include the name of the plan, a brief description of the benefit and the population group that received the benefits."," ")</f>
        <v xml:space="preserve"> </v>
      </c>
      <c r="H263" s="17"/>
      <c r="I263" s="768"/>
      <c r="J263" s="576"/>
      <c r="K263" s="18"/>
      <c r="L263" s="18"/>
      <c r="M263" s="18"/>
      <c r="N263" s="296"/>
      <c r="O263" s="18"/>
      <c r="P263" s="18"/>
      <c r="Q263" s="18"/>
      <c r="R263" s="18"/>
      <c r="S263" s="18"/>
      <c r="T263" s="18"/>
      <c r="U263" s="18"/>
      <c r="V263" s="18"/>
      <c r="W263" s="18"/>
      <c r="X263" s="18"/>
      <c r="Y263" s="18"/>
      <c r="Z263" s="108"/>
      <c r="AA263" s="108"/>
      <c r="AB263" s="108"/>
      <c r="AC263" s="108"/>
      <c r="AD263" s="108"/>
      <c r="AE263" s="108"/>
      <c r="AF263" s="108"/>
      <c r="AG263" s="108"/>
      <c r="AH263" s="108"/>
      <c r="AI263" s="108"/>
      <c r="AJ263" s="108"/>
      <c r="AK263" s="108"/>
      <c r="AL263" s="108"/>
      <c r="AM263" s="108"/>
      <c r="AN263" s="108"/>
      <c r="AO263" s="108"/>
      <c r="AP263" s="108"/>
      <c r="AQ263" s="108"/>
      <c r="AR263" s="10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71" customFormat="1" ht="30.75" hidden="1" customHeight="1" x14ac:dyDescent="0.3">
      <c r="A264" s="108"/>
      <c r="B264" s="828" t="s">
        <v>307</v>
      </c>
      <c r="C264" s="829"/>
      <c r="D264" s="96"/>
      <c r="E264" s="770"/>
      <c r="F264" s="773"/>
      <c r="G264" s="730"/>
      <c r="H264" s="17"/>
      <c r="I264" s="79"/>
      <c r="J264" s="18"/>
      <c r="K264" s="18"/>
      <c r="L264" s="18"/>
      <c r="M264" s="18"/>
      <c r="N264" s="296"/>
      <c r="O264" s="18"/>
      <c r="P264" s="18"/>
      <c r="Q264" s="18"/>
      <c r="R264" s="18"/>
      <c r="S264" s="18"/>
      <c r="T264" s="18"/>
      <c r="U264" s="18"/>
      <c r="V264" s="18"/>
      <c r="W264" s="18"/>
      <c r="X264" s="18"/>
      <c r="Y264" s="18"/>
      <c r="Z264" s="108"/>
      <c r="AA264" s="108"/>
      <c r="AB264" s="108"/>
      <c r="AC264" s="108"/>
      <c r="AD264" s="108"/>
      <c r="AE264" s="108"/>
      <c r="AF264" s="108"/>
      <c r="AG264" s="108"/>
      <c r="AH264" s="108"/>
      <c r="AI264" s="108"/>
      <c r="AJ264" s="108"/>
      <c r="AK264" s="108"/>
      <c r="AL264" s="108"/>
      <c r="AM264" s="108"/>
      <c r="AN264" s="108"/>
      <c r="AO264" s="108"/>
      <c r="AP264" s="108"/>
      <c r="AQ264" s="108"/>
      <c r="AR264" s="10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71" customFormat="1" ht="81.75" hidden="1" customHeight="1" x14ac:dyDescent="0.3">
      <c r="A265" s="108">
        <v>598</v>
      </c>
      <c r="B265" s="672" t="s">
        <v>59</v>
      </c>
      <c r="C265" s="672" t="s">
        <v>308</v>
      </c>
      <c r="D265" s="709" t="s">
        <v>382</v>
      </c>
      <c r="E265" s="670" t="e">
        <f>HLOOKUP($D$2,'2020 Data(H)'!$C$1:$AB$426,258,FALSE)</f>
        <v>#N/A</v>
      </c>
      <c r="F265" s="294">
        <v>0</v>
      </c>
      <c r="G265" s="731">
        <f>IF(F265&lt;0,"Error: Enter as positive.",)</f>
        <v>0</v>
      </c>
      <c r="H265" s="731"/>
      <c r="I265" s="768"/>
      <c r="J265" s="576"/>
      <c r="K265" s="18"/>
      <c r="L265" s="18"/>
      <c r="M265" s="18"/>
      <c r="N265" s="296"/>
      <c r="O265" s="18"/>
      <c r="P265" s="18"/>
      <c r="Q265" s="18"/>
      <c r="R265" s="18"/>
      <c r="S265" s="18"/>
      <c r="T265" s="18"/>
      <c r="U265" s="18"/>
      <c r="V265" s="18"/>
      <c r="W265" s="18"/>
      <c r="X265" s="18"/>
      <c r="Y265" s="18"/>
      <c r="Z265" s="108"/>
      <c r="AA265" s="108"/>
      <c r="AB265" s="108"/>
      <c r="AC265" s="108"/>
      <c r="AD265" s="108"/>
      <c r="AE265" s="108"/>
      <c r="AF265" s="108"/>
      <c r="AG265" s="108"/>
      <c r="AH265" s="108"/>
      <c r="AI265" s="108"/>
      <c r="AJ265" s="108"/>
      <c r="AK265" s="108"/>
      <c r="AL265" s="108"/>
      <c r="AM265" s="108"/>
      <c r="AN265" s="108"/>
      <c r="AO265" s="108"/>
      <c r="AP265" s="108"/>
      <c r="AQ265" s="108"/>
      <c r="AR265" s="10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71" customFormat="1" ht="53.25" hidden="1" customHeight="1" x14ac:dyDescent="0.3">
      <c r="A266" s="108">
        <v>599</v>
      </c>
      <c r="B266" s="672" t="s">
        <v>59</v>
      </c>
      <c r="C266" s="672" t="s">
        <v>308</v>
      </c>
      <c r="D266" s="29" t="s">
        <v>383</v>
      </c>
      <c r="E266" s="670" t="e">
        <f>HLOOKUP($D$2,'2020 Data(H)'!$C$1:$AB$426,259,FALSE)</f>
        <v>#N/A</v>
      </c>
      <c r="F266" s="294">
        <v>0</v>
      </c>
      <c r="G266" s="775" t="str">
        <f>IF(ISBLANK(F266),"Please do not leave blank","")</f>
        <v/>
      </c>
      <c r="H266" s="731">
        <f>IF(F266&lt;0,"Error: Enter as positive.",)</f>
        <v>0</v>
      </c>
      <c r="I266" s="79"/>
      <c r="J266" s="769"/>
      <c r="K266" s="18"/>
      <c r="L266" s="18"/>
      <c r="M266" s="18"/>
      <c r="N266" s="296"/>
      <c r="O266" s="18"/>
      <c r="P266" s="18"/>
      <c r="Q266" s="18"/>
      <c r="R266" s="18"/>
      <c r="S266" s="18"/>
      <c r="T266" s="18"/>
      <c r="U266" s="18"/>
      <c r="V266" s="18"/>
      <c r="W266" s="18"/>
      <c r="X266" s="18"/>
      <c r="Y266" s="18"/>
      <c r="Z266" s="108"/>
      <c r="AA266" s="108"/>
      <c r="AB266" s="108"/>
      <c r="AC266" s="108"/>
      <c r="AD266" s="108"/>
      <c r="AE266" s="108"/>
      <c r="AF266" s="108"/>
      <c r="AG266" s="108"/>
      <c r="AH266" s="108"/>
      <c r="AI266" s="108"/>
      <c r="AJ266" s="108"/>
      <c r="AK266" s="108"/>
      <c r="AL266" s="108"/>
      <c r="AM266" s="108"/>
      <c r="AN266" s="108"/>
      <c r="AO266" s="108"/>
      <c r="AP266" s="108"/>
      <c r="AQ266" s="108"/>
      <c r="AR266" s="10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71" customFormat="1" ht="78.75" hidden="1" customHeight="1" x14ac:dyDescent="0.3">
      <c r="A267" s="108">
        <v>602</v>
      </c>
      <c r="B267" s="672" t="s">
        <v>59</v>
      </c>
      <c r="C267" s="672" t="s">
        <v>308</v>
      </c>
      <c r="D267" s="107" t="s">
        <v>387</v>
      </c>
      <c r="E267" s="670" t="e">
        <f>HLOOKUP($D$2,'2020 Data(H)'!$C$1:$AB$426,262,FALSE)</f>
        <v>#N/A</v>
      </c>
      <c r="F267" s="294">
        <v>0</v>
      </c>
      <c r="G267" s="775" t="str">
        <f>IF(ISBLANK(F267),"Please do not leave blank","")</f>
        <v/>
      </c>
      <c r="H267" s="731">
        <f>IF(F267&lt;0,"Note: Number is normally positive.",)</f>
        <v>0</v>
      </c>
      <c r="I267" s="79"/>
      <c r="J267" s="576"/>
      <c r="K267" s="18"/>
      <c r="L267" s="18"/>
      <c r="M267" s="18"/>
      <c r="N267" s="296"/>
      <c r="O267" s="18"/>
      <c r="P267" s="18"/>
      <c r="Q267" s="18"/>
      <c r="R267" s="18"/>
      <c r="S267" s="18"/>
      <c r="T267" s="18"/>
      <c r="U267" s="18"/>
      <c r="V267" s="18"/>
      <c r="W267" s="18"/>
      <c r="X267" s="18"/>
      <c r="Y267" s="18"/>
      <c r="Z267" s="108"/>
      <c r="AA267" s="108"/>
      <c r="AB267" s="108"/>
      <c r="AC267" s="108"/>
      <c r="AD267" s="108"/>
      <c r="AE267" s="108"/>
      <c r="AF267" s="108"/>
      <c r="AG267" s="108"/>
      <c r="AH267" s="108"/>
      <c r="AI267" s="108"/>
      <c r="AJ267" s="108"/>
      <c r="AK267" s="108"/>
      <c r="AL267" s="108"/>
      <c r="AM267" s="108"/>
      <c r="AN267" s="108"/>
      <c r="AO267" s="108"/>
      <c r="AP267" s="108"/>
      <c r="AQ267" s="108"/>
      <c r="AR267" s="10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71" customFormat="1" ht="90" hidden="1" customHeight="1" x14ac:dyDescent="0.3">
      <c r="A268" s="108">
        <v>619</v>
      </c>
      <c r="B268" s="672" t="s">
        <v>59</v>
      </c>
      <c r="C268" s="672" t="s">
        <v>402</v>
      </c>
      <c r="D268" s="94" t="s">
        <v>406</v>
      </c>
      <c r="E268" s="35" t="e">
        <f>HLOOKUP($D$2,'2020 Data(H)'!$C$1:$AB$426,279,FALSE)</f>
        <v>#N/A</v>
      </c>
      <c r="F268" s="902">
        <v>0</v>
      </c>
      <c r="G268" s="775" t="str">
        <f>IF(ISBLANK(F268),"Please do not leave blank ",IF(F268=H268,"","Please review percentage"))</f>
        <v/>
      </c>
      <c r="H268" s="776">
        <f>ROUND(IFERROR((F267/F266)*100,0),1)</f>
        <v>0</v>
      </c>
      <c r="I268" s="296"/>
      <c r="J268" s="18"/>
      <c r="K268" s="18"/>
      <c r="L268" s="18"/>
      <c r="M268" s="18"/>
      <c r="N268" s="296"/>
      <c r="O268" s="18"/>
      <c r="P268" s="18"/>
      <c r="Q268" s="18"/>
      <c r="R268" s="18"/>
      <c r="S268" s="18"/>
      <c r="T268" s="18"/>
      <c r="U268" s="18"/>
      <c r="V268" s="18"/>
      <c r="W268" s="18"/>
      <c r="X268" s="18"/>
      <c r="Y268" s="18"/>
      <c r="Z268" s="108"/>
      <c r="AA268" s="108"/>
      <c r="AB268" s="108"/>
      <c r="AC268" s="108"/>
      <c r="AD268" s="108"/>
      <c r="AE268" s="108"/>
      <c r="AF268" s="108"/>
      <c r="AG268" s="108"/>
      <c r="AH268" s="108"/>
      <c r="AI268" s="108"/>
      <c r="AJ268" s="108"/>
      <c r="AK268" s="108"/>
      <c r="AL268" s="108"/>
      <c r="AM268" s="108"/>
      <c r="AN268" s="108"/>
      <c r="AO268" s="108"/>
      <c r="AP268" s="108"/>
      <c r="AQ268" s="108"/>
      <c r="AR268" s="10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08"/>
      <c r="B269" s="867" t="s">
        <v>25</v>
      </c>
      <c r="C269" s="868"/>
      <c r="D269" s="870"/>
      <c r="E269" s="884"/>
      <c r="F269" s="885"/>
      <c r="G269" s="852"/>
      <c r="H269" s="17"/>
      <c r="I269" s="79"/>
      <c r="J269" s="576"/>
      <c r="Z269" s="108"/>
      <c r="AA269" s="108"/>
      <c r="AB269" s="108"/>
      <c r="AC269" s="108"/>
      <c r="AD269" s="108"/>
      <c r="AE269" s="108"/>
      <c r="AF269" s="108"/>
      <c r="AG269" s="108"/>
      <c r="AH269" s="108"/>
      <c r="AI269" s="108"/>
      <c r="AJ269" s="108"/>
      <c r="AK269" s="108"/>
      <c r="AL269" s="108"/>
      <c r="AM269" s="108"/>
      <c r="AN269" s="108"/>
      <c r="AO269" s="108"/>
      <c r="AP269" s="108"/>
      <c r="AQ269" s="108"/>
      <c r="AR269" s="108"/>
    </row>
    <row r="270" spans="1:1881" ht="168" hidden="1" customHeight="1" x14ac:dyDescent="0.3">
      <c r="A270" s="125">
        <v>621</v>
      </c>
      <c r="B270" s="125" t="s">
        <v>352</v>
      </c>
      <c r="C270" s="124" t="s">
        <v>411</v>
      </c>
      <c r="D270" s="124" t="s">
        <v>1087</v>
      </c>
      <c r="E270" s="670" t="e">
        <f>HLOOKUP($D$2,'2020 Data(H)'!$C$1:$AB$426,281,FALSE)</f>
        <v>#N/A</v>
      </c>
      <c r="F270" s="294">
        <v>0</v>
      </c>
      <c r="G270" s="775" t="s">
        <v>1088</v>
      </c>
      <c r="Z270" s="125"/>
      <c r="AA270" s="125"/>
      <c r="AB270" s="125"/>
      <c r="AC270" s="125"/>
      <c r="AD270" s="125"/>
      <c r="AE270" s="125"/>
      <c r="AF270" s="125"/>
      <c r="AG270" s="125"/>
      <c r="AH270" s="125"/>
      <c r="AI270" s="125"/>
      <c r="AJ270" s="125"/>
      <c r="AK270" s="125"/>
      <c r="AL270" s="125"/>
      <c r="AM270" s="125"/>
      <c r="AN270" s="125"/>
      <c r="AO270" s="125"/>
      <c r="AP270" s="125"/>
      <c r="AQ270" s="125"/>
      <c r="AR270" s="125"/>
    </row>
    <row r="271" spans="1:1881" ht="176.25" customHeight="1" x14ac:dyDescent="0.3">
      <c r="A271" s="108">
        <v>547</v>
      </c>
      <c r="B271" s="672"/>
      <c r="C271" s="672" t="s">
        <v>167</v>
      </c>
      <c r="D271" s="669" t="s">
        <v>311</v>
      </c>
      <c r="E271" s="670" t="e">
        <f>HLOOKUP($D$2,'2020 Data(H)'!$C$1:$AB$426,197,FALSE)</f>
        <v>#N/A</v>
      </c>
      <c r="F271" s="739"/>
      <c r="G271" s="774" t="str">
        <f>IF(F271&lt;1,"Please answer this question","")</f>
        <v>Please answer this question</v>
      </c>
      <c r="H271" s="732"/>
      <c r="I271" s="733"/>
      <c r="Z271" s="108"/>
      <c r="AA271" s="108"/>
      <c r="AB271" s="108"/>
      <c r="AC271" s="108"/>
      <c r="AD271" s="108"/>
      <c r="AE271" s="108"/>
      <c r="AF271" s="108"/>
      <c r="AG271" s="108"/>
      <c r="AH271" s="108"/>
      <c r="AI271" s="108"/>
      <c r="AJ271" s="108"/>
      <c r="AK271" s="108"/>
      <c r="AL271" s="108"/>
      <c r="AM271" s="108"/>
      <c r="AN271" s="108"/>
      <c r="AO271" s="108"/>
      <c r="AP271" s="108"/>
      <c r="AQ271" s="108"/>
      <c r="AR271" s="108"/>
    </row>
    <row r="272" spans="1:1881" s="18" customFormat="1" ht="221.25" customHeight="1" x14ac:dyDescent="0.3">
      <c r="A272" s="308">
        <v>659</v>
      </c>
      <c r="B272" s="826" t="s">
        <v>59</v>
      </c>
      <c r="C272" s="826" t="s">
        <v>397</v>
      </c>
      <c r="D272" s="311" t="s">
        <v>1089</v>
      </c>
      <c r="E272" s="670" t="e">
        <f>HLOOKUP($D$2,'2020 Data(H)'!$C$1:$AB$426,312,FALSE)</f>
        <v>#N/A</v>
      </c>
      <c r="F272" s="295">
        <v>0</v>
      </c>
      <c r="G272" s="775" t="s">
        <v>1090</v>
      </c>
      <c r="H272" s="731">
        <f>IF(F269&lt;0,"Error: Enter as positive.",)</f>
        <v>0</v>
      </c>
      <c r="I272" s="374"/>
      <c r="N272" s="296"/>
      <c r="Z272" s="308"/>
      <c r="AA272" s="308"/>
      <c r="AB272" s="308"/>
      <c r="AC272" s="308"/>
      <c r="AD272" s="308"/>
      <c r="AE272" s="308"/>
      <c r="AF272" s="308"/>
      <c r="AG272" s="308"/>
      <c r="AH272" s="308"/>
      <c r="AI272" s="308"/>
      <c r="AJ272" s="308"/>
      <c r="AK272" s="308"/>
      <c r="AL272" s="308"/>
      <c r="AM272" s="308"/>
      <c r="AN272" s="308"/>
      <c r="AO272" s="308"/>
      <c r="AP272" s="308"/>
      <c r="AQ272" s="308"/>
      <c r="AR272" s="308"/>
    </row>
    <row r="273" spans="1:44" ht="65.25" customHeight="1" x14ac:dyDescent="0.3">
      <c r="A273" s="308">
        <v>660</v>
      </c>
      <c r="B273" s="826" t="s">
        <v>59</v>
      </c>
      <c r="C273" s="826" t="s">
        <v>397</v>
      </c>
      <c r="D273" s="311" t="s">
        <v>1091</v>
      </c>
      <c r="E273" s="670" t="e">
        <f>HLOOKUP($D$2,'2020 Data(H)'!$C$1:$AB$426,313,FALSE)</f>
        <v>#N/A</v>
      </c>
      <c r="F273" s="295">
        <v>0</v>
      </c>
      <c r="G273" s="775" t="str">
        <f>IF(ISBLANK(F273),"Please do not leave blank","")</f>
        <v/>
      </c>
      <c r="H273" s="731">
        <f>IF(F270&lt;0,"Note: Number is normally positive.",)</f>
        <v>0</v>
      </c>
      <c r="I273" s="17"/>
      <c r="Z273" s="308"/>
      <c r="AA273" s="308"/>
      <c r="AB273" s="308"/>
      <c r="AC273" s="308"/>
      <c r="AD273" s="308"/>
      <c r="AE273" s="308"/>
      <c r="AF273" s="308"/>
      <c r="AG273" s="308"/>
      <c r="AH273" s="308"/>
      <c r="AI273" s="308"/>
      <c r="AJ273" s="308"/>
      <c r="AK273" s="308"/>
      <c r="AL273" s="308"/>
      <c r="AM273" s="308"/>
      <c r="AN273" s="308"/>
      <c r="AO273" s="308"/>
      <c r="AP273" s="308"/>
      <c r="AQ273" s="308"/>
      <c r="AR273" s="308"/>
    </row>
    <row r="274" spans="1:44" ht="94.5" customHeight="1" x14ac:dyDescent="0.3">
      <c r="A274" s="308">
        <v>661</v>
      </c>
      <c r="B274" s="826" t="s">
        <v>59</v>
      </c>
      <c r="C274" s="826" t="s">
        <v>401</v>
      </c>
      <c r="D274" s="637" t="s">
        <v>1092</v>
      </c>
      <c r="E274" s="377" t="e">
        <f>HLOOKUP($D$2,'2020 Data(H)'!$C$1:$AB$426,314,FALSE)</f>
        <v>#N/A</v>
      </c>
      <c r="F274" s="273">
        <v>0</v>
      </c>
      <c r="G274" s="775" t="str">
        <f>IF(ISBLANK(F274),"Please do not leave blank ",IF(F274=H274,"","Please review percentage"))</f>
        <v/>
      </c>
      <c r="H274" s="776">
        <f>ROUND(IFERROR((F273/F272)*100,0),1)</f>
        <v>0</v>
      </c>
      <c r="I274" s="776"/>
      <c r="Z274" s="308"/>
      <c r="AA274" s="308"/>
      <c r="AB274" s="308"/>
      <c r="AC274" s="308"/>
      <c r="AD274" s="308"/>
      <c r="AE274" s="308"/>
      <c r="AF274" s="308"/>
      <c r="AG274" s="308"/>
      <c r="AH274" s="308"/>
      <c r="AI274" s="308"/>
      <c r="AJ274" s="308"/>
      <c r="AK274" s="308"/>
      <c r="AL274" s="308"/>
      <c r="AM274" s="308"/>
      <c r="AN274" s="308"/>
      <c r="AO274" s="308"/>
      <c r="AP274" s="308"/>
      <c r="AQ274" s="308"/>
      <c r="AR274" s="308"/>
    </row>
    <row r="275" spans="1:44" ht="111.75" hidden="1" customHeight="1" x14ac:dyDescent="0.3">
      <c r="A275" s="108"/>
      <c r="B275" s="672"/>
      <c r="C275" s="672"/>
      <c r="D275" s="27" t="s">
        <v>26</v>
      </c>
      <c r="E275" s="674"/>
      <c r="F275" s="677"/>
      <c r="G275" s="775"/>
      <c r="H275" s="776"/>
      <c r="I275" s="777"/>
      <c r="Z275" s="108"/>
      <c r="AA275" s="108"/>
      <c r="AB275" s="108"/>
      <c r="AC275" s="108"/>
      <c r="AD275" s="108"/>
      <c r="AE275" s="108"/>
      <c r="AF275" s="108"/>
      <c r="AG275" s="108"/>
      <c r="AH275" s="108"/>
      <c r="AI275" s="108"/>
      <c r="AJ275" s="108"/>
      <c r="AK275" s="108"/>
      <c r="AL275" s="108"/>
      <c r="AM275" s="108"/>
      <c r="AN275" s="108"/>
      <c r="AO275" s="108"/>
      <c r="AP275" s="108"/>
      <c r="AQ275" s="108"/>
      <c r="AR275" s="108"/>
    </row>
    <row r="276" spans="1:44" ht="32.25" hidden="1" customHeight="1" x14ac:dyDescent="0.3">
      <c r="A276" s="108"/>
      <c r="B276" s="867" t="s">
        <v>27</v>
      </c>
      <c r="C276" s="868"/>
      <c r="D276" s="870"/>
      <c r="E276" s="884"/>
      <c r="F276" s="884"/>
      <c r="G276" s="852"/>
      <c r="H276" s="17"/>
      <c r="I276" s="79"/>
      <c r="Z276" s="108"/>
      <c r="AA276" s="108"/>
      <c r="AB276" s="108"/>
      <c r="AC276" s="108"/>
      <c r="AD276" s="108"/>
      <c r="AE276" s="108"/>
      <c r="AF276" s="108"/>
      <c r="AG276" s="108"/>
      <c r="AH276" s="108"/>
      <c r="AI276" s="108"/>
      <c r="AJ276" s="108"/>
      <c r="AK276" s="108"/>
      <c r="AL276" s="108"/>
      <c r="AM276" s="108"/>
      <c r="AN276" s="108"/>
      <c r="AO276" s="108"/>
      <c r="AP276" s="108"/>
      <c r="AQ276" s="108"/>
      <c r="AR276" s="108"/>
    </row>
    <row r="277" spans="1:44" ht="63.75" hidden="1" customHeight="1" x14ac:dyDescent="0.3">
      <c r="A277" s="33">
        <v>371</v>
      </c>
      <c r="B277" s="4" t="s">
        <v>56</v>
      </c>
      <c r="C277" s="4" t="s">
        <v>168</v>
      </c>
      <c r="D277" s="24" t="s">
        <v>1194</v>
      </c>
      <c r="E277" s="670" t="e">
        <f>HLOOKUP($D$2,'2020 Data(H)'!$C$1:$AB$426,132,FALSE)</f>
        <v>#N/A</v>
      </c>
      <c r="F277" s="295">
        <v>0</v>
      </c>
      <c r="G277" s="731">
        <f>IF(F277&lt;0,"Error: Enter as positive.",)</f>
        <v>0</v>
      </c>
      <c r="H277" s="17"/>
      <c r="I277" s="79"/>
      <c r="Z277" s="33"/>
      <c r="AA277" s="33"/>
      <c r="AB277" s="33"/>
      <c r="AC277" s="33"/>
      <c r="AD277" s="33"/>
      <c r="AE277" s="33"/>
      <c r="AF277" s="33"/>
      <c r="AG277" s="33"/>
      <c r="AH277" s="33"/>
      <c r="AI277" s="33"/>
      <c r="AJ277" s="33"/>
      <c r="AK277" s="33"/>
      <c r="AL277" s="33"/>
      <c r="AM277" s="33"/>
      <c r="AN277" s="33"/>
      <c r="AO277" s="33"/>
      <c r="AP277" s="33"/>
      <c r="AQ277" s="33"/>
      <c r="AR277" s="33"/>
    </row>
    <row r="278" spans="1:44" ht="70.5" hidden="1" customHeight="1" x14ac:dyDescent="0.3">
      <c r="A278" s="108">
        <v>513</v>
      </c>
      <c r="B278" s="824" t="s">
        <v>58</v>
      </c>
      <c r="C278" s="4" t="s">
        <v>168</v>
      </c>
      <c r="D278" s="24" t="s">
        <v>1195</v>
      </c>
      <c r="E278" s="670" t="e">
        <f>HLOOKUP($D$2,'2020 Data(H)'!$C$1:$AB$426,163,FALSE)</f>
        <v>#N/A</v>
      </c>
      <c r="F278" s="295">
        <v>0</v>
      </c>
      <c r="G278" s="731">
        <f>IF(F278&lt;0,"Error: Enter as positive.",)</f>
        <v>0</v>
      </c>
      <c r="H278" s="732"/>
      <c r="I278" s="733"/>
      <c r="Z278" s="108"/>
      <c r="AA278" s="108"/>
      <c r="AB278" s="108"/>
      <c r="AC278" s="108"/>
      <c r="AD278" s="108"/>
      <c r="AE278" s="108"/>
      <c r="AF278" s="108"/>
      <c r="AG278" s="108"/>
      <c r="AH278" s="108"/>
      <c r="AI278" s="108"/>
      <c r="AJ278" s="108"/>
      <c r="AK278" s="108"/>
      <c r="AL278" s="108"/>
      <c r="AM278" s="108"/>
      <c r="AN278" s="108"/>
      <c r="AO278" s="108"/>
      <c r="AP278" s="108"/>
      <c r="AQ278" s="108"/>
      <c r="AR278" s="108"/>
    </row>
    <row r="279" spans="1:44" ht="80.25" hidden="1" customHeight="1" x14ac:dyDescent="0.3">
      <c r="A279" s="108">
        <v>514</v>
      </c>
      <c r="B279" s="824" t="s">
        <v>58</v>
      </c>
      <c r="C279" s="4" t="s">
        <v>168</v>
      </c>
      <c r="D279" s="24" t="s">
        <v>1196</v>
      </c>
      <c r="E279" s="670" t="e">
        <f>HLOOKUP($D$2,'2020 Data(H)'!$C$1:$AB$426,164,FALSE)</f>
        <v>#N/A</v>
      </c>
      <c r="F279" s="295">
        <v>0</v>
      </c>
      <c r="G279" s="731">
        <f>IF(F279&lt;0,"Error: Enter as positive.",)</f>
        <v>0</v>
      </c>
      <c r="H279" s="17"/>
      <c r="I279" s="733"/>
      <c r="Z279" s="108"/>
      <c r="AA279" s="108"/>
      <c r="AB279" s="108"/>
      <c r="AC279" s="108"/>
      <c r="AD279" s="108"/>
      <c r="AE279" s="108"/>
      <c r="AF279" s="108"/>
      <c r="AG279" s="108"/>
      <c r="AH279" s="108"/>
      <c r="AI279" s="108"/>
      <c r="AJ279" s="108"/>
      <c r="AK279" s="108"/>
      <c r="AL279" s="108"/>
      <c r="AM279" s="108"/>
      <c r="AN279" s="108"/>
      <c r="AO279" s="108"/>
      <c r="AP279" s="108"/>
      <c r="AQ279" s="108"/>
      <c r="AR279" s="108"/>
    </row>
    <row r="280" spans="1:44" ht="80.25" hidden="1" customHeight="1" x14ac:dyDescent="0.3">
      <c r="A280" s="108">
        <v>990</v>
      </c>
      <c r="B280" s="833" t="s">
        <v>730</v>
      </c>
      <c r="C280" s="830" t="s">
        <v>168</v>
      </c>
      <c r="D280" s="759" t="s">
        <v>731</v>
      </c>
      <c r="E280" s="672" t="s">
        <v>707</v>
      </c>
      <c r="F280" s="295">
        <v>0</v>
      </c>
      <c r="G280" s="731"/>
      <c r="H280" s="17"/>
      <c r="I280" s="733"/>
      <c r="Z280" s="108"/>
      <c r="AA280" s="108"/>
      <c r="AB280" s="108"/>
      <c r="AC280" s="108"/>
      <c r="AD280" s="108"/>
      <c r="AE280" s="108"/>
      <c r="AF280" s="108"/>
      <c r="AG280" s="108"/>
      <c r="AH280" s="108"/>
      <c r="AI280" s="108"/>
      <c r="AJ280" s="108"/>
      <c r="AK280" s="108"/>
      <c r="AL280" s="108"/>
      <c r="AM280" s="108"/>
      <c r="AN280" s="108"/>
      <c r="AO280" s="108"/>
      <c r="AP280" s="108"/>
      <c r="AQ280" s="108"/>
      <c r="AR280" s="108"/>
    </row>
    <row r="281" spans="1:44" ht="32.25" hidden="1" customHeight="1" x14ac:dyDescent="0.3">
      <c r="A281" s="108"/>
      <c r="B281" s="867" t="s">
        <v>28</v>
      </c>
      <c r="C281" s="868"/>
      <c r="D281" s="870"/>
      <c r="E281" s="884"/>
      <c r="F281" s="852"/>
      <c r="G281" s="852"/>
      <c r="H281" s="17"/>
      <c r="I281" s="79"/>
      <c r="Z281" s="108"/>
      <c r="AA281" s="108"/>
      <c r="AB281" s="108"/>
      <c r="AC281" s="108"/>
      <c r="AD281" s="108"/>
      <c r="AE281" s="108"/>
      <c r="AF281" s="108"/>
      <c r="AG281" s="108"/>
      <c r="AH281" s="108"/>
      <c r="AI281" s="108"/>
      <c r="AJ281" s="108"/>
      <c r="AK281" s="108"/>
      <c r="AL281" s="108"/>
      <c r="AM281" s="108"/>
      <c r="AN281" s="108"/>
      <c r="AO281" s="108"/>
      <c r="AP281" s="108"/>
      <c r="AQ281" s="108"/>
      <c r="AR281" s="108"/>
    </row>
    <row r="282" spans="1:44" ht="68.25" hidden="1" customHeight="1" x14ac:dyDescent="0.3">
      <c r="A282" s="108">
        <v>6</v>
      </c>
      <c r="B282" s="4" t="s">
        <v>55</v>
      </c>
      <c r="C282" s="4" t="s">
        <v>169</v>
      </c>
      <c r="D282" s="24" t="s">
        <v>1197</v>
      </c>
      <c r="E282" s="670" t="e">
        <f>HLOOKUP($D$2,'2020 Data(H)'!$C$1:$AB$426,5,FALSE)</f>
        <v>#N/A</v>
      </c>
      <c r="F282" s="295">
        <v>0</v>
      </c>
      <c r="G282" s="731">
        <f>IF(F282&lt;0,"Error: Enter as positive.",)</f>
        <v>0</v>
      </c>
      <c r="H282" s="17"/>
      <c r="I282" s="79"/>
      <c r="J282" s="576"/>
      <c r="Z282" s="108"/>
      <c r="AA282" s="108"/>
      <c r="AB282" s="108"/>
      <c r="AC282" s="108"/>
      <c r="AD282" s="108"/>
      <c r="AE282" s="108"/>
      <c r="AF282" s="108"/>
      <c r="AG282" s="108"/>
      <c r="AH282" s="108"/>
      <c r="AI282" s="108"/>
      <c r="AJ282" s="108"/>
      <c r="AK282" s="108"/>
      <c r="AL282" s="108"/>
      <c r="AM282" s="108"/>
      <c r="AN282" s="108"/>
      <c r="AO282" s="108"/>
      <c r="AP282" s="108"/>
      <c r="AQ282" s="108"/>
      <c r="AR282" s="108"/>
    </row>
    <row r="283" spans="1:44" ht="33" hidden="1" customHeight="1" x14ac:dyDescent="0.3">
      <c r="A283" s="108"/>
      <c r="B283" s="867" t="s">
        <v>180</v>
      </c>
      <c r="C283" s="868"/>
      <c r="D283" s="870"/>
      <c r="E283" s="886"/>
      <c r="F283" s="862"/>
      <c r="G283" s="862"/>
      <c r="H283" s="732"/>
      <c r="I283" s="733"/>
      <c r="J283" s="576"/>
      <c r="Z283" s="108"/>
      <c r="AA283" s="108"/>
      <c r="AB283" s="108"/>
      <c r="AC283" s="108"/>
      <c r="AD283" s="108"/>
      <c r="AE283" s="108"/>
      <c r="AF283" s="108"/>
      <c r="AG283" s="108"/>
      <c r="AH283" s="108"/>
      <c r="AI283" s="108"/>
      <c r="AJ283" s="108"/>
      <c r="AK283" s="108"/>
      <c r="AL283" s="108"/>
      <c r="AM283" s="108"/>
      <c r="AN283" s="108"/>
      <c r="AO283" s="108"/>
      <c r="AP283" s="108"/>
      <c r="AQ283" s="108"/>
      <c r="AR283" s="108"/>
    </row>
    <row r="284" spans="1:44" ht="141" hidden="1" customHeight="1" x14ac:dyDescent="0.3">
      <c r="A284" s="108">
        <v>541</v>
      </c>
      <c r="B284" s="672" t="s">
        <v>59</v>
      </c>
      <c r="C284" s="672" t="s">
        <v>1198</v>
      </c>
      <c r="D284" s="669" t="s">
        <v>1199</v>
      </c>
      <c r="E284" s="670" t="e">
        <f>HLOOKUP($D$2,'2020 Data(H)'!$C$1:$AB$426,191,FALSE)</f>
        <v>#N/A</v>
      </c>
      <c r="F284" s="295">
        <v>0</v>
      </c>
      <c r="G284" s="731"/>
      <c r="H284" s="732"/>
      <c r="I284" s="733"/>
      <c r="J284" s="576"/>
      <c r="Z284" s="108"/>
      <c r="AA284" s="108"/>
      <c r="AB284" s="108"/>
      <c r="AC284" s="108"/>
      <c r="AD284" s="108"/>
      <c r="AE284" s="108"/>
      <c r="AF284" s="108"/>
      <c r="AG284" s="108"/>
      <c r="AH284" s="108"/>
      <c r="AI284" s="108"/>
      <c r="AJ284" s="108"/>
      <c r="AK284" s="108"/>
      <c r="AL284" s="108"/>
      <c r="AM284" s="108"/>
      <c r="AN284" s="108"/>
      <c r="AO284" s="108"/>
      <c r="AP284" s="108"/>
      <c r="AQ284" s="108"/>
      <c r="AR284" s="108"/>
    </row>
    <row r="285" spans="1:44" ht="28.5" hidden="1" customHeight="1" x14ac:dyDescent="0.3">
      <c r="A285" s="108"/>
      <c r="B285" s="868" t="s">
        <v>50</v>
      </c>
      <c r="C285" s="868"/>
      <c r="D285" s="870"/>
      <c r="E285" s="886"/>
      <c r="F285" s="882"/>
      <c r="G285" s="882"/>
      <c r="H285" s="732"/>
      <c r="I285" s="733"/>
      <c r="Z285" s="108"/>
      <c r="AA285" s="108"/>
      <c r="AB285" s="108"/>
      <c r="AC285" s="108"/>
      <c r="AD285" s="108"/>
      <c r="AE285" s="108"/>
      <c r="AF285" s="108"/>
      <c r="AG285" s="108"/>
      <c r="AH285" s="108"/>
      <c r="AI285" s="108"/>
      <c r="AJ285" s="108"/>
      <c r="AK285" s="108"/>
      <c r="AL285" s="108"/>
      <c r="AM285" s="108"/>
      <c r="AN285" s="108"/>
      <c r="AO285" s="108"/>
      <c r="AP285" s="108"/>
      <c r="AQ285" s="108"/>
      <c r="AR285" s="108"/>
    </row>
    <row r="286" spans="1:44" ht="77.25" hidden="1" customHeight="1" x14ac:dyDescent="0.3">
      <c r="A286" s="108">
        <v>542</v>
      </c>
      <c r="B286" s="672" t="s">
        <v>59</v>
      </c>
      <c r="C286" s="834" t="s">
        <v>1200</v>
      </c>
      <c r="D286" s="29" t="s">
        <v>170</v>
      </c>
      <c r="E286" s="670" t="e">
        <f>HLOOKUP($D$2,'2020 Data(H)'!$C$1:$AB$426,192,FALSE)</f>
        <v>#N/A</v>
      </c>
      <c r="F286" s="295">
        <v>0</v>
      </c>
      <c r="G286" s="731"/>
      <c r="H286" s="732"/>
      <c r="I286" s="778"/>
      <c r="Z286" s="108"/>
      <c r="AA286" s="108"/>
      <c r="AB286" s="108"/>
      <c r="AC286" s="108"/>
      <c r="AD286" s="108"/>
      <c r="AE286" s="108"/>
      <c r="AF286" s="108"/>
      <c r="AG286" s="108"/>
      <c r="AH286" s="108"/>
      <c r="AI286" s="108"/>
      <c r="AJ286" s="108"/>
      <c r="AK286" s="108"/>
      <c r="AL286" s="108"/>
      <c r="AM286" s="108"/>
      <c r="AN286" s="108"/>
      <c r="AO286" s="108"/>
      <c r="AP286" s="108"/>
      <c r="AQ286" s="108"/>
      <c r="AR286" s="108"/>
    </row>
    <row r="287" spans="1:44" ht="24.75" hidden="1" customHeight="1" x14ac:dyDescent="0.3">
      <c r="A287" s="108"/>
      <c r="B287" s="867" t="s">
        <v>1201</v>
      </c>
      <c r="C287" s="867"/>
      <c r="D287" s="843"/>
      <c r="E287" s="844"/>
      <c r="F287" s="864"/>
      <c r="G287" s="864"/>
      <c r="H287" s="17"/>
      <c r="I287" s="79"/>
      <c r="Z287" s="108"/>
      <c r="AA287" s="108"/>
      <c r="AB287" s="108"/>
      <c r="AC287" s="108"/>
      <c r="AD287" s="108"/>
      <c r="AE287" s="108"/>
      <c r="AF287" s="108"/>
      <c r="AG287" s="108"/>
      <c r="AH287" s="108"/>
      <c r="AI287" s="108"/>
      <c r="AJ287" s="108"/>
      <c r="AK287" s="108"/>
      <c r="AL287" s="108"/>
      <c r="AM287" s="108"/>
      <c r="AN287" s="108"/>
      <c r="AO287" s="108"/>
      <c r="AP287" s="108"/>
      <c r="AQ287" s="108"/>
      <c r="AR287" s="108"/>
    </row>
    <row r="288" spans="1:44" ht="25.5" hidden="1" customHeight="1" x14ac:dyDescent="0.3">
      <c r="A288" s="108"/>
      <c r="B288" s="887" t="s">
        <v>12</v>
      </c>
      <c r="C288" s="887"/>
      <c r="D288" s="843"/>
      <c r="E288" s="844"/>
      <c r="F288" s="888"/>
      <c r="G288" s="864"/>
      <c r="H288" s="17"/>
      <c r="I288" s="79"/>
      <c r="Z288" s="108"/>
      <c r="AA288" s="108"/>
      <c r="AB288" s="108"/>
      <c r="AC288" s="108"/>
      <c r="AD288" s="108"/>
      <c r="AE288" s="108"/>
      <c r="AF288" s="108"/>
      <c r="AG288" s="108"/>
      <c r="AH288" s="108"/>
      <c r="AI288" s="108"/>
      <c r="AJ288" s="108"/>
      <c r="AK288" s="108"/>
      <c r="AL288" s="108"/>
      <c r="AM288" s="108"/>
      <c r="AN288" s="108"/>
      <c r="AO288" s="108"/>
      <c r="AP288" s="108"/>
      <c r="AQ288" s="108"/>
      <c r="AR288" s="108"/>
    </row>
    <row r="289" spans="1:44" ht="77.25" hidden="1" customHeight="1" x14ac:dyDescent="0.3">
      <c r="A289" s="34">
        <v>528</v>
      </c>
      <c r="B289" s="672" t="s">
        <v>55</v>
      </c>
      <c r="C289" s="4" t="s">
        <v>171</v>
      </c>
      <c r="D289" s="609" t="s">
        <v>1238</v>
      </c>
      <c r="E289" s="670" t="e">
        <f>HLOOKUP($D$2,'2020 Data(H)'!$C$1:$AB$426,178,FALSE)</f>
        <v>#N/A</v>
      </c>
      <c r="F289" s="295">
        <v>0</v>
      </c>
      <c r="G289" s="731">
        <f>IF(F289="","Error: Unit must enter this information if they levy taxes.",)</f>
        <v>0</v>
      </c>
      <c r="H289" s="779"/>
      <c r="I289" s="79"/>
      <c r="J289" s="780"/>
      <c r="Z289" s="34"/>
      <c r="AA289" s="34"/>
      <c r="AB289" s="34"/>
      <c r="AC289" s="34"/>
      <c r="AD289" s="34"/>
      <c r="AE289" s="34"/>
      <c r="AF289" s="34"/>
      <c r="AG289" s="34"/>
      <c r="AH289" s="34"/>
      <c r="AI289" s="34"/>
      <c r="AJ289" s="34"/>
      <c r="AK289" s="34"/>
      <c r="AL289" s="34"/>
      <c r="AM289" s="34"/>
      <c r="AN289" s="34"/>
      <c r="AO289" s="34"/>
      <c r="AP289" s="34"/>
      <c r="AQ289" s="34"/>
      <c r="AR289" s="34"/>
    </row>
    <row r="290" spans="1:44" ht="69" hidden="1" customHeight="1" x14ac:dyDescent="0.3">
      <c r="A290" s="34">
        <v>529</v>
      </c>
      <c r="B290" s="672" t="s">
        <v>55</v>
      </c>
      <c r="C290" s="4" t="s">
        <v>171</v>
      </c>
      <c r="D290" s="609" t="s">
        <v>1202</v>
      </c>
      <c r="E290" s="670" t="e">
        <f>HLOOKUP($D$2,'2020 Data(H)'!$C$1:$AB$426,179,FALSE)</f>
        <v>#N/A</v>
      </c>
      <c r="F290" s="295">
        <v>0</v>
      </c>
      <c r="G290" s="731">
        <f>IF(F290="","Error: Unit must enter this information if they levy taxes.",)</f>
        <v>0</v>
      </c>
      <c r="H290" s="17"/>
      <c r="I290" s="79"/>
      <c r="Z290" s="34"/>
      <c r="AA290" s="34"/>
      <c r="AB290" s="34"/>
      <c r="AC290" s="34"/>
      <c r="AD290" s="34"/>
      <c r="AE290" s="34"/>
      <c r="AF290" s="34"/>
      <c r="AG290" s="34"/>
      <c r="AH290" s="34"/>
      <c r="AI290" s="34"/>
      <c r="AJ290" s="34"/>
      <c r="AK290" s="34"/>
      <c r="AL290" s="34"/>
      <c r="AM290" s="34"/>
      <c r="AN290" s="34"/>
      <c r="AO290" s="34"/>
      <c r="AP290" s="34"/>
      <c r="AQ290" s="34"/>
      <c r="AR290" s="34"/>
    </row>
    <row r="291" spans="1:44" ht="69" hidden="1" customHeight="1" x14ac:dyDescent="0.3">
      <c r="A291" s="34">
        <v>530</v>
      </c>
      <c r="B291" s="672" t="s">
        <v>55</v>
      </c>
      <c r="C291" s="4" t="s">
        <v>171</v>
      </c>
      <c r="D291" s="835" t="s">
        <v>1203</v>
      </c>
      <c r="E291" s="670" t="e">
        <f>HLOOKUP($D$2,'2020 Data(H)'!$C$1:$AB$426,180,FALSE)</f>
        <v>#N/A</v>
      </c>
      <c r="F291" s="295">
        <v>0</v>
      </c>
      <c r="G291" s="731">
        <f>IF(F291="","Error: Unit must enter this information if they levy taxes.",)</f>
        <v>0</v>
      </c>
      <c r="H291" s="17"/>
      <c r="I291" s="79"/>
      <c r="Z291" s="34"/>
      <c r="AA291" s="34"/>
      <c r="AB291" s="34"/>
      <c r="AC291" s="34"/>
      <c r="AD291" s="34"/>
      <c r="AE291" s="34"/>
      <c r="AF291" s="34"/>
      <c r="AG291" s="34"/>
      <c r="AH291" s="34"/>
      <c r="AI291" s="34"/>
      <c r="AJ291" s="34"/>
      <c r="AK291" s="34"/>
      <c r="AL291" s="34"/>
      <c r="AM291" s="34"/>
      <c r="AN291" s="34"/>
      <c r="AO291" s="34"/>
      <c r="AP291" s="34"/>
      <c r="AQ291" s="34"/>
      <c r="AR291" s="34"/>
    </row>
    <row r="292" spans="1:44" ht="55.5" hidden="1" customHeight="1" x14ac:dyDescent="0.3">
      <c r="A292" s="34">
        <v>531</v>
      </c>
      <c r="B292" s="672" t="s">
        <v>55</v>
      </c>
      <c r="C292" s="4" t="s">
        <v>171</v>
      </c>
      <c r="D292" s="835" t="s">
        <v>1204</v>
      </c>
      <c r="E292" s="670" t="e">
        <f>HLOOKUP($D$2,'2020 Data(H)'!$C$1:$AB$426,181,FALSE)</f>
        <v>#N/A</v>
      </c>
      <c r="F292" s="295">
        <v>0</v>
      </c>
      <c r="G292" s="731">
        <f>IF(F292="","Error: Unit must enter this information if they levy taxes.",)</f>
        <v>0</v>
      </c>
      <c r="H292" s="17"/>
      <c r="I292" s="79"/>
      <c r="Z292" s="34"/>
      <c r="AA292" s="34"/>
      <c r="AB292" s="34"/>
      <c r="AC292" s="34"/>
      <c r="AD292" s="34"/>
      <c r="AE292" s="34"/>
      <c r="AF292" s="34"/>
      <c r="AG292" s="34"/>
      <c r="AH292" s="34"/>
      <c r="AI292" s="34"/>
      <c r="AJ292" s="34"/>
      <c r="AK292" s="34"/>
      <c r="AL292" s="34"/>
      <c r="AM292" s="34"/>
      <c r="AN292" s="34"/>
      <c r="AO292" s="34"/>
      <c r="AP292" s="34"/>
      <c r="AQ292" s="34"/>
      <c r="AR292" s="34"/>
    </row>
    <row r="293" spans="1:44" ht="69" hidden="1" customHeight="1" x14ac:dyDescent="0.3">
      <c r="A293" s="108">
        <v>61</v>
      </c>
      <c r="B293" s="4" t="s">
        <v>59</v>
      </c>
      <c r="C293" s="4" t="s">
        <v>171</v>
      </c>
      <c r="D293" s="29" t="s">
        <v>1205</v>
      </c>
      <c r="E293" s="35" t="e">
        <f>HLOOKUP($D$2,'2020 Data(H)'!$C$1:$AB$426,43,FALSE)</f>
        <v>#N/A</v>
      </c>
      <c r="F293" s="282">
        <v>0</v>
      </c>
      <c r="G293" s="731" t="e">
        <f>IF(F293=H293," ","Please check values in account 528, 529, 530 and  531.")</f>
        <v>#DIV/0!</v>
      </c>
      <c r="H293" s="781" t="e">
        <f>ROUND((F289+F290-F291-F292)/(F289+F290)*100,2)</f>
        <v>#DIV/0!</v>
      </c>
      <c r="I293" s="79"/>
      <c r="Z293" s="108"/>
      <c r="AA293" s="108"/>
      <c r="AB293" s="108"/>
      <c r="AC293" s="108"/>
      <c r="AD293" s="108"/>
      <c r="AE293" s="108"/>
      <c r="AF293" s="108"/>
      <c r="AG293" s="108"/>
      <c r="AH293" s="108"/>
      <c r="AI293" s="108"/>
      <c r="AJ293" s="108"/>
      <c r="AK293" s="108"/>
      <c r="AL293" s="108"/>
      <c r="AM293" s="108"/>
      <c r="AN293" s="108"/>
      <c r="AO293" s="108"/>
      <c r="AP293" s="108"/>
      <c r="AQ293" s="108"/>
      <c r="AR293" s="108"/>
    </row>
    <row r="294" spans="1:44" ht="69" hidden="1" customHeight="1" x14ac:dyDescent="0.3">
      <c r="A294" s="108">
        <v>102</v>
      </c>
      <c r="B294" s="4" t="s">
        <v>59</v>
      </c>
      <c r="C294" s="4" t="s">
        <v>171</v>
      </c>
      <c r="D294" s="60" t="s">
        <v>1206</v>
      </c>
      <c r="E294" s="35" t="e">
        <f>HLOOKUP($D$2,'2020 Data(H)'!$C$1:$AB$426,62,FALSE)</f>
        <v>#N/A</v>
      </c>
      <c r="F294" s="282">
        <v>0</v>
      </c>
      <c r="G294" s="731" t="e">
        <f>IF(F294=H294," ","Please check values in account 528 and 530.")</f>
        <v>#DIV/0!</v>
      </c>
      <c r="H294" s="781" t="e">
        <f>ROUND((F289-F291)/(F289)*100,2)</f>
        <v>#DIV/0!</v>
      </c>
      <c r="I294" s="79"/>
      <c r="Z294" s="108"/>
      <c r="AA294" s="108"/>
      <c r="AB294" s="108"/>
      <c r="AC294" s="108"/>
      <c r="AD294" s="108"/>
      <c r="AE294" s="108"/>
      <c r="AF294" s="108"/>
      <c r="AG294" s="108"/>
      <c r="AH294" s="108"/>
      <c r="AI294" s="108"/>
      <c r="AJ294" s="108"/>
      <c r="AK294" s="108"/>
      <c r="AL294" s="108"/>
      <c r="AM294" s="108"/>
      <c r="AN294" s="108"/>
      <c r="AO294" s="108"/>
      <c r="AP294" s="108"/>
      <c r="AQ294" s="108"/>
      <c r="AR294" s="108"/>
    </row>
    <row r="295" spans="1:44" ht="63.75" hidden="1" customHeight="1" x14ac:dyDescent="0.3">
      <c r="A295" s="108">
        <v>103</v>
      </c>
      <c r="B295" s="4" t="s">
        <v>59</v>
      </c>
      <c r="C295" s="4" t="s">
        <v>171</v>
      </c>
      <c r="D295" s="29" t="s">
        <v>1207</v>
      </c>
      <c r="E295" s="35" t="e">
        <f>HLOOKUP($D$2,'2020 Data(H)'!$C$1:$AB$426,63,FALSE)</f>
        <v>#N/A</v>
      </c>
      <c r="F295" s="282">
        <v>0</v>
      </c>
      <c r="G295" s="731" t="e">
        <f>IF(F295=H295," ","Please check values in account 529 and 531.")</f>
        <v>#DIV/0!</v>
      </c>
      <c r="H295" s="781" t="e">
        <f>ROUND((F290-F292)/F290*100,2)</f>
        <v>#DIV/0!</v>
      </c>
      <c r="I295" s="79"/>
      <c r="M295" s="18" t="s">
        <v>708</v>
      </c>
      <c r="Z295" s="108"/>
      <c r="AA295" s="108"/>
      <c r="AB295" s="108"/>
      <c r="AC295" s="108"/>
      <c r="AD295" s="108"/>
      <c r="AE295" s="108"/>
      <c r="AF295" s="108"/>
      <c r="AG295" s="108"/>
      <c r="AH295" s="108"/>
      <c r="AI295" s="108"/>
      <c r="AJ295" s="108"/>
      <c r="AK295" s="108"/>
      <c r="AL295" s="108"/>
      <c r="AM295" s="108"/>
      <c r="AN295" s="108"/>
      <c r="AO295" s="108"/>
      <c r="AP295" s="108"/>
      <c r="AQ295" s="108"/>
      <c r="AR295" s="108"/>
    </row>
    <row r="296" spans="1:44" ht="72" hidden="1" customHeight="1" x14ac:dyDescent="0.3">
      <c r="A296" s="108">
        <v>544</v>
      </c>
      <c r="B296" s="672" t="s">
        <v>59</v>
      </c>
      <c r="C296" s="672" t="s">
        <v>171</v>
      </c>
      <c r="D296" s="24" t="s">
        <v>1208</v>
      </c>
      <c r="E296" s="36" t="e">
        <f>HLOOKUP($D$2,'2020 Data(H)'!$C$1:$AB$426,194,FALSE)</f>
        <v>#N/A</v>
      </c>
      <c r="F296" s="365">
        <v>0</v>
      </c>
      <c r="G296" s="731"/>
      <c r="H296" s="17"/>
      <c r="I296" s="108"/>
      <c r="J296" s="836"/>
      <c r="M296" s="18" t="s">
        <v>51</v>
      </c>
      <c r="Z296" s="108"/>
      <c r="AA296" s="108"/>
      <c r="AB296" s="108"/>
      <c r="AC296" s="108"/>
      <c r="AD296" s="108"/>
      <c r="AE296" s="108"/>
      <c r="AF296" s="108"/>
      <c r="AG296" s="108"/>
      <c r="AH296" s="108"/>
      <c r="AI296" s="108"/>
      <c r="AJ296" s="108"/>
      <c r="AK296" s="108"/>
      <c r="AL296" s="108"/>
      <c r="AM296" s="108"/>
      <c r="AN296" s="108"/>
      <c r="AO296" s="108"/>
      <c r="AP296" s="108"/>
      <c r="AQ296" s="108"/>
      <c r="AR296" s="108"/>
    </row>
    <row r="297" spans="1:44" ht="73.5" hidden="1" customHeight="1" x14ac:dyDescent="0.3">
      <c r="A297" s="108">
        <v>545</v>
      </c>
      <c r="B297" s="672" t="s">
        <v>59</v>
      </c>
      <c r="C297" s="672" t="s">
        <v>171</v>
      </c>
      <c r="D297" s="24" t="s">
        <v>1209</v>
      </c>
      <c r="E297" s="36"/>
      <c r="F297" s="365">
        <v>0</v>
      </c>
      <c r="G297" s="731"/>
      <c r="H297" s="17"/>
      <c r="I297" s="137"/>
      <c r="J297" s="836"/>
      <c r="M297" s="18" t="s">
        <v>52</v>
      </c>
      <c r="Z297" s="108"/>
      <c r="AA297" s="108"/>
      <c r="AB297" s="108"/>
      <c r="AC297" s="108"/>
      <c r="AD297" s="108"/>
      <c r="AE297" s="108"/>
      <c r="AF297" s="108"/>
      <c r="AG297" s="108"/>
      <c r="AH297" s="108"/>
      <c r="AI297" s="108"/>
      <c r="AJ297" s="108"/>
      <c r="AK297" s="108"/>
      <c r="AL297" s="108"/>
      <c r="AM297" s="108"/>
      <c r="AN297" s="108"/>
      <c r="AO297" s="108"/>
      <c r="AP297" s="108"/>
      <c r="AQ297" s="108"/>
      <c r="AR297" s="108"/>
    </row>
    <row r="298" spans="1:44" ht="51.75" hidden="1" customHeight="1" x14ac:dyDescent="0.3">
      <c r="A298" s="125">
        <v>624</v>
      </c>
      <c r="B298" s="124" t="s">
        <v>59</v>
      </c>
      <c r="C298" s="124"/>
      <c r="D298" s="124" t="s">
        <v>412</v>
      </c>
      <c r="E298" s="36"/>
      <c r="F298" s="272"/>
      <c r="G298" s="774" t="str">
        <f>IF(+F298&lt;1,"Please answer this question","")</f>
        <v>Please answer this question</v>
      </c>
      <c r="H298" s="17"/>
      <c r="I298" s="108"/>
      <c r="J298" s="836"/>
      <c r="M298" s="18" t="s">
        <v>709</v>
      </c>
      <c r="Z298" s="125"/>
      <c r="AA298" s="125"/>
      <c r="AB298" s="125"/>
      <c r="AC298" s="125"/>
      <c r="AD298" s="125"/>
      <c r="AE298" s="125"/>
      <c r="AF298" s="125"/>
      <c r="AG298" s="125"/>
      <c r="AH298" s="125"/>
      <c r="AI298" s="125"/>
      <c r="AJ298" s="125"/>
      <c r="AK298" s="125"/>
      <c r="AL298" s="125"/>
      <c r="AM298" s="125"/>
      <c r="AN298" s="125"/>
      <c r="AO298" s="125"/>
      <c r="AP298" s="125"/>
      <c r="AQ298" s="125"/>
      <c r="AR298" s="125"/>
    </row>
    <row r="299" spans="1:44" ht="70.5" hidden="1" customHeight="1" x14ac:dyDescent="0.3">
      <c r="A299" s="673">
        <v>648</v>
      </c>
      <c r="B299" s="315" t="s">
        <v>806</v>
      </c>
      <c r="C299" s="830" t="s">
        <v>171</v>
      </c>
      <c r="D299" s="315" t="s">
        <v>1071</v>
      </c>
      <c r="E299" s="672" t="s">
        <v>707</v>
      </c>
      <c r="F299" s="365">
        <v>0</v>
      </c>
      <c r="G299" s="774"/>
      <c r="H299" s="17"/>
      <c r="I299" s="108"/>
      <c r="J299" s="836"/>
      <c r="Z299" s="673"/>
      <c r="AA299" s="673"/>
      <c r="AB299" s="673"/>
      <c r="AC299" s="673"/>
      <c r="AD299" s="673"/>
      <c r="AE299" s="673"/>
      <c r="AF299" s="673"/>
      <c r="AG299" s="673"/>
      <c r="AH299" s="673"/>
      <c r="AI299" s="673"/>
      <c r="AJ299" s="673"/>
      <c r="AK299" s="673"/>
      <c r="AL299" s="673"/>
      <c r="AM299" s="673"/>
      <c r="AN299" s="673"/>
      <c r="AO299" s="673"/>
      <c r="AP299" s="673"/>
      <c r="AQ299" s="673"/>
      <c r="AR299" s="673"/>
    </row>
    <row r="300" spans="1:44" ht="171" hidden="1" customHeight="1" x14ac:dyDescent="0.3">
      <c r="A300" s="673">
        <v>991</v>
      </c>
      <c r="B300" s="314" t="s">
        <v>737</v>
      </c>
      <c r="C300" s="315"/>
      <c r="D300" s="782" t="s">
        <v>999</v>
      </c>
      <c r="E300" s="672" t="s">
        <v>707</v>
      </c>
      <c r="F300" s="272"/>
      <c r="G300" s="774"/>
      <c r="H300" s="783" t="s">
        <v>733</v>
      </c>
      <c r="I300" s="254"/>
      <c r="J300" s="836"/>
      <c r="M300" s="18" t="s">
        <v>734</v>
      </c>
      <c r="Z300" s="673"/>
      <c r="AA300" s="673"/>
      <c r="AB300" s="673"/>
      <c r="AC300" s="673"/>
      <c r="AD300" s="673"/>
      <c r="AE300" s="673"/>
      <c r="AF300" s="673"/>
      <c r="AG300" s="673"/>
      <c r="AH300" s="673"/>
      <c r="AI300" s="673"/>
      <c r="AJ300" s="673"/>
      <c r="AK300" s="673"/>
      <c r="AL300" s="673"/>
      <c r="AM300" s="673"/>
      <c r="AN300" s="673"/>
      <c r="AO300" s="673"/>
      <c r="AP300" s="673"/>
      <c r="AQ300" s="673"/>
      <c r="AR300" s="673"/>
    </row>
    <row r="301" spans="1:44" ht="27.75" hidden="1" customHeight="1" x14ac:dyDescent="0.3">
      <c r="A301" s="108"/>
      <c r="B301" s="867" t="s">
        <v>404</v>
      </c>
      <c r="C301" s="867"/>
      <c r="D301" s="867"/>
      <c r="E301" s="889"/>
      <c r="F301" s="889"/>
      <c r="G301" s="890"/>
      <c r="H301" s="17"/>
      <c r="I301" s="108"/>
      <c r="J301" s="836"/>
      <c r="M301" s="18" t="s">
        <v>735</v>
      </c>
      <c r="Z301" s="108"/>
      <c r="AA301" s="108"/>
      <c r="AB301" s="108"/>
      <c r="AC301" s="108"/>
      <c r="AD301" s="108"/>
      <c r="AE301" s="108"/>
      <c r="AF301" s="108"/>
      <c r="AG301" s="108"/>
      <c r="AH301" s="108"/>
      <c r="AI301" s="108"/>
      <c r="AJ301" s="108"/>
      <c r="AK301" s="108"/>
      <c r="AL301" s="108"/>
      <c r="AM301" s="108"/>
      <c r="AN301" s="108"/>
      <c r="AO301" s="108"/>
      <c r="AP301" s="108"/>
      <c r="AQ301" s="108"/>
      <c r="AR301" s="108"/>
    </row>
    <row r="302" spans="1:44" ht="68.25" hidden="1" customHeight="1" x14ac:dyDescent="0.3">
      <c r="A302" s="108">
        <v>620</v>
      </c>
      <c r="B302" s="672" t="s">
        <v>59</v>
      </c>
      <c r="C302" s="672"/>
      <c r="D302" s="24" t="s">
        <v>403</v>
      </c>
      <c r="E302" s="910"/>
      <c r="F302" s="272"/>
      <c r="G302" s="774" t="str">
        <f>IF(F302&lt;1,"Please answer this question","")</f>
        <v>Please answer this question</v>
      </c>
      <c r="H302" s="17"/>
      <c r="I302" s="108"/>
      <c r="J302" s="836"/>
      <c r="M302" s="18" t="s">
        <v>736</v>
      </c>
      <c r="Z302" s="108"/>
      <c r="AA302" s="108"/>
      <c r="AB302" s="108"/>
      <c r="AC302" s="108"/>
      <c r="AD302" s="108"/>
      <c r="AE302" s="108"/>
      <c r="AF302" s="108"/>
      <c r="AG302" s="108"/>
      <c r="AH302" s="108"/>
      <c r="AI302" s="108"/>
      <c r="AJ302" s="108"/>
      <c r="AK302" s="108"/>
      <c r="AL302" s="108"/>
      <c r="AM302" s="108"/>
      <c r="AN302" s="108"/>
      <c r="AO302" s="108"/>
      <c r="AP302" s="108"/>
      <c r="AQ302" s="108"/>
      <c r="AR302" s="108"/>
    </row>
    <row r="303" spans="1:44" ht="123.75" customHeight="1" x14ac:dyDescent="0.3">
      <c r="A303" s="837"/>
      <c r="B303" s="1091" t="s">
        <v>560</v>
      </c>
      <c r="C303" s="1091"/>
      <c r="D303" s="1091"/>
      <c r="E303" s="903"/>
      <c r="F303" s="903"/>
      <c r="G303" s="903"/>
      <c r="H303" s="17"/>
      <c r="I303" s="108"/>
      <c r="J303" s="836"/>
      <c r="M303" s="18" t="s">
        <v>568</v>
      </c>
      <c r="Z303" s="837"/>
      <c r="AA303" s="837"/>
      <c r="AB303" s="837"/>
      <c r="AC303" s="837"/>
      <c r="AD303" s="837"/>
      <c r="AE303" s="837"/>
      <c r="AF303" s="837"/>
      <c r="AG303" s="837"/>
      <c r="AH303" s="837"/>
      <c r="AI303" s="837"/>
      <c r="AJ303" s="837"/>
      <c r="AK303" s="837"/>
      <c r="AL303" s="837"/>
      <c r="AM303" s="837"/>
      <c r="AN303" s="837"/>
      <c r="AO303" s="837"/>
      <c r="AP303" s="837"/>
      <c r="AQ303" s="837"/>
      <c r="AR303" s="837"/>
    </row>
    <row r="304" spans="1:44" ht="63" customHeight="1" x14ac:dyDescent="0.3">
      <c r="A304" s="308">
        <v>947</v>
      </c>
      <c r="B304" s="838"/>
      <c r="C304" s="838"/>
      <c r="D304" s="174" t="s">
        <v>512</v>
      </c>
      <c r="E304" s="675"/>
      <c r="F304" s="784"/>
      <c r="G304" s="774" t="str">
        <f>IF(ISBLANK(F304),"Please do not leave blank","")</f>
        <v>Please do not leave blank</v>
      </c>
      <c r="H304" s="17"/>
      <c r="I304" s="296"/>
      <c r="J304" s="710"/>
      <c r="K304" s="296"/>
      <c r="L304" s="296"/>
      <c r="M304" s="296"/>
      <c r="O304" s="296"/>
      <c r="Z304" s="308"/>
      <c r="AA304" s="308"/>
      <c r="AB304" s="308"/>
      <c r="AC304" s="308"/>
      <c r="AD304" s="308"/>
      <c r="AE304" s="308"/>
      <c r="AF304" s="308"/>
      <c r="AG304" s="308"/>
      <c r="AH304" s="308"/>
      <c r="AI304" s="308"/>
      <c r="AJ304" s="308"/>
      <c r="AK304" s="308"/>
      <c r="AL304" s="308"/>
      <c r="AM304" s="308"/>
      <c r="AN304" s="308"/>
      <c r="AO304" s="308"/>
      <c r="AP304" s="308"/>
      <c r="AQ304" s="308"/>
      <c r="AR304" s="308"/>
    </row>
    <row r="305" spans="1:44" ht="65.25" customHeight="1" x14ac:dyDescent="0.3">
      <c r="A305" s="308">
        <v>948</v>
      </c>
      <c r="B305" s="838"/>
      <c r="C305" s="838"/>
      <c r="D305" s="174" t="s">
        <v>513</v>
      </c>
      <c r="E305" s="675"/>
      <c r="F305" s="784"/>
      <c r="G305" s="774" t="str">
        <f t="shared" ref="G305:G311" si="3">IF(ISBLANK(F305),"Please do not leave blank","")</f>
        <v>Please do not leave blank</v>
      </c>
      <c r="H305" s="17"/>
      <c r="I305" s="296"/>
      <c r="J305" s="710"/>
      <c r="K305" s="296"/>
      <c r="L305" s="296"/>
      <c r="M305" s="296"/>
      <c r="O305" s="296"/>
      <c r="Z305" s="308"/>
      <c r="AA305" s="308"/>
      <c r="AB305" s="308"/>
      <c r="AC305" s="308"/>
      <c r="AD305" s="308"/>
      <c r="AE305" s="308"/>
      <c r="AF305" s="308"/>
      <c r="AG305" s="308"/>
      <c r="AH305" s="308"/>
      <c r="AI305" s="308"/>
      <c r="AJ305" s="308"/>
      <c r="AK305" s="308"/>
      <c r="AL305" s="308"/>
      <c r="AM305" s="308"/>
      <c r="AN305" s="308"/>
      <c r="AO305" s="308"/>
      <c r="AP305" s="308"/>
      <c r="AQ305" s="308"/>
      <c r="AR305" s="308"/>
    </row>
    <row r="306" spans="1:44" ht="76.5" customHeight="1" x14ac:dyDescent="0.3">
      <c r="A306" s="308">
        <v>949</v>
      </c>
      <c r="B306" s="838"/>
      <c r="C306" s="838"/>
      <c r="D306" s="174" t="s">
        <v>514</v>
      </c>
      <c r="E306" s="675"/>
      <c r="F306" s="784"/>
      <c r="G306" s="774" t="str">
        <f t="shared" si="3"/>
        <v>Please do not leave blank</v>
      </c>
      <c r="H306" s="17"/>
      <c r="I306" s="296"/>
      <c r="J306" s="710"/>
      <c r="K306" s="296"/>
      <c r="L306" s="296"/>
      <c r="M306" s="296"/>
      <c r="O306" s="296"/>
      <c r="Z306" s="308"/>
      <c r="AA306" s="308"/>
      <c r="AB306" s="308"/>
      <c r="AC306" s="308"/>
      <c r="AD306" s="308"/>
      <c r="AE306" s="308"/>
      <c r="AF306" s="308"/>
      <c r="AG306" s="308"/>
      <c r="AH306" s="308"/>
      <c r="AI306" s="308"/>
      <c r="AJ306" s="308"/>
      <c r="AK306" s="308"/>
      <c r="AL306" s="308"/>
      <c r="AM306" s="308"/>
      <c r="AN306" s="308"/>
      <c r="AO306" s="308"/>
      <c r="AP306" s="308"/>
      <c r="AQ306" s="308"/>
      <c r="AR306" s="308"/>
    </row>
    <row r="307" spans="1:44" ht="60" customHeight="1" x14ac:dyDescent="0.3">
      <c r="A307" s="308">
        <v>950</v>
      </c>
      <c r="B307" s="838"/>
      <c r="C307" s="838"/>
      <c r="D307" s="174" t="s">
        <v>496</v>
      </c>
      <c r="E307" s="675"/>
      <c r="F307" s="784"/>
      <c r="G307" s="774" t="str">
        <f t="shared" si="3"/>
        <v>Please do not leave blank</v>
      </c>
      <c r="H307" s="17"/>
      <c r="I307" s="296"/>
      <c r="J307" s="710"/>
      <c r="K307" s="296"/>
      <c r="L307" s="296"/>
      <c r="M307" s="296"/>
      <c r="O307" s="296"/>
      <c r="Z307" s="308"/>
      <c r="AA307" s="308"/>
      <c r="AB307" s="308"/>
      <c r="AC307" s="308"/>
      <c r="AD307" s="308"/>
      <c r="AE307" s="308"/>
      <c r="AF307" s="308"/>
      <c r="AG307" s="308"/>
      <c r="AH307" s="308"/>
      <c r="AI307" s="308"/>
      <c r="AJ307" s="308"/>
      <c r="AK307" s="308"/>
      <c r="AL307" s="308"/>
      <c r="AM307" s="308"/>
      <c r="AN307" s="308"/>
      <c r="AO307" s="308"/>
      <c r="AP307" s="308"/>
      <c r="AQ307" s="308"/>
      <c r="AR307" s="308"/>
    </row>
    <row r="308" spans="1:44" ht="72" x14ac:dyDescent="0.3">
      <c r="A308" s="308">
        <v>952</v>
      </c>
      <c r="B308" s="838"/>
      <c r="C308" s="838"/>
      <c r="D308" s="785" t="s">
        <v>1093</v>
      </c>
      <c r="E308" s="675"/>
      <c r="F308" s="786"/>
      <c r="G308" s="774" t="s">
        <v>1239</v>
      </c>
      <c r="H308" s="17"/>
      <c r="I308" s="787"/>
      <c r="J308" s="710"/>
      <c r="K308" s="296"/>
      <c r="L308" s="296"/>
      <c r="M308" s="296"/>
      <c r="O308" s="296"/>
      <c r="Z308" s="308"/>
      <c r="AA308" s="308"/>
      <c r="AB308" s="308"/>
      <c r="AC308" s="308"/>
      <c r="AD308" s="308"/>
      <c r="AE308" s="308"/>
      <c r="AF308" s="308"/>
      <c r="AG308" s="308"/>
      <c r="AH308" s="308"/>
      <c r="AI308" s="308"/>
      <c r="AJ308" s="308"/>
      <c r="AK308" s="308"/>
      <c r="AL308" s="308"/>
      <c r="AM308" s="308"/>
      <c r="AN308" s="308"/>
      <c r="AO308" s="308"/>
      <c r="AP308" s="308"/>
      <c r="AQ308" s="308"/>
      <c r="AR308" s="308"/>
    </row>
    <row r="309" spans="1:44" ht="93" customHeight="1" x14ac:dyDescent="0.3">
      <c r="A309" s="308">
        <v>954</v>
      </c>
      <c r="B309" s="838"/>
      <c r="C309" s="838"/>
      <c r="D309" s="785" t="s">
        <v>497</v>
      </c>
      <c r="E309" s="675"/>
      <c r="F309" s="784"/>
      <c r="G309" s="774" t="str">
        <f t="shared" si="3"/>
        <v>Please do not leave blank</v>
      </c>
      <c r="H309" s="17"/>
      <c r="I309" s="296"/>
      <c r="J309" s="710"/>
      <c r="K309" s="296"/>
      <c r="L309" s="296"/>
      <c r="M309" s="296"/>
      <c r="O309" s="296"/>
      <c r="Z309" s="308"/>
      <c r="AA309" s="308"/>
      <c r="AB309" s="308"/>
      <c r="AC309" s="308"/>
      <c r="AD309" s="308"/>
      <c r="AE309" s="308"/>
      <c r="AF309" s="308"/>
      <c r="AG309" s="308"/>
      <c r="AH309" s="308"/>
      <c r="AI309" s="308"/>
      <c r="AJ309" s="308"/>
      <c r="AK309" s="308"/>
      <c r="AL309" s="308"/>
      <c r="AM309" s="308"/>
      <c r="AN309" s="308"/>
      <c r="AO309" s="308"/>
      <c r="AP309" s="308"/>
      <c r="AQ309" s="308"/>
      <c r="AR309" s="308"/>
    </row>
    <row r="310" spans="1:44" ht="98.25" customHeight="1" x14ac:dyDescent="0.3">
      <c r="A310" s="308">
        <v>956</v>
      </c>
      <c r="B310" s="838"/>
      <c r="C310" s="838"/>
      <c r="D310" s="785" t="s">
        <v>498</v>
      </c>
      <c r="E310" s="675"/>
      <c r="F310" s="784"/>
      <c r="G310" s="774" t="str">
        <f t="shared" si="3"/>
        <v>Please do not leave blank</v>
      </c>
      <c r="H310" s="17"/>
      <c r="I310" s="296"/>
      <c r="J310" s="300"/>
      <c r="K310" s="296"/>
      <c r="L310" s="296"/>
      <c r="M310" s="296"/>
      <c r="O310" s="296"/>
      <c r="Z310" s="308"/>
      <c r="AA310" s="308"/>
      <c r="AB310" s="308"/>
      <c r="AC310" s="308"/>
      <c r="AD310" s="308"/>
      <c r="AE310" s="308"/>
      <c r="AF310" s="308"/>
      <c r="AG310" s="308"/>
      <c r="AH310" s="308"/>
      <c r="AI310" s="308"/>
      <c r="AJ310" s="308"/>
      <c r="AK310" s="308"/>
      <c r="AL310" s="308"/>
      <c r="AM310" s="308"/>
      <c r="AN310" s="308"/>
      <c r="AO310" s="308"/>
      <c r="AP310" s="308"/>
      <c r="AQ310" s="308"/>
      <c r="AR310" s="308"/>
    </row>
    <row r="311" spans="1:44" ht="218.25" customHeight="1" x14ac:dyDescent="0.3">
      <c r="A311" s="308">
        <v>958</v>
      </c>
      <c r="B311" s="838"/>
      <c r="C311" s="838"/>
      <c r="D311" s="782" t="s">
        <v>940</v>
      </c>
      <c r="E311" s="675"/>
      <c r="F311" s="784"/>
      <c r="G311" s="774" t="str">
        <f t="shared" si="3"/>
        <v>Please do not leave blank</v>
      </c>
      <c r="H311" s="17"/>
      <c r="I311" s="296"/>
      <c r="J311" s="296"/>
      <c r="K311" s="296"/>
      <c r="L311" s="296"/>
      <c r="M311" s="296"/>
      <c r="O311" s="296"/>
      <c r="Z311" s="308"/>
      <c r="AA311" s="308"/>
      <c r="AB311" s="308"/>
      <c r="AC311" s="308"/>
      <c r="AD311" s="308"/>
      <c r="AE311" s="308"/>
      <c r="AF311" s="308"/>
      <c r="AG311" s="308"/>
      <c r="AH311" s="308"/>
      <c r="AI311" s="308"/>
      <c r="AJ311" s="308"/>
      <c r="AK311" s="308"/>
      <c r="AL311" s="308"/>
      <c r="AM311" s="308"/>
      <c r="AN311" s="308"/>
      <c r="AO311" s="308"/>
      <c r="AP311" s="308"/>
      <c r="AQ311" s="308"/>
      <c r="AR311" s="308"/>
    </row>
    <row r="312" spans="1:44" ht="15" thickBot="1" x14ac:dyDescent="0.35">
      <c r="A312" s="108"/>
      <c r="B312" s="891"/>
      <c r="C312" s="892"/>
      <c r="D312" s="893" t="s">
        <v>500</v>
      </c>
      <c r="E312" s="877"/>
      <c r="F312" s="894"/>
      <c r="G312" s="895"/>
      <c r="H312" s="896"/>
      <c r="I312" s="296"/>
      <c r="J312" s="296"/>
      <c r="K312" s="296"/>
      <c r="L312" s="296"/>
      <c r="M312" s="296"/>
      <c r="O312" s="296"/>
      <c r="Z312" s="108"/>
      <c r="AA312" s="108"/>
      <c r="AB312" s="108"/>
      <c r="AC312" s="108"/>
      <c r="AD312" s="108"/>
      <c r="AE312" s="108"/>
      <c r="AF312" s="108"/>
      <c r="AG312" s="108"/>
      <c r="AH312" s="108"/>
      <c r="AI312" s="108"/>
      <c r="AJ312" s="108"/>
      <c r="AK312" s="108"/>
      <c r="AL312" s="108"/>
      <c r="AM312" s="108"/>
      <c r="AN312" s="108"/>
      <c r="AO312" s="108"/>
      <c r="AP312" s="108"/>
      <c r="AQ312" s="108"/>
      <c r="AR312" s="108"/>
    </row>
    <row r="313" spans="1:44" ht="15" thickBot="1" x14ac:dyDescent="0.35">
      <c r="B313" s="1088" t="s">
        <v>561</v>
      </c>
      <c r="C313" s="1089"/>
      <c r="D313" s="1089"/>
      <c r="E313" s="1090"/>
      <c r="F313" s="79"/>
      <c r="G313" s="774"/>
      <c r="H313" s="17"/>
      <c r="I313" s="108"/>
      <c r="Z313" s="18"/>
    </row>
    <row r="314" spans="1:44" ht="75.75" customHeight="1" x14ac:dyDescent="0.3">
      <c r="B314" s="1076" t="s">
        <v>562</v>
      </c>
      <c r="C314" s="1076"/>
      <c r="D314" s="1076"/>
      <c r="E314" s="1076"/>
      <c r="F314" s="79"/>
      <c r="G314" s="774"/>
      <c r="H314" s="17"/>
      <c r="I314" s="108"/>
      <c r="Z314" s="18"/>
    </row>
    <row r="315" spans="1:44" ht="15" thickBot="1" x14ac:dyDescent="0.35">
      <c r="A315" s="788"/>
      <c r="B315" s="789"/>
      <c r="C315" s="789"/>
      <c r="D315" s="790"/>
      <c r="E315" s="670"/>
      <c r="F315" s="79"/>
      <c r="G315" s="774"/>
      <c r="H315" s="17"/>
      <c r="I315" s="108"/>
      <c r="Z315" s="788"/>
      <c r="AA315" s="788"/>
      <c r="AB315" s="788"/>
      <c r="AC315" s="788"/>
      <c r="AD315" s="788"/>
      <c r="AE315" s="788"/>
      <c r="AF315" s="788"/>
      <c r="AG315" s="788"/>
      <c r="AH315" s="788"/>
      <c r="AI315" s="788"/>
      <c r="AJ315" s="788"/>
      <c r="AK315" s="788"/>
      <c r="AL315" s="788"/>
      <c r="AM315" s="788"/>
      <c r="AN315" s="788"/>
      <c r="AO315" s="788"/>
      <c r="AP315" s="788"/>
      <c r="AQ315" s="788"/>
      <c r="AR315" s="788"/>
    </row>
    <row r="316" spans="1:44" ht="15" thickBot="1" x14ac:dyDescent="0.35">
      <c r="B316" s="159" t="s">
        <v>477</v>
      </c>
      <c r="C316" s="160" t="s">
        <v>478</v>
      </c>
      <c r="D316" s="791"/>
      <c r="E316" s="792"/>
      <c r="F316" s="100"/>
      <c r="G316" s="774"/>
      <c r="H316" s="17"/>
      <c r="I316" s="108"/>
      <c r="Z316" s="18"/>
    </row>
    <row r="317" spans="1:44" ht="44.25" customHeight="1" thickBot="1" x14ac:dyDescent="0.35">
      <c r="B317" s="163" t="s">
        <v>518</v>
      </c>
      <c r="C317" s="162"/>
      <c r="D317" s="161"/>
      <c r="E317" s="676"/>
      <c r="F317" s="793"/>
      <c r="G317" s="774"/>
      <c r="H317" s="17"/>
      <c r="I317" s="108"/>
      <c r="Z317" s="18"/>
    </row>
    <row r="318" spans="1:44" ht="44.25" customHeight="1" thickBot="1" x14ac:dyDescent="0.35">
      <c r="B318" s="163"/>
      <c r="C318" s="173"/>
      <c r="D318" s="794" t="s">
        <v>550</v>
      </c>
      <c r="E318" s="795"/>
      <c r="F318" s="796"/>
      <c r="G318" s="796"/>
      <c r="H318" s="17"/>
      <c r="I318" s="108"/>
      <c r="Z318" s="18"/>
    </row>
    <row r="319" spans="1:44" ht="64.5" customHeight="1" thickBot="1" x14ac:dyDescent="0.35">
      <c r="A319" s="560">
        <v>960</v>
      </c>
      <c r="B319" s="1081" t="s">
        <v>519</v>
      </c>
      <c r="C319" s="1082"/>
      <c r="D319" s="797"/>
      <c r="E319" s="904" t="str">
        <f>IF(ISBLANK($D319),"&lt;&lt;&lt;&lt;&lt;&lt;&lt;&lt;&lt;&lt;&lt;&lt;&lt;&lt;&lt;","")</f>
        <v>&lt;&lt;&lt;&lt;&lt;&lt;&lt;&lt;&lt;&lt;&lt;&lt;&lt;&lt;&lt;</v>
      </c>
      <c r="F319" s="905" t="str">
        <f>IF(ISBLANK($D319),"Required","")</f>
        <v>Required</v>
      </c>
      <c r="G319" s="907"/>
      <c r="H319" s="732"/>
      <c r="I319" s="108"/>
      <c r="Z319" s="560"/>
      <c r="AA319" s="560"/>
      <c r="AB319" s="560"/>
      <c r="AC319" s="560"/>
      <c r="AD319" s="560"/>
      <c r="AE319" s="560"/>
      <c r="AF319" s="560"/>
      <c r="AG319" s="560"/>
      <c r="AH319" s="560"/>
      <c r="AI319" s="560"/>
      <c r="AJ319" s="560"/>
      <c r="AK319" s="560"/>
      <c r="AL319" s="560"/>
      <c r="AM319" s="560"/>
      <c r="AN319" s="560"/>
      <c r="AO319" s="560"/>
      <c r="AP319" s="560"/>
      <c r="AQ319" s="560"/>
      <c r="AR319" s="560"/>
    </row>
    <row r="320" spans="1:44" ht="30.75" customHeight="1" thickBot="1" x14ac:dyDescent="0.35">
      <c r="A320" s="560">
        <v>962</v>
      </c>
      <c r="B320" s="1077" t="s">
        <v>479</v>
      </c>
      <c r="C320" s="1078"/>
      <c r="D320" s="797"/>
      <c r="E320" s="904" t="str">
        <f>IF(ISBLANK($D320),"&lt;&lt;&lt;&lt;&lt;&lt;&lt;&lt;&lt;&lt;&lt;&lt;&lt;&lt;&lt;","")</f>
        <v>&lt;&lt;&lt;&lt;&lt;&lt;&lt;&lt;&lt;&lt;&lt;&lt;&lt;&lt;&lt;</v>
      </c>
      <c r="F320" s="905" t="str">
        <f>IF(ISBLANK($D320),"Required","")</f>
        <v>Required</v>
      </c>
      <c r="H320" s="17"/>
      <c r="I320" s="108"/>
      <c r="Z320" s="560"/>
      <c r="AA320" s="560"/>
      <c r="AB320" s="560"/>
      <c r="AC320" s="560"/>
      <c r="AD320" s="560"/>
      <c r="AE320" s="560"/>
      <c r="AF320" s="560"/>
      <c r="AG320" s="560"/>
      <c r="AH320" s="560"/>
      <c r="AI320" s="560"/>
      <c r="AJ320" s="560"/>
      <c r="AK320" s="560"/>
      <c r="AL320" s="560"/>
      <c r="AM320" s="560"/>
      <c r="AN320" s="560"/>
      <c r="AO320" s="560"/>
      <c r="AP320" s="560"/>
      <c r="AQ320" s="560"/>
      <c r="AR320" s="560"/>
    </row>
    <row r="321" spans="1:44" ht="30.75" customHeight="1" thickBot="1" x14ac:dyDescent="0.35">
      <c r="A321" s="560">
        <v>964</v>
      </c>
      <c r="B321" s="1077" t="s">
        <v>480</v>
      </c>
      <c r="C321" s="1078"/>
      <c r="D321" s="798"/>
      <c r="E321" s="904" t="str">
        <f>IF(ISBLANK($D321),"&lt;&lt;&lt;&lt;&lt;&lt;&lt;&lt;&lt;&lt;&lt;&lt;&lt;&lt;&lt;","")</f>
        <v>&lt;&lt;&lt;&lt;&lt;&lt;&lt;&lt;&lt;&lt;&lt;&lt;&lt;&lt;&lt;</v>
      </c>
      <c r="F321" s="905" t="str">
        <f>IF(ISBLANK($D321),"Required","")</f>
        <v>Required</v>
      </c>
      <c r="H321" s="17"/>
      <c r="I321" s="366"/>
      <c r="Z321" s="560"/>
      <c r="AA321" s="560"/>
      <c r="AB321" s="560"/>
      <c r="AC321" s="560"/>
      <c r="AD321" s="560"/>
      <c r="AE321" s="560"/>
      <c r="AF321" s="560"/>
      <c r="AG321" s="560"/>
      <c r="AH321" s="560"/>
      <c r="AI321" s="560"/>
      <c r="AJ321" s="560"/>
      <c r="AK321" s="560"/>
      <c r="AL321" s="560"/>
      <c r="AM321" s="560"/>
      <c r="AN321" s="560"/>
      <c r="AO321" s="560"/>
      <c r="AP321" s="560"/>
      <c r="AQ321" s="560"/>
      <c r="AR321" s="560"/>
    </row>
    <row r="322" spans="1:44" ht="30.75" customHeight="1" thickBot="1" x14ac:dyDescent="0.35">
      <c r="A322" s="560">
        <v>966</v>
      </c>
      <c r="B322" s="1077" t="s">
        <v>481</v>
      </c>
      <c r="C322" s="1078"/>
      <c r="D322" s="797"/>
      <c r="E322" s="904" t="str">
        <f>IF(ISBLANK($D322),"&lt;&lt;&lt;&lt;&lt;&lt;&lt;&lt;&lt;&lt;&lt;&lt;&lt;&lt;&lt;","")</f>
        <v>&lt;&lt;&lt;&lt;&lt;&lt;&lt;&lt;&lt;&lt;&lt;&lt;&lt;&lt;&lt;</v>
      </c>
      <c r="F322" s="905" t="str">
        <f>IF(ISBLANK($D322),"Required","")</f>
        <v>Required</v>
      </c>
      <c r="H322" s="17"/>
      <c r="I322" s="108"/>
      <c r="Z322" s="560"/>
      <c r="AA322" s="560"/>
      <c r="AB322" s="560"/>
      <c r="AC322" s="560"/>
      <c r="AD322" s="560"/>
      <c r="AE322" s="560"/>
      <c r="AF322" s="560"/>
      <c r="AG322" s="560"/>
      <c r="AH322" s="560"/>
      <c r="AI322" s="560"/>
      <c r="AJ322" s="560"/>
      <c r="AK322" s="560"/>
      <c r="AL322" s="560"/>
      <c r="AM322" s="560"/>
      <c r="AN322" s="560"/>
      <c r="AO322" s="560"/>
      <c r="AP322" s="560"/>
      <c r="AQ322" s="560"/>
      <c r="AR322" s="560"/>
    </row>
    <row r="323" spans="1:44" ht="30.75" customHeight="1" thickBot="1" x14ac:dyDescent="0.35">
      <c r="A323" s="560">
        <v>968</v>
      </c>
      <c r="B323" s="1079" t="s">
        <v>482</v>
      </c>
      <c r="C323" s="1080"/>
      <c r="D323" s="799"/>
      <c r="E323" s="906" t="str">
        <f>IF(ISBLANK($D323),"&lt;&lt;&lt;&lt;&lt;&lt;&lt;&lt;&lt;&lt;&lt;&lt;&lt;&lt;&lt;","")</f>
        <v>&lt;&lt;&lt;&lt;&lt;&lt;&lt;&lt;&lt;&lt;&lt;&lt;&lt;&lt;&lt;</v>
      </c>
      <c r="F323" s="905" t="str">
        <f>IF(ISBLANK($D323),"Required","")</f>
        <v>Required</v>
      </c>
      <c r="H323" s="17"/>
      <c r="I323" s="108"/>
      <c r="Z323" s="560"/>
      <c r="AA323" s="560"/>
      <c r="AB323" s="560"/>
      <c r="AC323" s="560"/>
      <c r="AD323" s="560"/>
      <c r="AE323" s="560"/>
      <c r="AF323" s="560"/>
      <c r="AG323" s="560"/>
      <c r="AH323" s="560"/>
      <c r="AI323" s="560"/>
      <c r="AJ323" s="560"/>
      <c r="AK323" s="560"/>
      <c r="AL323" s="560"/>
      <c r="AM323" s="560"/>
      <c r="AN323" s="560"/>
      <c r="AO323" s="560"/>
      <c r="AP323" s="560"/>
      <c r="AQ323" s="560"/>
      <c r="AR323" s="560"/>
    </row>
    <row r="324" spans="1:44" x14ac:dyDescent="0.3">
      <c r="A324" s="108"/>
      <c r="B324" s="897"/>
      <c r="C324" s="897"/>
      <c r="D324" s="908" t="s">
        <v>46</v>
      </c>
      <c r="E324" s="898"/>
      <c r="F324" s="898"/>
      <c r="G324" s="898"/>
      <c r="H324" s="899"/>
      <c r="I324" s="108"/>
    </row>
    <row r="325" spans="1:44" x14ac:dyDescent="0.3">
      <c r="A325" s="108"/>
      <c r="B325" s="672"/>
      <c r="C325" s="672"/>
      <c r="D325" s="171"/>
      <c r="E325" s="298"/>
      <c r="F325" s="800"/>
      <c r="G325" s="800"/>
      <c r="H325" s="17"/>
      <c r="I325" s="108"/>
    </row>
    <row r="326" spans="1:44" x14ac:dyDescent="0.3">
      <c r="A326" s="108"/>
      <c r="B326" s="672"/>
      <c r="C326" s="672"/>
      <c r="D326" s="24"/>
      <c r="E326" s="670"/>
      <c r="F326" s="800"/>
      <c r="G326" s="800"/>
      <c r="H326" s="17"/>
      <c r="I326" s="108"/>
    </row>
    <row r="327" spans="1:44" x14ac:dyDescent="0.3">
      <c r="A327" s="18">
        <f>SUBTOTAL(109,A7:A323)</f>
        <v>27892</v>
      </c>
    </row>
    <row r="328" spans="1:44" x14ac:dyDescent="0.3">
      <c r="A328" s="108"/>
      <c r="B328" s="839"/>
      <c r="C328" s="839"/>
      <c r="D328" s="801"/>
      <c r="E328" s="406"/>
      <c r="F328" s="18"/>
      <c r="G328" s="802"/>
      <c r="H328" s="17"/>
      <c r="I328" s="108"/>
    </row>
    <row r="329" spans="1:44" x14ac:dyDescent="0.3">
      <c r="A329" s="560"/>
      <c r="B329" s="560"/>
      <c r="C329" s="560"/>
      <c r="D329" s="801"/>
      <c r="E329" s="406"/>
      <c r="F329" s="296"/>
      <c r="G329" s="802"/>
      <c r="H329" s="17"/>
      <c r="I329" s="108"/>
    </row>
    <row r="330" spans="1:44" x14ac:dyDescent="0.3">
      <c r="A330" s="560"/>
      <c r="B330" s="560"/>
      <c r="C330" s="560"/>
      <c r="D330" s="803"/>
      <c r="E330" s="406"/>
      <c r="F330" s="296"/>
      <c r="G330" s="802"/>
      <c r="H330" s="17"/>
      <c r="I330" s="108"/>
    </row>
    <row r="331" spans="1:44" x14ac:dyDescent="0.3">
      <c r="A331" s="560"/>
      <c r="B331" s="560"/>
      <c r="C331" s="560"/>
      <c r="D331" s="803"/>
      <c r="E331" s="406"/>
      <c r="F331" s="296"/>
      <c r="G331" s="802"/>
      <c r="H331" s="17"/>
      <c r="I331" s="108"/>
    </row>
    <row r="332" spans="1:44" x14ac:dyDescent="0.3">
      <c r="A332" s="560"/>
      <c r="B332" s="560"/>
      <c r="C332" s="560"/>
      <c r="D332" s="803"/>
      <c r="E332" s="406"/>
      <c r="F332" s="296"/>
      <c r="G332" s="802"/>
      <c r="H332" s="17"/>
      <c r="I332" s="108"/>
    </row>
    <row r="333" spans="1:44" x14ac:dyDescent="0.3">
      <c r="A333" s="560"/>
      <c r="B333" s="560"/>
      <c r="C333" s="560"/>
      <c r="D333" s="803"/>
      <c r="E333" s="406"/>
      <c r="F333" s="296"/>
      <c r="G333" s="802"/>
      <c r="H333" s="17"/>
      <c r="I333" s="108"/>
    </row>
    <row r="334" spans="1:44" x14ac:dyDescent="0.3">
      <c r="A334" s="560"/>
      <c r="D334" s="600"/>
      <c r="E334" s="406"/>
      <c r="F334" s="296"/>
      <c r="H334" s="17"/>
      <c r="I334" s="108"/>
    </row>
    <row r="335" spans="1:44" x14ac:dyDescent="0.3">
      <c r="D335" s="600"/>
      <c r="E335" s="407"/>
      <c r="F335" s="296"/>
      <c r="H335" s="17"/>
      <c r="I335" s="108"/>
    </row>
    <row r="336" spans="1:44" x14ac:dyDescent="0.3">
      <c r="D336" s="600"/>
      <c r="E336" s="298"/>
      <c r="F336" s="296"/>
      <c r="H336" s="17"/>
      <c r="I336" s="108"/>
    </row>
    <row r="337" spans="4:12" x14ac:dyDescent="0.3">
      <c r="D337" s="600"/>
      <c r="E337" s="298"/>
      <c r="F337" s="296"/>
      <c r="I337" s="108"/>
    </row>
    <row r="338" spans="4:12" x14ac:dyDescent="0.3">
      <c r="E338" s="298"/>
      <c r="F338" s="296"/>
      <c r="G338" s="805"/>
      <c r="I338" s="108"/>
    </row>
    <row r="339" spans="4:12" x14ac:dyDescent="0.3">
      <c r="E339" s="298"/>
      <c r="F339" s="296"/>
      <c r="I339" s="108"/>
    </row>
    <row r="340" spans="4:12" x14ac:dyDescent="0.3">
      <c r="E340" s="298"/>
      <c r="F340" s="296"/>
      <c r="I340" s="108"/>
    </row>
    <row r="341" spans="4:12" x14ac:dyDescent="0.3">
      <c r="E341" s="298"/>
      <c r="F341" s="296"/>
      <c r="I341" s="108"/>
    </row>
    <row r="342" spans="4:12" x14ac:dyDescent="0.3">
      <c r="I342" s="108"/>
    </row>
    <row r="343" spans="4:12" x14ac:dyDescent="0.3">
      <c r="I343" s="108"/>
    </row>
    <row r="344" spans="4:12" x14ac:dyDescent="0.3">
      <c r="I344" s="108"/>
    </row>
    <row r="345" spans="4:12" x14ac:dyDescent="0.3">
      <c r="I345" s="108"/>
    </row>
    <row r="346" spans="4:12" x14ac:dyDescent="0.3">
      <c r="I346" s="108"/>
    </row>
    <row r="347" spans="4:12" x14ac:dyDescent="0.3">
      <c r="I347" s="108"/>
    </row>
    <row r="348" spans="4:12" x14ac:dyDescent="0.3">
      <c r="I348" s="108"/>
    </row>
    <row r="349" spans="4:12" x14ac:dyDescent="0.3">
      <c r="I349" s="296"/>
    </row>
    <row r="350" spans="4:12" x14ac:dyDescent="0.3">
      <c r="I350" s="296"/>
      <c r="K350" s="298"/>
      <c r="L350" s="298"/>
    </row>
    <row r="351" spans="4:12" x14ac:dyDescent="0.3">
      <c r="I351" s="296"/>
      <c r="K351" s="298"/>
      <c r="L351" s="298"/>
    </row>
    <row r="352" spans="4:12" x14ac:dyDescent="0.3">
      <c r="I352" s="296"/>
      <c r="K352" s="298"/>
      <c r="L352" s="298"/>
    </row>
    <row r="353" spans="9:12" x14ac:dyDescent="0.3">
      <c r="I353" s="296"/>
      <c r="K353" s="298"/>
      <c r="L353" s="298"/>
    </row>
    <row r="354" spans="9:12" x14ac:dyDescent="0.3">
      <c r="I354" s="296"/>
      <c r="K354" s="298"/>
      <c r="L354" s="298"/>
    </row>
    <row r="355" spans="9:12" x14ac:dyDescent="0.3">
      <c r="I355" s="296"/>
      <c r="K355" s="298"/>
      <c r="L355" s="298"/>
    </row>
    <row r="356" spans="9:12" x14ac:dyDescent="0.3">
      <c r="I356" s="108"/>
      <c r="K356" s="298"/>
      <c r="L356" s="298"/>
    </row>
    <row r="357" spans="9:12" x14ac:dyDescent="0.3">
      <c r="I357" s="108"/>
      <c r="K357" s="298"/>
      <c r="L357" s="298"/>
    </row>
    <row r="358" spans="9:12" x14ac:dyDescent="0.3">
      <c r="I358" s="108"/>
      <c r="J358" s="298"/>
      <c r="K358" s="298"/>
      <c r="L358" s="298"/>
    </row>
    <row r="359" spans="9:12" x14ac:dyDescent="0.3">
      <c r="I359" s="108"/>
      <c r="J359" s="298"/>
      <c r="K359" s="298"/>
      <c r="L359" s="298"/>
    </row>
    <row r="360" spans="9:12" x14ac:dyDescent="0.3">
      <c r="I360" s="108"/>
      <c r="J360" s="298"/>
      <c r="K360" s="298"/>
      <c r="L360" s="298"/>
    </row>
    <row r="361" spans="9:12" x14ac:dyDescent="0.3">
      <c r="I361" s="108"/>
      <c r="J361" s="298"/>
      <c r="K361" s="298"/>
      <c r="L361" s="298"/>
    </row>
    <row r="362" spans="9:12" x14ac:dyDescent="0.3">
      <c r="I362" s="108"/>
      <c r="J362" s="298"/>
      <c r="K362" s="298"/>
      <c r="L362" s="298"/>
    </row>
    <row r="363" spans="9:12" x14ac:dyDescent="0.3">
      <c r="I363" s="108"/>
      <c r="J363" s="298"/>
      <c r="K363" s="298"/>
      <c r="L363" s="298"/>
    </row>
    <row r="364" spans="9:12" x14ac:dyDescent="0.3">
      <c r="I364" s="108"/>
      <c r="J364" s="298"/>
      <c r="K364" s="298"/>
      <c r="L364" s="298"/>
    </row>
    <row r="365" spans="9:12" x14ac:dyDescent="0.3">
      <c r="I365" s="296"/>
      <c r="J365" s="298"/>
      <c r="K365" s="298"/>
      <c r="L365" s="298"/>
    </row>
    <row r="366" spans="9:12" x14ac:dyDescent="0.3">
      <c r="I366" s="296"/>
      <c r="J366" s="298"/>
      <c r="K366" s="298"/>
      <c r="L366" s="298"/>
    </row>
    <row r="367" spans="9:12" x14ac:dyDescent="0.3">
      <c r="I367" s="296"/>
      <c r="J367" s="298"/>
      <c r="K367" s="298"/>
      <c r="L367" s="298"/>
    </row>
    <row r="368" spans="9:12" x14ac:dyDescent="0.3">
      <c r="I368" s="296"/>
      <c r="J368" s="298"/>
      <c r="K368" s="298"/>
      <c r="L368" s="298"/>
    </row>
    <row r="369" spans="9:12" x14ac:dyDescent="0.3">
      <c r="I369" s="296"/>
      <c r="J369" s="298"/>
      <c r="K369" s="298"/>
      <c r="L369" s="298"/>
    </row>
    <row r="370" spans="9:12" x14ac:dyDescent="0.3">
      <c r="I370" s="296"/>
      <c r="J370" s="298"/>
      <c r="K370" s="298"/>
      <c r="L370" s="298"/>
    </row>
    <row r="371" spans="9:12" x14ac:dyDescent="0.3">
      <c r="I371" s="296"/>
      <c r="J371" s="298"/>
      <c r="K371" s="298"/>
      <c r="L371" s="298"/>
    </row>
    <row r="372" spans="9:12" x14ac:dyDescent="0.3">
      <c r="I372" s="296"/>
      <c r="J372" s="298"/>
      <c r="K372" s="298"/>
      <c r="L372" s="298"/>
    </row>
    <row r="373" spans="9:12" x14ac:dyDescent="0.3">
      <c r="I373" s="296"/>
      <c r="J373" s="298"/>
      <c r="K373" s="298"/>
      <c r="L373" s="298"/>
    </row>
    <row r="374" spans="9:12" x14ac:dyDescent="0.3">
      <c r="I374" s="296"/>
      <c r="J374" s="298"/>
      <c r="K374" s="298"/>
      <c r="L374" s="298"/>
    </row>
    <row r="375" spans="9:12" x14ac:dyDescent="0.3">
      <c r="I375" s="296"/>
      <c r="J375" s="298"/>
      <c r="K375" s="298"/>
      <c r="L375" s="298"/>
    </row>
    <row r="376" spans="9:12" x14ac:dyDescent="0.3">
      <c r="I376" s="296"/>
      <c r="J376" s="298"/>
      <c r="K376" s="298"/>
      <c r="L376" s="298"/>
    </row>
    <row r="377" spans="9:12" x14ac:dyDescent="0.3">
      <c r="I377" s="296"/>
      <c r="J377" s="298"/>
      <c r="K377" s="298"/>
      <c r="L377" s="298"/>
    </row>
    <row r="378" spans="9:12" x14ac:dyDescent="0.3">
      <c r="I378" s="296"/>
      <c r="J378" s="298"/>
      <c r="K378" s="298"/>
      <c r="L378" s="298"/>
    </row>
    <row r="379" spans="9:12" x14ac:dyDescent="0.3">
      <c r="I379" s="296"/>
      <c r="J379" s="298"/>
      <c r="K379" s="298"/>
      <c r="L379" s="298"/>
    </row>
    <row r="380" spans="9:12" x14ac:dyDescent="0.3">
      <c r="I380" s="296"/>
      <c r="J380" s="298"/>
      <c r="K380" s="298"/>
      <c r="L380" s="298"/>
    </row>
    <row r="381" spans="9:12" x14ac:dyDescent="0.3">
      <c r="I381" s="296"/>
      <c r="J381" s="298"/>
      <c r="K381" s="298"/>
      <c r="L381" s="298"/>
    </row>
    <row r="382" spans="9:12" x14ac:dyDescent="0.3">
      <c r="I382" s="296"/>
      <c r="J382" s="298"/>
      <c r="K382" s="298"/>
      <c r="L382" s="298"/>
    </row>
    <row r="383" spans="9:12" x14ac:dyDescent="0.3">
      <c r="I383" s="296"/>
      <c r="J383" s="298"/>
      <c r="K383" s="298"/>
      <c r="L383" s="298"/>
    </row>
    <row r="384" spans="9:12" x14ac:dyDescent="0.3">
      <c r="I384" s="296"/>
      <c r="J384" s="298"/>
      <c r="K384" s="298"/>
      <c r="L384" s="298"/>
    </row>
    <row r="385" spans="9:12" x14ac:dyDescent="0.3">
      <c r="I385" s="296"/>
      <c r="J385" s="298"/>
      <c r="K385" s="298"/>
      <c r="L385" s="298"/>
    </row>
    <row r="386" spans="9:12" x14ac:dyDescent="0.3">
      <c r="I386" s="296"/>
      <c r="J386" s="298"/>
      <c r="K386" s="298"/>
      <c r="L386" s="298"/>
    </row>
    <row r="387" spans="9:12" x14ac:dyDescent="0.3">
      <c r="I387" s="296"/>
      <c r="J387" s="298"/>
      <c r="K387" s="298"/>
      <c r="L387" s="298"/>
    </row>
    <row r="388" spans="9:12" x14ac:dyDescent="0.3">
      <c r="I388" s="296"/>
      <c r="J388" s="298"/>
      <c r="K388" s="298"/>
      <c r="L388" s="298"/>
    </row>
    <row r="389" spans="9:12" x14ac:dyDescent="0.3">
      <c r="I389" s="296"/>
      <c r="J389" s="298"/>
      <c r="K389" s="298"/>
      <c r="L389" s="298"/>
    </row>
    <row r="390" spans="9:12" x14ac:dyDescent="0.3">
      <c r="I390" s="296"/>
      <c r="J390" s="298"/>
      <c r="K390" s="298"/>
      <c r="L390" s="298"/>
    </row>
    <row r="391" spans="9:12" x14ac:dyDescent="0.3">
      <c r="I391" s="296"/>
      <c r="J391" s="298"/>
      <c r="K391" s="298"/>
      <c r="L391" s="298"/>
    </row>
    <row r="392" spans="9:12" x14ac:dyDescent="0.3">
      <c r="I392" s="296"/>
      <c r="J392" s="298"/>
      <c r="K392" s="298"/>
      <c r="L392" s="298"/>
    </row>
    <row r="393" spans="9:12" x14ac:dyDescent="0.3">
      <c r="I393" s="296"/>
      <c r="J393" s="298"/>
      <c r="K393" s="298"/>
      <c r="L393" s="298"/>
    </row>
    <row r="394" spans="9:12" x14ac:dyDescent="0.3">
      <c r="I394" s="296"/>
      <c r="J394" s="298"/>
      <c r="K394" s="298"/>
      <c r="L394" s="298"/>
    </row>
    <row r="395" spans="9:12" x14ac:dyDescent="0.3">
      <c r="I395" s="296"/>
      <c r="J395" s="298"/>
      <c r="K395" s="298"/>
      <c r="L395" s="298"/>
    </row>
    <row r="396" spans="9:12" x14ac:dyDescent="0.3">
      <c r="I396" s="296"/>
      <c r="J396" s="298"/>
      <c r="K396" s="298"/>
      <c r="L396" s="298"/>
    </row>
    <row r="397" spans="9:12" x14ac:dyDescent="0.3">
      <c r="I397" s="296"/>
      <c r="J397" s="298"/>
      <c r="K397" s="298"/>
      <c r="L397" s="298"/>
    </row>
    <row r="398" spans="9:12" x14ac:dyDescent="0.3">
      <c r="I398" s="296"/>
      <c r="J398" s="298"/>
      <c r="K398" s="298"/>
      <c r="L398" s="298"/>
    </row>
    <row r="399" spans="9:12" x14ac:dyDescent="0.3">
      <c r="I399" s="296"/>
      <c r="J399" s="298"/>
      <c r="K399" s="298"/>
      <c r="L399" s="298"/>
    </row>
    <row r="400" spans="9:12" x14ac:dyDescent="0.3">
      <c r="I400" s="296"/>
      <c r="J400" s="298"/>
      <c r="K400" s="298"/>
      <c r="L400" s="298"/>
    </row>
    <row r="401" spans="9:12" x14ac:dyDescent="0.3">
      <c r="I401" s="296"/>
      <c r="J401" s="298"/>
      <c r="K401" s="298"/>
      <c r="L401" s="298"/>
    </row>
    <row r="402" spans="9:12" x14ac:dyDescent="0.3">
      <c r="I402" s="296"/>
      <c r="J402" s="298"/>
      <c r="K402" s="298"/>
      <c r="L402" s="298"/>
    </row>
    <row r="403" spans="9:12" x14ac:dyDescent="0.3">
      <c r="I403" s="296"/>
      <c r="J403" s="298"/>
      <c r="K403" s="298"/>
      <c r="L403" s="298"/>
    </row>
    <row r="404" spans="9:12" x14ac:dyDescent="0.3">
      <c r="I404" s="296"/>
      <c r="J404" s="298"/>
      <c r="K404" s="298"/>
      <c r="L404" s="298"/>
    </row>
    <row r="405" spans="9:12" x14ac:dyDescent="0.3">
      <c r="I405" s="296"/>
      <c r="J405" s="298"/>
      <c r="K405" s="298"/>
      <c r="L405" s="298"/>
    </row>
    <row r="406" spans="9:12" x14ac:dyDescent="0.3">
      <c r="I406" s="296"/>
      <c r="J406" s="298"/>
      <c r="K406" s="298"/>
      <c r="L406" s="298"/>
    </row>
    <row r="407" spans="9:12" x14ac:dyDescent="0.3">
      <c r="I407" s="296"/>
      <c r="J407" s="298"/>
      <c r="K407" s="298"/>
      <c r="L407" s="298"/>
    </row>
    <row r="408" spans="9:12" x14ac:dyDescent="0.3">
      <c r="I408" s="296"/>
      <c r="J408" s="298"/>
      <c r="K408" s="298"/>
      <c r="L408" s="298"/>
    </row>
    <row r="409" spans="9:12" x14ac:dyDescent="0.3">
      <c r="I409" s="296"/>
      <c r="J409" s="298"/>
      <c r="K409" s="298"/>
      <c r="L409" s="298"/>
    </row>
    <row r="410" spans="9:12" x14ac:dyDescent="0.3">
      <c r="I410" s="296"/>
      <c r="J410" s="298"/>
      <c r="K410" s="298"/>
      <c r="L410" s="298"/>
    </row>
    <row r="411" spans="9:12" x14ac:dyDescent="0.3">
      <c r="I411" s="296"/>
      <c r="J411" s="298"/>
      <c r="K411" s="298"/>
      <c r="L411" s="298"/>
    </row>
    <row r="412" spans="9:12" x14ac:dyDescent="0.3">
      <c r="I412" s="296"/>
      <c r="J412" s="298"/>
      <c r="K412" s="298"/>
      <c r="L412" s="298"/>
    </row>
    <row r="413" spans="9:12" x14ac:dyDescent="0.3">
      <c r="I413" s="296"/>
      <c r="J413" s="298"/>
      <c r="K413" s="298"/>
      <c r="L413" s="298"/>
    </row>
    <row r="414" spans="9:12" x14ac:dyDescent="0.3">
      <c r="I414" s="296"/>
      <c r="J414" s="298"/>
      <c r="K414" s="298"/>
      <c r="L414" s="298"/>
    </row>
    <row r="415" spans="9:12" x14ac:dyDescent="0.3">
      <c r="I415" s="296"/>
      <c r="J415" s="298"/>
      <c r="K415" s="298"/>
      <c r="L415" s="298"/>
    </row>
    <row r="416" spans="9:12" x14ac:dyDescent="0.3">
      <c r="I416" s="296"/>
      <c r="J416" s="298"/>
      <c r="K416" s="298"/>
      <c r="L416" s="298"/>
    </row>
    <row r="417" spans="9:12" x14ac:dyDescent="0.3">
      <c r="I417" s="296"/>
      <c r="J417" s="298"/>
      <c r="K417" s="298"/>
      <c r="L417" s="298"/>
    </row>
    <row r="418" spans="9:12" x14ac:dyDescent="0.3">
      <c r="I418" s="296"/>
      <c r="J418" s="298"/>
      <c r="K418" s="298"/>
      <c r="L418" s="298"/>
    </row>
    <row r="419" spans="9:12" x14ac:dyDescent="0.3">
      <c r="I419" s="296"/>
      <c r="J419" s="298"/>
    </row>
    <row r="420" spans="9:12" x14ac:dyDescent="0.3">
      <c r="I420" s="296"/>
      <c r="J420" s="298"/>
    </row>
    <row r="421" spans="9:12" x14ac:dyDescent="0.3">
      <c r="I421" s="296"/>
      <c r="J421" s="298"/>
    </row>
    <row r="422" spans="9:12" x14ac:dyDescent="0.3">
      <c r="I422" s="296"/>
      <c r="J422" s="298"/>
    </row>
    <row r="423" spans="9:12" x14ac:dyDescent="0.3">
      <c r="I423" s="296"/>
      <c r="J423" s="298"/>
    </row>
    <row r="424" spans="9:12" x14ac:dyDescent="0.3">
      <c r="I424" s="296"/>
      <c r="J424" s="298"/>
    </row>
    <row r="425" spans="9:12" x14ac:dyDescent="0.3">
      <c r="I425" s="296"/>
      <c r="J425" s="298"/>
    </row>
    <row r="426" spans="9:12" x14ac:dyDescent="0.3">
      <c r="I426" s="296"/>
      <c r="J426" s="298"/>
    </row>
    <row r="427" spans="9:12" x14ac:dyDescent="0.3">
      <c r="I427" s="296"/>
    </row>
    <row r="428" spans="9:12" x14ac:dyDescent="0.3">
      <c r="I428" s="296"/>
    </row>
    <row r="429" spans="9:12" x14ac:dyDescent="0.3">
      <c r="I429" s="296"/>
    </row>
    <row r="430" spans="9:12" x14ac:dyDescent="0.3">
      <c r="I430" s="296"/>
    </row>
    <row r="431" spans="9:12" x14ac:dyDescent="0.3">
      <c r="I431" s="296"/>
    </row>
    <row r="432" spans="9:12" x14ac:dyDescent="0.3">
      <c r="I432" s="296"/>
    </row>
    <row r="433" spans="9:9" x14ac:dyDescent="0.3">
      <c r="I433" s="296"/>
    </row>
    <row r="434" spans="9:9" x14ac:dyDescent="0.3">
      <c r="I434" s="108"/>
    </row>
    <row r="435" spans="9:9" x14ac:dyDescent="0.3">
      <c r="I435" s="108"/>
    </row>
    <row r="436" spans="9:9" x14ac:dyDescent="0.3">
      <c r="I436" s="108"/>
    </row>
    <row r="437" spans="9:9" x14ac:dyDescent="0.3">
      <c r="I437" s="108"/>
    </row>
    <row r="438" spans="9:9" x14ac:dyDescent="0.3">
      <c r="I438" s="108"/>
    </row>
    <row r="439" spans="9:9" x14ac:dyDescent="0.3">
      <c r="I439" s="108"/>
    </row>
    <row r="440" spans="9:9" x14ac:dyDescent="0.3">
      <c r="I440" s="108"/>
    </row>
    <row r="441" spans="9:9" x14ac:dyDescent="0.3">
      <c r="I441" s="108"/>
    </row>
    <row r="442" spans="9:9" x14ac:dyDescent="0.3">
      <c r="I442" s="108"/>
    </row>
    <row r="443" spans="9:9" x14ac:dyDescent="0.3">
      <c r="I443" s="108"/>
    </row>
  </sheetData>
  <sheetProtection formatCells="0"/>
  <dataConsolidate link="1"/>
  <mergeCells count="11">
    <mergeCell ref="E2:G2"/>
    <mergeCell ref="B2:C2"/>
    <mergeCell ref="B170:D170"/>
    <mergeCell ref="B313:E313"/>
    <mergeCell ref="B303:D303"/>
    <mergeCell ref="B314:E314"/>
    <mergeCell ref="B322:C322"/>
    <mergeCell ref="B323:C323"/>
    <mergeCell ref="B321:C321"/>
    <mergeCell ref="B319:C319"/>
    <mergeCell ref="B320:C320"/>
  </mergeCells>
  <phoneticPr fontId="57" type="noConversion"/>
  <conditionalFormatting sqref="H198 H87:H98">
    <cfRule type="cellIs" dxfId="113" priority="107" stopIfTrue="1" operator="notEqual">
      <formula>0</formula>
    </cfRule>
  </conditionalFormatting>
  <conditionalFormatting sqref="H199">
    <cfRule type="cellIs" dxfId="112" priority="105" stopIfTrue="1" operator="notEqual">
      <formula>0</formula>
    </cfRule>
  </conditionalFormatting>
  <conditionalFormatting sqref="G289:G292 G296:G297">
    <cfRule type="cellIs" dxfId="111" priority="104" stopIfTrue="1" operator="notEqual">
      <formula>0</formula>
    </cfRule>
  </conditionalFormatting>
  <conditionalFormatting sqref="H23">
    <cfRule type="cellIs" dxfId="110" priority="103" stopIfTrue="1" operator="notEqual">
      <formula>0</formula>
    </cfRule>
  </conditionalFormatting>
  <conditionalFormatting sqref="H37:H38">
    <cfRule type="cellIs" dxfId="109" priority="102" stopIfTrue="1" operator="notEqual">
      <formula>0</formula>
    </cfRule>
  </conditionalFormatting>
  <conditionalFormatting sqref="H72">
    <cfRule type="cellIs" dxfId="108" priority="101" stopIfTrue="1" operator="notEqual">
      <formula>0</formula>
    </cfRule>
  </conditionalFormatting>
  <conditionalFormatting sqref="H149">
    <cfRule type="cellIs" dxfId="107" priority="99" stopIfTrue="1" operator="notEqual">
      <formula>0</formula>
    </cfRule>
  </conditionalFormatting>
  <conditionalFormatting sqref="H168">
    <cfRule type="cellIs" dxfId="106" priority="98" stopIfTrue="1" operator="notEqual">
      <formula>0</formula>
    </cfRule>
  </conditionalFormatting>
  <conditionalFormatting sqref="H182">
    <cfRule type="cellIs" dxfId="105" priority="97" stopIfTrue="1" operator="notEqual">
      <formula>0</formula>
    </cfRule>
  </conditionalFormatting>
  <conditionalFormatting sqref="H183">
    <cfRule type="cellIs" dxfId="104"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03" priority="67" stopIfTrue="1" operator="equal">
      <formula>0</formula>
    </cfRule>
  </conditionalFormatting>
  <conditionalFormatting sqref="L260">
    <cfRule type="cellIs" dxfId="102" priority="66" stopIfTrue="1" operator="equal">
      <formula>0</formula>
    </cfRule>
  </conditionalFormatting>
  <conditionalFormatting sqref="G274">
    <cfRule type="cellIs" priority="65" stopIfTrue="1" operator="equal">
      <formula>";;;"</formula>
    </cfRule>
  </conditionalFormatting>
  <conditionalFormatting sqref="G274">
    <cfRule type="cellIs" dxfId="101" priority="64" stopIfTrue="1" operator="equal">
      <formula>0</formula>
    </cfRule>
  </conditionalFormatting>
  <conditionalFormatting sqref="G274">
    <cfRule type="cellIs" dxfId="100" priority="63" stopIfTrue="1" operator="equal">
      <formula>0</formula>
    </cfRule>
  </conditionalFormatting>
  <conditionalFormatting sqref="G273">
    <cfRule type="cellIs" priority="53" stopIfTrue="1" operator="equal">
      <formula>";;;"</formula>
    </cfRule>
  </conditionalFormatting>
  <conditionalFormatting sqref="G273">
    <cfRule type="cellIs" dxfId="99" priority="52" stopIfTrue="1" operator="equal">
      <formula>0</formula>
    </cfRule>
  </conditionalFormatting>
  <conditionalFormatting sqref="G273">
    <cfRule type="cellIs" dxfId="98" priority="51" stopIfTrue="1" operator="equal">
      <formula>0</formula>
    </cfRule>
  </conditionalFormatting>
  <conditionalFormatting sqref="J266">
    <cfRule type="cellIs" priority="50" stopIfTrue="1" operator="equal">
      <formula>";;;"</formula>
    </cfRule>
  </conditionalFormatting>
  <conditionalFormatting sqref="J266">
    <cfRule type="cellIs" dxfId="97" priority="49" stopIfTrue="1" operator="equal">
      <formula>0</formula>
    </cfRule>
  </conditionalFormatting>
  <conditionalFormatting sqref="J266">
    <cfRule type="cellIs" dxfId="96" priority="48" stopIfTrue="1" operator="equal">
      <formula>0</formula>
    </cfRule>
  </conditionalFormatting>
  <conditionalFormatting sqref="G268">
    <cfRule type="cellIs" priority="20" stopIfTrue="1" operator="equal">
      <formula>";;;"</formula>
    </cfRule>
  </conditionalFormatting>
  <conditionalFormatting sqref="G268">
    <cfRule type="cellIs" dxfId="95" priority="19" stopIfTrue="1" operator="equal">
      <formula>0</formula>
    </cfRule>
  </conditionalFormatting>
  <conditionalFormatting sqref="G268">
    <cfRule type="cellIs" dxfId="94" priority="18" stopIfTrue="1" operator="equal">
      <formula>0</formula>
    </cfRule>
  </conditionalFormatting>
  <conditionalFormatting sqref="G266">
    <cfRule type="cellIs" priority="17" stopIfTrue="1" operator="equal">
      <formula>";;;"</formula>
    </cfRule>
  </conditionalFormatting>
  <conditionalFormatting sqref="G266">
    <cfRule type="cellIs" dxfId="93" priority="16" stopIfTrue="1" operator="equal">
      <formula>0</formula>
    </cfRule>
  </conditionalFormatting>
  <conditionalFormatting sqref="G266">
    <cfRule type="cellIs" dxfId="92" priority="15" stopIfTrue="1" operator="equal">
      <formula>0</formula>
    </cfRule>
  </conditionalFormatting>
  <conditionalFormatting sqref="G267">
    <cfRule type="cellIs" priority="14" stopIfTrue="1" operator="equal">
      <formula>";;;"</formula>
    </cfRule>
  </conditionalFormatting>
  <conditionalFormatting sqref="G267">
    <cfRule type="cellIs" dxfId="91" priority="13" stopIfTrue="1" operator="equal">
      <formula>0</formula>
    </cfRule>
  </conditionalFormatting>
  <conditionalFormatting sqref="G267">
    <cfRule type="cellIs" dxfId="90" priority="12" stopIfTrue="1" operator="equal">
      <formula>0</formula>
    </cfRule>
  </conditionalFormatting>
  <conditionalFormatting sqref="G270">
    <cfRule type="cellIs" priority="11" stopIfTrue="1" operator="equal">
      <formula>";;;"</formula>
    </cfRule>
  </conditionalFormatting>
  <conditionalFormatting sqref="G270">
    <cfRule type="cellIs" dxfId="89" priority="10" stopIfTrue="1" operator="equal">
      <formula>0</formula>
    </cfRule>
  </conditionalFormatting>
  <conditionalFormatting sqref="G270">
    <cfRule type="cellIs" dxfId="88" priority="9" stopIfTrue="1" operator="equal">
      <formula>0</formula>
    </cfRule>
  </conditionalFormatting>
  <conditionalFormatting sqref="G272">
    <cfRule type="cellIs" priority="3" stopIfTrue="1" operator="equal">
      <formula>";;;"</formula>
    </cfRule>
  </conditionalFormatting>
  <conditionalFormatting sqref="G272">
    <cfRule type="cellIs" dxfId="87" priority="2" stopIfTrue="1" operator="equal">
      <formula>0</formula>
    </cfRule>
  </conditionalFormatting>
  <conditionalFormatting sqref="G272">
    <cfRule type="cellIs" dxfId="86" priority="1" stopIfTrue="1" operator="equal">
      <formula>0</formula>
    </cfRule>
  </conditionalFormatting>
  <dataValidations xWindow="829" yWindow="690" count="24">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prompt="Select from drop down list" sqref="G88" xr:uid="{03FCCE46-B0EA-4672-8B51-281D65C01346}">
      <formula1>#REF!</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7"/>
  <sheetViews>
    <sheetView showGridLines="0" zoomScaleNormal="100" workbookViewId="0">
      <selection activeCell="G41" sqref="G41"/>
    </sheetView>
  </sheetViews>
  <sheetFormatPr defaultColWidth="9.33203125" defaultRowHeight="14.4" x14ac:dyDescent="0.3"/>
  <cols>
    <col min="1" max="1" width="2.6640625" style="194" customWidth="1"/>
    <col min="2" max="3" width="2.33203125" style="194" customWidth="1"/>
    <col min="4" max="4" width="7.44140625" style="261" customWidth="1"/>
    <col min="5" max="5" width="43.6640625" style="249" customWidth="1"/>
    <col min="6" max="6" width="53.33203125" style="249" customWidth="1"/>
    <col min="7" max="7" width="18.6640625" style="194" customWidth="1"/>
    <col min="8" max="8" width="44.44140625" style="194" customWidth="1"/>
    <col min="9" max="9" width="9.44140625" style="194" customWidth="1"/>
    <col min="10" max="10" width="9.33203125" style="249" customWidth="1"/>
    <col min="11" max="12" width="16.6640625" customWidth="1"/>
    <col min="13" max="13" width="15.109375" customWidth="1"/>
    <col min="14" max="14" width="2.6640625" customWidth="1"/>
    <col min="15" max="15" width="61.109375" customWidth="1"/>
    <col min="16" max="16" width="77.6640625" customWidth="1"/>
    <col min="17" max="17" width="30.6640625" customWidth="1"/>
    <col min="18" max="18" width="10.44140625" customWidth="1"/>
    <col min="19" max="19" width="10.6640625" customWidth="1"/>
    <col min="20" max="20" width="11.109375" customWidth="1"/>
    <col min="21" max="21" width="14" customWidth="1"/>
    <col min="22" max="22" width="17.6640625" customWidth="1"/>
    <col min="23" max="23" width="11.33203125" customWidth="1"/>
    <col min="24" max="24" width="57.33203125" customWidth="1"/>
    <col min="25" max="25" width="13.109375" customWidth="1"/>
    <col min="26" max="26" width="31.109375" customWidth="1"/>
    <col min="27" max="27" width="4.6640625" customWidth="1"/>
    <col min="28" max="36" width="9.33203125" customWidth="1"/>
    <col min="37" max="37" width="36.44140625" customWidth="1"/>
    <col min="38" max="38" width="9.33203125" customWidth="1"/>
    <col min="40" max="43" width="9.33203125" style="195"/>
    <col min="44" max="16384" width="9.33203125" style="194"/>
  </cols>
  <sheetData>
    <row r="1" spans="1:43" ht="87" customHeight="1" thickBot="1" x14ac:dyDescent="0.35">
      <c r="B1" s="1098" t="s">
        <v>1436</v>
      </c>
      <c r="C1" s="1099"/>
      <c r="D1" s="1099"/>
      <c r="E1" s="1099"/>
      <c r="F1" s="1099"/>
      <c r="G1" s="1099"/>
      <c r="H1" s="1099"/>
      <c r="I1" s="1099"/>
      <c r="J1" s="1100"/>
    </row>
    <row r="2" spans="1:43" s="196" customFormat="1" ht="16.8" hidden="1" thickBot="1" x14ac:dyDescent="0.35">
      <c r="B2" s="1101" t="s">
        <v>569</v>
      </c>
      <c r="C2" s="1102"/>
      <c r="D2" s="1102"/>
      <c r="E2" s="1102"/>
      <c r="F2" s="1102"/>
      <c r="G2" s="1102"/>
      <c r="H2" s="1102"/>
      <c r="I2" s="1102"/>
      <c r="J2" s="1103"/>
      <c r="K2"/>
      <c r="L2"/>
      <c r="M2"/>
      <c r="N2"/>
      <c r="O2"/>
      <c r="P2"/>
      <c r="Q2"/>
      <c r="R2"/>
      <c r="S2"/>
      <c r="T2"/>
      <c r="U2"/>
      <c r="V2"/>
      <c r="W2"/>
      <c r="X2"/>
      <c r="Y2"/>
      <c r="Z2"/>
      <c r="AA2"/>
      <c r="AB2"/>
      <c r="AC2"/>
      <c r="AD2"/>
      <c r="AE2"/>
      <c r="AF2"/>
      <c r="AG2"/>
      <c r="AH2"/>
      <c r="AI2"/>
      <c r="AJ2"/>
      <c r="AK2"/>
      <c r="AL2"/>
      <c r="AM2"/>
      <c r="AN2" s="195"/>
      <c r="AO2" s="195"/>
      <c r="AP2" s="195"/>
      <c r="AQ2" s="195"/>
    </row>
    <row r="3" spans="1:43" s="198" customFormat="1" ht="39" hidden="1" customHeight="1" thickBot="1" x14ac:dyDescent="0.35">
      <c r="A3" s="194"/>
      <c r="B3" s="1104" t="s">
        <v>570</v>
      </c>
      <c r="C3" s="1105"/>
      <c r="D3" s="1105"/>
      <c r="E3" s="1105"/>
      <c r="F3" s="1105"/>
      <c r="G3" s="1105"/>
      <c r="H3" s="1105"/>
      <c r="I3" s="1105"/>
      <c r="J3" s="1106"/>
      <c r="K3"/>
      <c r="L3"/>
      <c r="M3"/>
      <c r="N3"/>
      <c r="O3"/>
      <c r="P3"/>
      <c r="Q3"/>
      <c r="R3"/>
      <c r="S3"/>
      <c r="T3"/>
      <c r="U3"/>
      <c r="V3"/>
      <c r="W3"/>
      <c r="X3"/>
      <c r="Y3"/>
      <c r="Z3"/>
      <c r="AA3"/>
      <c r="AB3"/>
      <c r="AC3"/>
      <c r="AD3"/>
      <c r="AE3"/>
      <c r="AF3"/>
      <c r="AG3"/>
      <c r="AH3"/>
      <c r="AI3"/>
      <c r="AJ3"/>
      <c r="AK3"/>
      <c r="AL3"/>
      <c r="AM3"/>
      <c r="AN3" s="197"/>
      <c r="AO3" s="197"/>
      <c r="AP3" s="197"/>
      <c r="AQ3" s="197"/>
    </row>
    <row r="4" spans="1:43" ht="20.25" customHeight="1" x14ac:dyDescent="0.3">
      <c r="B4" s="1047" t="s">
        <v>1437</v>
      </c>
      <c r="C4" s="1048"/>
      <c r="D4" s="1048"/>
      <c r="E4" s="1048"/>
      <c r="F4" s="1049"/>
      <c r="G4" s="1049"/>
      <c r="H4" s="1049"/>
      <c r="I4" s="1049"/>
      <c r="J4" s="1050"/>
    </row>
    <row r="5" spans="1:43" ht="27" hidden="1" customHeight="1" x14ac:dyDescent="0.3">
      <c r="B5" s="1121" t="s">
        <v>1259</v>
      </c>
      <c r="C5" s="1122"/>
      <c r="D5" s="1122"/>
      <c r="E5" s="1122"/>
      <c r="F5" s="1122"/>
      <c r="G5" s="1122"/>
      <c r="H5" s="1122"/>
      <c r="I5" s="1122"/>
      <c r="J5" s="1123"/>
    </row>
    <row r="6" spans="1:43" ht="27" hidden="1" customHeight="1" x14ac:dyDescent="0.3">
      <c r="B6" s="947"/>
      <c r="C6" s="948"/>
      <c r="D6" s="948"/>
      <c r="E6" s="948"/>
      <c r="F6" s="948"/>
      <c r="G6" s="948"/>
      <c r="H6" s="948"/>
      <c r="I6" s="948"/>
      <c r="J6" s="949"/>
    </row>
    <row r="7" spans="1:43" ht="20.25" customHeight="1" thickBot="1" x14ac:dyDescent="0.35">
      <c r="B7" s="1118" t="s">
        <v>1438</v>
      </c>
      <c r="C7" s="1119"/>
      <c r="D7" s="1119"/>
      <c r="E7" s="1119"/>
      <c r="F7" s="1119"/>
      <c r="G7" s="1119"/>
      <c r="H7" s="1119"/>
      <c r="I7" s="1119"/>
      <c r="J7" s="1120"/>
    </row>
    <row r="8" spans="1:43" ht="39" hidden="1" customHeight="1" thickBot="1" x14ac:dyDescent="0.35">
      <c r="B8" s="199"/>
      <c r="C8" s="200"/>
      <c r="D8" s="201" t="s">
        <v>571</v>
      </c>
      <c r="E8" s="202"/>
      <c r="F8" s="203"/>
      <c r="G8" s="203"/>
      <c r="H8" s="203"/>
      <c r="I8" s="203"/>
      <c r="J8" s="204"/>
    </row>
    <row r="9" spans="1:43" s="205" customFormat="1" ht="15" hidden="1" thickBot="1" x14ac:dyDescent="0.35">
      <c r="B9" s="206"/>
      <c r="C9" s="207"/>
      <c r="D9" s="256" t="s">
        <v>448</v>
      </c>
      <c r="E9" s="208"/>
      <c r="F9" s="208"/>
      <c r="G9" s="208"/>
      <c r="H9" s="209"/>
      <c r="I9" s="209"/>
      <c r="J9" s="210"/>
      <c r="K9"/>
      <c r="L9"/>
      <c r="M9"/>
      <c r="N9"/>
      <c r="O9"/>
      <c r="P9"/>
      <c r="Q9"/>
      <c r="R9"/>
      <c r="S9"/>
      <c r="T9"/>
      <c r="U9"/>
      <c r="V9"/>
      <c r="W9"/>
      <c r="X9"/>
      <c r="Y9"/>
      <c r="Z9"/>
      <c r="AA9"/>
      <c r="AB9"/>
      <c r="AC9"/>
      <c r="AD9"/>
      <c r="AE9"/>
      <c r="AF9"/>
      <c r="AG9"/>
      <c r="AH9"/>
      <c r="AI9"/>
      <c r="AJ9"/>
      <c r="AK9"/>
      <c r="AL9"/>
      <c r="AM9"/>
      <c r="AN9" s="195"/>
      <c r="AO9" s="195"/>
      <c r="AP9" s="195"/>
      <c r="AQ9" s="195"/>
    </row>
    <row r="10" spans="1:43" ht="19.5" hidden="1" customHeight="1" thickBot="1" x14ac:dyDescent="0.35">
      <c r="B10" s="211"/>
      <c r="C10" s="212"/>
      <c r="D10" s="305" t="s">
        <v>810</v>
      </c>
      <c r="E10" s="1096" t="s">
        <v>572</v>
      </c>
      <c r="F10" s="1096"/>
      <c r="G10" s="1093"/>
      <c r="H10" s="1094"/>
      <c r="I10" s="1095"/>
      <c r="J10" s="213"/>
    </row>
    <row r="11" spans="1:43" ht="14.25" hidden="1" customHeight="1" thickBot="1" x14ac:dyDescent="0.35">
      <c r="B11" s="211"/>
      <c r="C11" s="212"/>
      <c r="D11" s="256"/>
      <c r="E11" s="208"/>
      <c r="F11" s="208"/>
      <c r="G11" s="214" t="str">
        <f>IF(U9&gt;0,"PLEASE SEE INSTRUCTIONS REGARDING NAME","")</f>
        <v/>
      </c>
      <c r="H11" s="215"/>
      <c r="I11" s="215"/>
      <c r="J11" s="213"/>
    </row>
    <row r="12" spans="1:43" ht="21" hidden="1" customHeight="1" thickBot="1" x14ac:dyDescent="0.35">
      <c r="B12" s="211"/>
      <c r="C12" s="212"/>
      <c r="D12" s="306" t="s">
        <v>811</v>
      </c>
      <c r="E12" s="1096" t="s">
        <v>1003</v>
      </c>
      <c r="F12" s="1096"/>
      <c r="G12" s="216"/>
      <c r="H12" s="215"/>
      <c r="I12" s="215"/>
      <c r="J12" s="213"/>
    </row>
    <row r="13" spans="1:43" ht="6.75" hidden="1" customHeight="1" thickBot="1" x14ac:dyDescent="0.35">
      <c r="B13" s="211"/>
      <c r="C13" s="212"/>
      <c r="D13" s="256"/>
      <c r="E13" s="217"/>
      <c r="F13" s="217"/>
      <c r="G13" s="215"/>
      <c r="H13" s="215"/>
      <c r="I13" s="215"/>
      <c r="J13" s="213"/>
    </row>
    <row r="14" spans="1:43" ht="26.25" hidden="1" customHeight="1" thickBot="1" x14ac:dyDescent="0.35">
      <c r="B14" s="211"/>
      <c r="C14" s="212"/>
      <c r="D14" s="262">
        <v>900</v>
      </c>
      <c r="E14" s="1096" t="s">
        <v>573</v>
      </c>
      <c r="F14" s="1096"/>
      <c r="G14" s="218"/>
      <c r="H14" s="215"/>
      <c r="I14" s="215"/>
      <c r="J14" s="213"/>
    </row>
    <row r="15" spans="1:43" ht="6.75" hidden="1" customHeight="1" thickBot="1" x14ac:dyDescent="0.35">
      <c r="B15" s="211"/>
      <c r="C15" s="212"/>
      <c r="D15" s="262"/>
      <c r="E15" s="217"/>
      <c r="F15" s="217"/>
      <c r="G15" s="215"/>
      <c r="H15" s="215"/>
      <c r="I15" s="215"/>
      <c r="J15" s="213"/>
    </row>
    <row r="16" spans="1:43" ht="26.25" hidden="1" customHeight="1" thickBot="1" x14ac:dyDescent="0.35">
      <c r="B16" s="211"/>
      <c r="C16" s="212"/>
      <c r="D16" s="262" t="s">
        <v>748</v>
      </c>
      <c r="E16" s="1092" t="s">
        <v>574</v>
      </c>
      <c r="F16" s="1092"/>
      <c r="G16" s="1097"/>
      <c r="H16" s="1094"/>
      <c r="I16" s="1095"/>
      <c r="J16" s="213"/>
    </row>
    <row r="17" spans="2:10" ht="6.75" hidden="1" customHeight="1" thickBot="1" x14ac:dyDescent="0.35">
      <c r="B17" s="211"/>
      <c r="C17" s="212"/>
      <c r="D17" s="262"/>
      <c r="E17" s="217"/>
      <c r="F17" s="217"/>
      <c r="G17" s="215"/>
      <c r="H17" s="215"/>
      <c r="I17" s="215"/>
      <c r="J17" s="213"/>
    </row>
    <row r="18" spans="2:10" ht="24" hidden="1" customHeight="1" thickBot="1" x14ac:dyDescent="0.35">
      <c r="B18" s="211"/>
      <c r="C18" s="212"/>
      <c r="D18" s="262" t="s">
        <v>749</v>
      </c>
      <c r="E18" s="1092" t="s">
        <v>575</v>
      </c>
      <c r="F18" s="1092"/>
      <c r="G18" s="1093"/>
      <c r="H18" s="1094"/>
      <c r="I18" s="1095"/>
      <c r="J18" s="213"/>
    </row>
    <row r="19" spans="2:10" ht="6.75" hidden="1" customHeight="1" thickBot="1" x14ac:dyDescent="0.35">
      <c r="B19" s="211"/>
      <c r="C19" s="212"/>
      <c r="D19" s="262"/>
      <c r="E19" s="217"/>
      <c r="F19" s="217"/>
      <c r="G19" s="215"/>
      <c r="H19" s="215"/>
      <c r="I19" s="215"/>
      <c r="J19" s="213"/>
    </row>
    <row r="20" spans="2:10" ht="24" hidden="1" customHeight="1" thickBot="1" x14ac:dyDescent="0.35">
      <c r="B20" s="211"/>
      <c r="C20" s="212"/>
      <c r="D20" s="262" t="s">
        <v>750</v>
      </c>
      <c r="E20" s="1092" t="s">
        <v>576</v>
      </c>
      <c r="F20" s="1092"/>
      <c r="G20" s="1093"/>
      <c r="H20" s="1094"/>
      <c r="I20" s="1095"/>
      <c r="J20" s="213"/>
    </row>
    <row r="21" spans="2:10" ht="6.75" hidden="1" customHeight="1" thickBot="1" x14ac:dyDescent="0.35">
      <c r="B21" s="211"/>
      <c r="C21" s="212"/>
      <c r="D21" s="262"/>
      <c r="E21" s="217"/>
      <c r="F21" s="217"/>
      <c r="G21" s="215"/>
      <c r="H21" s="215"/>
      <c r="I21" s="215"/>
      <c r="J21" s="213"/>
    </row>
    <row r="22" spans="2:10" ht="24" hidden="1" customHeight="1" thickBot="1" x14ac:dyDescent="0.35">
      <c r="B22" s="211"/>
      <c r="C22" s="212"/>
      <c r="D22" s="262" t="s">
        <v>751</v>
      </c>
      <c r="E22" s="1092" t="s">
        <v>577</v>
      </c>
      <c r="F22" s="1092"/>
      <c r="G22" s="1097"/>
      <c r="H22" s="1094"/>
      <c r="I22" s="1095"/>
      <c r="J22" s="213"/>
    </row>
    <row r="23" spans="2:10" ht="6.75" hidden="1" customHeight="1" thickBot="1" x14ac:dyDescent="0.35">
      <c r="B23" s="211"/>
      <c r="C23" s="212"/>
      <c r="D23" s="262"/>
      <c r="E23" s="217"/>
      <c r="F23" s="217"/>
      <c r="G23" s="215"/>
      <c r="H23" s="215"/>
      <c r="I23" s="215"/>
      <c r="J23" s="213"/>
    </row>
    <row r="24" spans="2:10" ht="24" hidden="1" customHeight="1" thickBot="1" x14ac:dyDescent="0.35">
      <c r="B24" s="211"/>
      <c r="C24" s="212"/>
      <c r="D24" s="262" t="s">
        <v>752</v>
      </c>
      <c r="E24" s="1092" t="s">
        <v>578</v>
      </c>
      <c r="F24" s="1092"/>
      <c r="G24" s="1097"/>
      <c r="H24" s="1094"/>
      <c r="I24" s="1095"/>
      <c r="J24" s="213"/>
    </row>
    <row r="25" spans="2:10" ht="6.75" hidden="1" customHeight="1" thickBot="1" x14ac:dyDescent="0.35">
      <c r="B25" s="211"/>
      <c r="C25" s="212"/>
      <c r="D25" s="263"/>
      <c r="E25" s="208"/>
      <c r="F25" s="208"/>
      <c r="G25" s="212"/>
      <c r="H25" s="212"/>
      <c r="I25" s="212"/>
      <c r="J25" s="213"/>
    </row>
    <row r="26" spans="2:10" ht="18.75" hidden="1" customHeight="1" thickBot="1" x14ac:dyDescent="0.35">
      <c r="B26" s="211"/>
      <c r="C26" s="212"/>
      <c r="D26" s="262" t="s">
        <v>812</v>
      </c>
      <c r="E26" s="1096" t="s">
        <v>579</v>
      </c>
      <c r="F26" s="1096"/>
      <c r="G26" s="1110"/>
      <c r="H26" s="1111"/>
      <c r="I26" s="219"/>
      <c r="J26" s="213"/>
    </row>
    <row r="27" spans="2:10" ht="28.5" hidden="1" customHeight="1" thickBot="1" x14ac:dyDescent="0.35">
      <c r="B27" s="211"/>
      <c r="C27" s="212"/>
      <c r="D27" s="262"/>
      <c r="E27" s="1112" t="str">
        <f>IF(G26="Housing Authority", CONCATENATE("SKIP Questions ",D28,"-",D66),"")</f>
        <v/>
      </c>
      <c r="F27" s="1112"/>
      <c r="G27" s="1112"/>
      <c r="H27" s="1112"/>
      <c r="I27" s="219"/>
      <c r="J27" s="213"/>
    </row>
    <row r="28" spans="2:10" ht="28.5" hidden="1" customHeight="1" thickBot="1" x14ac:dyDescent="0.35">
      <c r="B28" s="211"/>
      <c r="C28" s="212"/>
      <c r="D28" s="262" t="s">
        <v>754</v>
      </c>
      <c r="E28" s="1096" t="s">
        <v>580</v>
      </c>
      <c r="F28" s="1096"/>
      <c r="G28" s="220"/>
      <c r="H28" s="1113">
        <f>+O28</f>
        <v>0</v>
      </c>
      <c r="I28" s="1114"/>
      <c r="J28" s="213"/>
    </row>
    <row r="29" spans="2:10" ht="6.75" hidden="1" customHeight="1" thickBot="1" x14ac:dyDescent="0.35">
      <c r="B29" s="211"/>
      <c r="C29" s="212"/>
      <c r="D29" s="263"/>
      <c r="E29" s="208"/>
      <c r="F29" s="208"/>
      <c r="G29" s="221"/>
      <c r="H29" s="208"/>
      <c r="I29" s="222"/>
      <c r="J29" s="213"/>
    </row>
    <row r="30" spans="2:10" ht="18.75" hidden="1" customHeight="1" thickBot="1" x14ac:dyDescent="0.35">
      <c r="B30" s="211"/>
      <c r="C30" s="212"/>
      <c r="D30" s="262" t="s">
        <v>753</v>
      </c>
      <c r="E30" s="1096" t="s">
        <v>581</v>
      </c>
      <c r="F30" s="1096"/>
      <c r="G30" s="223"/>
      <c r="H30" s="1115"/>
      <c r="I30" s="1115"/>
      <c r="J30" s="213"/>
    </row>
    <row r="31" spans="2:10" ht="6.75" hidden="1" customHeight="1" thickBot="1" x14ac:dyDescent="0.35">
      <c r="B31" s="211"/>
      <c r="C31" s="212"/>
      <c r="D31" s="263"/>
      <c r="E31" s="208"/>
      <c r="F31" s="208"/>
      <c r="G31" s="212"/>
      <c r="H31" s="212"/>
      <c r="I31" s="212"/>
      <c r="J31" s="213"/>
    </row>
    <row r="32" spans="2:10" ht="27.75" hidden="1" customHeight="1" thickBot="1" x14ac:dyDescent="0.35">
      <c r="B32" s="211"/>
      <c r="C32" s="212"/>
      <c r="D32" s="262" t="s">
        <v>755</v>
      </c>
      <c r="E32" s="1116" t="s">
        <v>582</v>
      </c>
      <c r="F32" s="1117"/>
      <c r="G32" s="1107"/>
      <c r="H32" s="1108"/>
      <c r="I32" s="1109"/>
      <c r="J32" s="213"/>
    </row>
    <row r="33" spans="2:10" ht="6.75" hidden="1" customHeight="1" thickBot="1" x14ac:dyDescent="0.35">
      <c r="B33" s="211"/>
      <c r="C33" s="212"/>
      <c r="D33" s="263"/>
      <c r="E33" s="208"/>
      <c r="F33" s="208"/>
      <c r="G33" s="212"/>
      <c r="H33" s="212"/>
      <c r="I33" s="212"/>
      <c r="J33" s="213"/>
    </row>
    <row r="34" spans="2:10" ht="17.25" hidden="1" customHeight="1" thickBot="1" x14ac:dyDescent="0.35">
      <c r="B34" s="211"/>
      <c r="C34" s="212"/>
      <c r="D34" s="262" t="s">
        <v>756</v>
      </c>
      <c r="E34" s="217" t="s">
        <v>583</v>
      </c>
      <c r="F34" s="217"/>
      <c r="G34" s="1093"/>
      <c r="H34" s="1094"/>
      <c r="I34" s="1095"/>
      <c r="J34" s="213"/>
    </row>
    <row r="35" spans="2:10" ht="6.75" hidden="1" customHeight="1" thickBot="1" x14ac:dyDescent="0.35">
      <c r="B35" s="211"/>
      <c r="C35" s="212"/>
      <c r="D35" s="263"/>
      <c r="E35" s="208"/>
      <c r="F35" s="208"/>
      <c r="G35" s="212"/>
      <c r="H35" s="212"/>
      <c r="I35" s="212"/>
      <c r="J35" s="213"/>
    </row>
    <row r="36" spans="2:10" ht="18" hidden="1" customHeight="1" thickBot="1" x14ac:dyDescent="0.35">
      <c r="B36" s="211"/>
      <c r="C36" s="212"/>
      <c r="D36" s="262" t="s">
        <v>757</v>
      </c>
      <c r="E36" s="1096" t="s">
        <v>584</v>
      </c>
      <c r="F36" s="1125"/>
      <c r="G36" s="1093"/>
      <c r="H36" s="1094"/>
      <c r="I36" s="1095"/>
      <c r="J36" s="213"/>
    </row>
    <row r="37" spans="2:10" ht="8.25" hidden="1" customHeight="1" thickBot="1" x14ac:dyDescent="0.35">
      <c r="B37" s="211"/>
      <c r="C37" s="212"/>
      <c r="D37" s="256"/>
      <c r="E37" s="1126"/>
      <c r="F37" s="1126"/>
      <c r="G37" s="1126"/>
      <c r="H37" s="1126"/>
      <c r="I37" s="219"/>
      <c r="J37" s="213"/>
    </row>
    <row r="38" spans="2:10" ht="39" customHeight="1" thickBot="1" x14ac:dyDescent="0.35">
      <c r="B38" s="1127" t="s">
        <v>1258</v>
      </c>
      <c r="C38" s="1128"/>
      <c r="D38" s="1128"/>
      <c r="E38" s="1128"/>
      <c r="F38" s="1128"/>
      <c r="G38" s="1128"/>
      <c r="H38" s="1128"/>
      <c r="I38" s="1128"/>
      <c r="J38" s="1129"/>
    </row>
    <row r="39" spans="2:10" ht="4.5" customHeight="1" x14ac:dyDescent="0.3">
      <c r="B39" s="211"/>
      <c r="C39" s="212"/>
      <c r="D39" s="257"/>
      <c r="E39" s="208"/>
      <c r="F39" s="208"/>
      <c r="G39" s="212"/>
      <c r="H39" s="212"/>
      <c r="I39" s="212"/>
      <c r="J39" s="213"/>
    </row>
    <row r="40" spans="2:10" ht="4.5" customHeight="1" thickBot="1" x14ac:dyDescent="0.35">
      <c r="B40" s="211"/>
      <c r="C40" s="212"/>
      <c r="D40" s="257"/>
      <c r="E40" s="208"/>
      <c r="F40" s="208"/>
      <c r="G40" s="212"/>
      <c r="H40" s="212"/>
      <c r="I40" s="212"/>
      <c r="J40" s="213"/>
    </row>
    <row r="41" spans="2:10" ht="30.75" customHeight="1" thickBot="1" x14ac:dyDescent="0.35">
      <c r="B41" s="211"/>
      <c r="C41" s="212"/>
      <c r="D41" s="256">
        <v>906</v>
      </c>
      <c r="E41" s="1096" t="s">
        <v>585</v>
      </c>
      <c r="F41" s="1096"/>
      <c r="G41" s="220"/>
      <c r="H41" s="302" t="str">
        <f>IF(G41="","This Question must be answered before uploading, the report will not be processed if left blank","")</f>
        <v>This Question must be answered before uploading, the report will not be processed if left blank</v>
      </c>
      <c r="I41" s="212"/>
      <c r="J41" s="213"/>
    </row>
    <row r="42" spans="2:10" ht="6.75" customHeight="1" thickBot="1" x14ac:dyDescent="0.35">
      <c r="B42" s="211"/>
      <c r="C42" s="212"/>
      <c r="D42" s="256"/>
      <c r="E42" s="217"/>
      <c r="F42" s="217"/>
      <c r="G42" s="221"/>
      <c r="H42" s="212"/>
      <c r="I42" s="212"/>
      <c r="J42" s="213"/>
    </row>
    <row r="43" spans="2:10" ht="32.25" customHeight="1" thickBot="1" x14ac:dyDescent="0.35">
      <c r="B43" s="211"/>
      <c r="C43" s="212"/>
      <c r="D43" s="256">
        <v>907</v>
      </c>
      <c r="E43" s="1096" t="s">
        <v>586</v>
      </c>
      <c r="F43" s="1096"/>
      <c r="G43" s="220"/>
      <c r="H43" s="302" t="str">
        <f>IF(G43="","This Question must be answered before uploading, the report will not be processed if left blank","")</f>
        <v>This Question must be answered before uploading, the report will not be processed if left blank</v>
      </c>
      <c r="I43" s="212"/>
      <c r="J43" s="213"/>
    </row>
    <row r="44" spans="2:10" ht="6.75" customHeight="1" thickBot="1" x14ac:dyDescent="0.35">
      <c r="B44" s="211"/>
      <c r="C44" s="212"/>
      <c r="D44" s="256"/>
      <c r="E44" s="217"/>
      <c r="F44" s="217"/>
      <c r="G44" s="221"/>
      <c r="H44" s="212"/>
      <c r="I44" s="212"/>
      <c r="J44" s="213"/>
    </row>
    <row r="45" spans="2:10" ht="32.25" customHeight="1" thickBot="1" x14ac:dyDescent="0.35">
      <c r="B45" s="211"/>
      <c r="C45" s="212"/>
      <c r="D45" s="256">
        <v>951</v>
      </c>
      <c r="E45" s="1096" t="s">
        <v>587</v>
      </c>
      <c r="F45" s="1096"/>
      <c r="G45" s="220"/>
      <c r="H45" s="302" t="str">
        <f>IF(G45="","This Question must be answered before uploading, the report will not be processed if left blank","")</f>
        <v>This Question must be answered before uploading, the report will not be processed if left blank</v>
      </c>
      <c r="I45" s="208"/>
      <c r="J45" s="213"/>
    </row>
    <row r="46" spans="2:10" ht="6.75" customHeight="1" thickBot="1" x14ac:dyDescent="0.35">
      <c r="B46" s="211"/>
      <c r="C46" s="212"/>
      <c r="D46" s="256"/>
      <c r="E46" s="217"/>
      <c r="F46" s="217"/>
      <c r="G46" s="221"/>
      <c r="H46" s="212"/>
      <c r="I46" s="212"/>
      <c r="J46" s="213"/>
    </row>
    <row r="47" spans="2:10" ht="33" customHeight="1" thickBot="1" x14ac:dyDescent="0.35">
      <c r="B47" s="211"/>
      <c r="C47" s="212"/>
      <c r="D47" s="256">
        <v>953</v>
      </c>
      <c r="E47" s="1096" t="s">
        <v>588</v>
      </c>
      <c r="F47" s="1096"/>
      <c r="G47" s="220"/>
      <c r="H47" s="302" t="str">
        <f>IF(G47="","This Question must be answered before uploading, the report will not be processed if left blank","")</f>
        <v>This Question must be answered before uploading, the report will not be processed if left blank</v>
      </c>
      <c r="I47" s="208"/>
      <c r="J47" s="213"/>
    </row>
    <row r="48" spans="2:10" ht="6.75" customHeight="1" thickBot="1" x14ac:dyDescent="0.35">
      <c r="B48" s="211"/>
      <c r="C48" s="212"/>
      <c r="D48" s="258"/>
      <c r="E48" s="217"/>
      <c r="F48" s="217"/>
      <c r="G48" s="221"/>
      <c r="H48" s="212"/>
      <c r="I48" s="212"/>
      <c r="J48" s="213"/>
    </row>
    <row r="49" spans="2:43" ht="32.25" customHeight="1" thickBot="1" x14ac:dyDescent="0.35">
      <c r="B49" s="211"/>
      <c r="C49" s="212"/>
      <c r="D49" s="256">
        <v>955</v>
      </c>
      <c r="E49" s="1096" t="s">
        <v>589</v>
      </c>
      <c r="F49" s="1096"/>
      <c r="G49" s="225"/>
      <c r="H49" s="302" t="str">
        <f>IF(G49="","This Question must be answered before uploading, the report will not be processed if left blank","")</f>
        <v>This Question must be answered before uploading, the report will not be processed if left blank</v>
      </c>
      <c r="I49" s="226"/>
      <c r="J49" s="227"/>
    </row>
    <row r="50" spans="2:43" ht="6.75" customHeight="1" thickBot="1" x14ac:dyDescent="0.35">
      <c r="B50" s="211"/>
      <c r="C50" s="212"/>
      <c r="D50" s="256"/>
      <c r="E50" s="217"/>
      <c r="F50" s="217"/>
      <c r="G50" s="221"/>
      <c r="H50" s="226"/>
      <c r="I50" s="226"/>
      <c r="J50" s="227"/>
    </row>
    <row r="51" spans="2:43" ht="39.75" customHeight="1" thickBot="1" x14ac:dyDescent="0.35">
      <c r="B51" s="211"/>
      <c r="C51" s="212"/>
      <c r="D51" s="256">
        <v>957</v>
      </c>
      <c r="E51" s="1096" t="s">
        <v>590</v>
      </c>
      <c r="F51" s="1096"/>
      <c r="G51" s="225"/>
      <c r="H51" s="302" t="str">
        <f>IF(G51="","This Question must be answered before uploading, the report will not be processed if left blank","")</f>
        <v>This Question must be answered before uploading, the report will not be processed if left blank</v>
      </c>
      <c r="I51" s="226"/>
      <c r="J51" s="227"/>
    </row>
    <row r="52" spans="2:43" ht="9.75" customHeight="1" thickBot="1" x14ac:dyDescent="0.35">
      <c r="B52" s="211"/>
      <c r="C52" s="212"/>
      <c r="D52" s="257"/>
      <c r="E52" s="208"/>
      <c r="F52" s="208"/>
      <c r="G52" s="212"/>
      <c r="H52" s="212"/>
      <c r="I52" s="212"/>
      <c r="J52" s="213"/>
    </row>
    <row r="53" spans="2:43" ht="35.1" customHeight="1" thickBot="1" x14ac:dyDescent="0.35">
      <c r="B53" s="211"/>
      <c r="C53" s="212"/>
      <c r="D53" s="256">
        <v>959</v>
      </c>
      <c r="E53" s="1124" t="s">
        <v>996</v>
      </c>
      <c r="F53" s="1124"/>
      <c r="G53" s="220"/>
      <c r="H53" s="302" t="str">
        <f>IF(G53="","This Question must be answered before uploading, the report will not be processed if left blank","")</f>
        <v>This Question must be answered before uploading, the report will not be processed if left blank</v>
      </c>
      <c r="I53" s="212"/>
      <c r="J53" s="213"/>
    </row>
    <row r="54" spans="2:43" ht="8.25" hidden="1" customHeight="1" thickBot="1" x14ac:dyDescent="0.3">
      <c r="B54" s="211"/>
      <c r="C54" s="212"/>
      <c r="D54" s="256"/>
      <c r="E54" s="381"/>
      <c r="F54" s="381"/>
      <c r="G54" s="212"/>
      <c r="H54" s="212"/>
      <c r="I54" s="212"/>
      <c r="J54" s="213"/>
    </row>
    <row r="55" spans="2:43" ht="67.5" hidden="1" customHeight="1" thickBot="1" x14ac:dyDescent="0.35">
      <c r="B55" s="211"/>
      <c r="C55" s="228"/>
      <c r="D55" s="256">
        <v>973</v>
      </c>
      <c r="E55" s="1124" t="s">
        <v>1070</v>
      </c>
      <c r="F55" s="1124"/>
      <c r="G55" s="386"/>
      <c r="H55" s="302" t="str">
        <f>IF(G55="","This Question must be answered before uploading, the report will not be processed if left blank","")</f>
        <v>This Question must be answered before uploading, the report will not be processed if left blank</v>
      </c>
      <c r="I55" s="281"/>
      <c r="J55" s="213"/>
    </row>
    <row r="56" spans="2:43" ht="6.75" customHeight="1" thickBot="1" x14ac:dyDescent="0.35">
      <c r="B56" s="211"/>
      <c r="C56" s="228"/>
      <c r="D56" s="259"/>
      <c r="E56" s="208"/>
      <c r="F56" s="208"/>
      <c r="G56" s="255"/>
      <c r="H56" s="212"/>
      <c r="I56" s="212"/>
      <c r="J56" s="213"/>
    </row>
    <row r="57" spans="2:43" ht="98.25" customHeight="1" thickBot="1" x14ac:dyDescent="0.35">
      <c r="B57" s="211"/>
      <c r="C57" s="212"/>
      <c r="D57" s="256">
        <v>974</v>
      </c>
      <c r="E57" s="1096" t="s">
        <v>1000</v>
      </c>
      <c r="F57" s="1132"/>
      <c r="G57" s="220"/>
      <c r="H57" s="301" t="str">
        <f>IF(G57="","This Question must be answered before uploading, the report will not be processed if left blank","")</f>
        <v>This Question must be answered before uploading, the report will not be processed if left blank</v>
      </c>
      <c r="I57" s="229"/>
      <c r="J57" s="213"/>
    </row>
    <row r="58" spans="2:43" ht="6.75" hidden="1" customHeight="1" x14ac:dyDescent="0.3">
      <c r="B58" s="211"/>
      <c r="C58" s="212"/>
      <c r="D58" s="256"/>
      <c r="E58" s="217"/>
      <c r="F58" s="217"/>
      <c r="G58" s="221"/>
      <c r="H58" s="212"/>
      <c r="I58" s="212"/>
      <c r="J58" s="213"/>
    </row>
    <row r="59" spans="2:43" ht="6.75" hidden="1" customHeight="1" thickBot="1" x14ac:dyDescent="0.3">
      <c r="B59" s="211"/>
      <c r="C59" s="212"/>
      <c r="D59" s="256"/>
      <c r="E59" s="217"/>
      <c r="F59" s="217"/>
      <c r="G59" s="221"/>
      <c r="H59" s="208"/>
      <c r="I59" s="212"/>
      <c r="J59" s="213"/>
    </row>
    <row r="60" spans="2:43" ht="29.25" hidden="1" customHeight="1" thickBot="1" x14ac:dyDescent="0.35">
      <c r="B60" s="211"/>
      <c r="C60" s="212"/>
      <c r="D60" s="256">
        <v>965</v>
      </c>
      <c r="E60" s="1096" t="s">
        <v>591</v>
      </c>
      <c r="F60" s="1096"/>
      <c r="G60" s="223"/>
      <c r="H60" s="302" t="str">
        <f>IF(G60="","This Question must be answered before uploading, the report will not be processed if left blank","")</f>
        <v>This Question must be answered before uploading, the report will not be processed if left blank</v>
      </c>
      <c r="I60" s="222"/>
      <c r="J60" s="213"/>
    </row>
    <row r="61" spans="2:43" ht="6.75" customHeight="1" thickBot="1" x14ac:dyDescent="0.35">
      <c r="B61" s="211"/>
      <c r="C61" s="212"/>
      <c r="D61" s="257"/>
      <c r="E61" s="208"/>
      <c r="F61" s="208"/>
      <c r="G61" s="221"/>
      <c r="H61" s="208"/>
      <c r="I61" s="222"/>
      <c r="J61" s="213"/>
    </row>
    <row r="62" spans="2:43" s="234" customFormat="1" ht="30.75" customHeight="1" thickBot="1" x14ac:dyDescent="0.35">
      <c r="B62" s="230"/>
      <c r="C62" s="231"/>
      <c r="D62" s="256" t="s">
        <v>813</v>
      </c>
      <c r="E62" s="232" t="s">
        <v>592</v>
      </c>
      <c r="F62" s="233" t="str">
        <f>IF(G62="Yes", "Please Submit Management Letter","")</f>
        <v/>
      </c>
      <c r="G62" s="220"/>
      <c r="H62" s="302" t="str">
        <f>IF(G62="","This Question must be answered before uploading, the report will not be processed if left blank","")</f>
        <v>This Question must be answered before uploading, the report will not be processed if left blank</v>
      </c>
      <c r="I62" s="280"/>
      <c r="J62" s="213"/>
      <c r="K62"/>
      <c r="L62"/>
      <c r="M62"/>
      <c r="N62"/>
      <c r="O62"/>
      <c r="P62"/>
      <c r="Q62"/>
      <c r="R62"/>
      <c r="S62"/>
      <c r="T62"/>
      <c r="U62"/>
      <c r="V62"/>
      <c r="W62"/>
      <c r="X62"/>
      <c r="Y62"/>
      <c r="Z62"/>
      <c r="AA62"/>
      <c r="AB62"/>
      <c r="AC62"/>
      <c r="AD62"/>
      <c r="AE62"/>
      <c r="AF62"/>
      <c r="AG62"/>
      <c r="AH62"/>
      <c r="AI62"/>
      <c r="AJ62"/>
      <c r="AK62"/>
      <c r="AL62"/>
      <c r="AM62"/>
      <c r="AN62" s="224"/>
      <c r="AO62" s="224"/>
      <c r="AP62" s="224"/>
      <c r="AQ62" s="224"/>
    </row>
    <row r="63" spans="2:43" s="234" customFormat="1" ht="9.75" customHeight="1" thickBot="1" x14ac:dyDescent="0.35">
      <c r="B63" s="230"/>
      <c r="C63" s="231"/>
      <c r="D63" s="257"/>
      <c r="E63" s="235"/>
      <c r="F63" s="236"/>
      <c r="G63" s="221"/>
      <c r="H63" s="208"/>
      <c r="I63" s="222"/>
      <c r="J63" s="213"/>
      <c r="K63"/>
      <c r="L63"/>
      <c r="M63"/>
      <c r="N63"/>
      <c r="O63"/>
      <c r="P63"/>
      <c r="Q63"/>
      <c r="R63"/>
      <c r="S63"/>
      <c r="T63"/>
      <c r="U63"/>
      <c r="V63"/>
      <c r="W63"/>
      <c r="X63"/>
      <c r="Y63"/>
      <c r="Z63"/>
      <c r="AA63"/>
      <c r="AB63"/>
      <c r="AC63"/>
      <c r="AD63"/>
      <c r="AE63"/>
      <c r="AF63"/>
      <c r="AG63"/>
      <c r="AH63"/>
      <c r="AI63"/>
      <c r="AJ63"/>
      <c r="AK63"/>
      <c r="AL63"/>
      <c r="AM63"/>
      <c r="AN63" s="224"/>
      <c r="AO63" s="224"/>
      <c r="AP63" s="224"/>
      <c r="AQ63" s="224"/>
    </row>
    <row r="64" spans="2:43" s="234" customFormat="1" ht="31.5" customHeight="1" thickBot="1" x14ac:dyDescent="0.35">
      <c r="B64" s="230"/>
      <c r="C64" s="231"/>
      <c r="D64" s="256" t="s">
        <v>814</v>
      </c>
      <c r="E64" s="232" t="s">
        <v>593</v>
      </c>
      <c r="F64" s="233" t="str">
        <f>IF(G64="Yes", "Please Submit AU-C 260 Letter","")</f>
        <v/>
      </c>
      <c r="G64" s="220"/>
      <c r="H64" s="302" t="str">
        <f>IF(G64="","This Question must be answered before uploading, the report will not be processed if left blank","")</f>
        <v>This Question must be answered before uploading, the report will not be processed if left blank</v>
      </c>
      <c r="I64" s="280"/>
      <c r="J64" s="213"/>
      <c r="K64"/>
      <c r="L64"/>
      <c r="M64"/>
      <c r="N64"/>
      <c r="O64"/>
      <c r="P64"/>
      <c r="Q64"/>
      <c r="R64"/>
      <c r="S64"/>
      <c r="T64"/>
      <c r="U64"/>
      <c r="V64"/>
      <c r="W64"/>
      <c r="X64"/>
      <c r="Y64"/>
      <c r="Z64"/>
      <c r="AA64"/>
      <c r="AB64"/>
      <c r="AC64"/>
      <c r="AD64"/>
      <c r="AE64"/>
      <c r="AF64"/>
      <c r="AG64"/>
      <c r="AH64"/>
      <c r="AI64"/>
      <c r="AJ64"/>
      <c r="AK64"/>
      <c r="AL64"/>
      <c r="AM64"/>
      <c r="AN64" s="224"/>
      <c r="AO64" s="224"/>
      <c r="AP64" s="224"/>
      <c r="AQ64" s="224"/>
    </row>
    <row r="65" spans="2:43" s="234" customFormat="1" ht="8.25" customHeight="1" thickBot="1" x14ac:dyDescent="0.35">
      <c r="B65" s="230"/>
      <c r="C65" s="231"/>
      <c r="D65" s="257"/>
      <c r="E65" s="237"/>
      <c r="F65" s="236"/>
      <c r="G65" s="221"/>
      <c r="H65" s="208"/>
      <c r="I65" s="222"/>
      <c r="J65" s="213"/>
      <c r="K65"/>
      <c r="L65"/>
      <c r="M65"/>
      <c r="N65"/>
      <c r="O65"/>
      <c r="P65"/>
      <c r="Q65"/>
      <c r="R65"/>
      <c r="S65"/>
      <c r="T65"/>
      <c r="U65"/>
      <c r="V65"/>
      <c r="W65"/>
      <c r="X65"/>
      <c r="Y65"/>
      <c r="Z65"/>
      <c r="AA65"/>
      <c r="AB65"/>
      <c r="AC65"/>
      <c r="AD65"/>
      <c r="AE65"/>
      <c r="AF65"/>
      <c r="AG65"/>
      <c r="AH65"/>
      <c r="AI65"/>
      <c r="AJ65"/>
      <c r="AK65"/>
      <c r="AL65"/>
      <c r="AM65"/>
      <c r="AN65" s="224"/>
      <c r="AO65" s="224"/>
      <c r="AP65" s="224"/>
      <c r="AQ65" s="224"/>
    </row>
    <row r="66" spans="2:43" s="234" customFormat="1" ht="33.75" customHeight="1" thickBot="1" x14ac:dyDescent="0.35">
      <c r="B66" s="230"/>
      <c r="C66" s="231"/>
      <c r="D66" s="256" t="s">
        <v>815</v>
      </c>
      <c r="E66" s="232" t="s">
        <v>594</v>
      </c>
      <c r="F66" s="233" t="str">
        <f>IF(G66="Yes", "Please Submit AU-C 265 Letter","")</f>
        <v/>
      </c>
      <c r="G66" s="220"/>
      <c r="H66" s="302" t="str">
        <f>IF(G66="","This Question must be answered before uploading, the report will not be processed if left blank","")</f>
        <v>This Question must be answered before uploading, the report will not be processed if left blank</v>
      </c>
      <c r="I66" s="280"/>
      <c r="J66" s="213"/>
      <c r="K66"/>
      <c r="L66"/>
      <c r="M66"/>
      <c r="N66"/>
      <c r="O66"/>
      <c r="P66"/>
      <c r="Q66"/>
      <c r="R66"/>
      <c r="S66"/>
      <c r="T66"/>
      <c r="U66"/>
      <c r="V66"/>
      <c r="W66"/>
      <c r="X66"/>
      <c r="Y66"/>
      <c r="Z66"/>
      <c r="AA66"/>
      <c r="AB66"/>
      <c r="AC66"/>
      <c r="AD66"/>
      <c r="AE66"/>
      <c r="AF66"/>
      <c r="AG66"/>
      <c r="AH66"/>
      <c r="AI66"/>
      <c r="AJ66"/>
      <c r="AK66"/>
      <c r="AL66"/>
      <c r="AM66"/>
      <c r="AN66" s="224"/>
      <c r="AO66" s="224"/>
      <c r="AP66" s="224"/>
      <c r="AQ66" s="224"/>
    </row>
    <row r="67" spans="2:43" ht="6.75" customHeight="1" thickBot="1" x14ac:dyDescent="0.35">
      <c r="B67" s="211"/>
      <c r="C67" s="212"/>
      <c r="D67" s="257"/>
      <c r="E67" s="238"/>
      <c r="F67" s="238"/>
      <c r="G67" s="215"/>
      <c r="H67" s="208"/>
      <c r="I67" s="208"/>
      <c r="J67" s="213"/>
    </row>
    <row r="68" spans="2:43" s="234" customFormat="1" ht="35.25" hidden="1" customHeight="1" thickBot="1" x14ac:dyDescent="0.35">
      <c r="B68" s="230"/>
      <c r="C68" s="215"/>
      <c r="D68" s="389">
        <v>977</v>
      </c>
      <c r="E68" s="1133" t="s">
        <v>982</v>
      </c>
      <c r="F68" s="1134"/>
      <c r="G68" s="387"/>
      <c r="H68" s="302" t="str">
        <f>IF(G68="","This Question must be answered before uploading, the report will not be processed if left blank","")</f>
        <v>This Question must be answered before uploading, the report will not be processed if left blank</v>
      </c>
      <c r="I68" s="222"/>
      <c r="J68" s="213"/>
      <c r="K68"/>
      <c r="L68"/>
      <c r="M68"/>
      <c r="N68"/>
      <c r="O68"/>
      <c r="P68"/>
      <c r="Q68"/>
      <c r="R68"/>
      <c r="S68"/>
      <c r="T68"/>
      <c r="U68"/>
      <c r="V68"/>
      <c r="W68"/>
      <c r="X68"/>
      <c r="Y68"/>
      <c r="Z68"/>
      <c r="AA68"/>
      <c r="AB68"/>
      <c r="AC68"/>
      <c r="AD68"/>
      <c r="AE68"/>
      <c r="AF68"/>
      <c r="AG68"/>
      <c r="AH68"/>
      <c r="AI68"/>
      <c r="AJ68"/>
      <c r="AK68"/>
      <c r="AL68"/>
      <c r="AM68"/>
      <c r="AN68" s="224"/>
      <c r="AO68" s="224"/>
      <c r="AP68" s="224"/>
      <c r="AQ68" s="224"/>
    </row>
    <row r="69" spans="2:43" s="234" customFormat="1" ht="8.25" hidden="1" customHeight="1" thickBot="1" x14ac:dyDescent="0.35">
      <c r="B69" s="230"/>
      <c r="C69" s="215"/>
      <c r="D69" s="256"/>
      <c r="E69" s="264"/>
      <c r="F69" s="265"/>
      <c r="G69" s="221"/>
      <c r="H69" s="208"/>
      <c r="I69" s="222"/>
      <c r="J69" s="213"/>
      <c r="K69"/>
      <c r="L69"/>
      <c r="M69"/>
      <c r="N69"/>
      <c r="O69"/>
      <c r="P69"/>
      <c r="Q69"/>
      <c r="R69"/>
      <c r="S69"/>
      <c r="T69"/>
      <c r="U69"/>
      <c r="V69"/>
      <c r="W69"/>
      <c r="X69"/>
      <c r="Y69"/>
      <c r="Z69"/>
      <c r="AA69"/>
      <c r="AB69"/>
      <c r="AC69"/>
      <c r="AD69"/>
      <c r="AE69"/>
      <c r="AF69"/>
      <c r="AG69"/>
      <c r="AH69"/>
      <c r="AI69"/>
      <c r="AJ69"/>
      <c r="AK69"/>
      <c r="AL69"/>
      <c r="AM69"/>
      <c r="AN69" s="224"/>
      <c r="AO69" s="224"/>
      <c r="AP69" s="224"/>
      <c r="AQ69" s="224"/>
    </row>
    <row r="70" spans="2:43" s="234" customFormat="1" ht="30" customHeight="1" thickBot="1" x14ac:dyDescent="0.35">
      <c r="B70" s="230"/>
      <c r="C70" s="215"/>
      <c r="D70" s="389">
        <v>978</v>
      </c>
      <c r="E70" s="1133" t="s">
        <v>759</v>
      </c>
      <c r="F70" s="1134"/>
      <c r="G70" s="387"/>
      <c r="H70" s="302" t="str">
        <f>IF(G70="","This Question must be answered before uploading, the report will not be processed if left blank","")</f>
        <v>This Question must be answered before uploading, the report will not be processed if left blank</v>
      </c>
      <c r="I70" s="222"/>
      <c r="J70" s="213"/>
      <c r="K70"/>
      <c r="L70"/>
      <c r="M70"/>
      <c r="N70"/>
      <c r="O70"/>
      <c r="P70"/>
      <c r="Q70"/>
      <c r="R70"/>
      <c r="S70"/>
      <c r="T70"/>
      <c r="U70"/>
      <c r="V70"/>
      <c r="W70"/>
      <c r="X70"/>
      <c r="Y70"/>
      <c r="Z70"/>
      <c r="AA70"/>
      <c r="AB70"/>
      <c r="AC70"/>
      <c r="AD70"/>
      <c r="AE70"/>
      <c r="AF70"/>
      <c r="AG70"/>
      <c r="AH70"/>
      <c r="AI70"/>
      <c r="AJ70"/>
      <c r="AK70"/>
      <c r="AL70"/>
      <c r="AM70"/>
      <c r="AN70" s="224"/>
      <c r="AO70" s="224"/>
      <c r="AP70" s="224"/>
      <c r="AQ70" s="224"/>
    </row>
    <row r="71" spans="2:43" s="234" customFormat="1" ht="8.25" customHeight="1" thickBot="1" x14ac:dyDescent="0.35">
      <c r="B71" s="230"/>
      <c r="C71" s="215"/>
      <c r="D71" s="389"/>
      <c r="E71" s="264"/>
      <c r="F71" s="265"/>
      <c r="G71" s="221"/>
      <c r="H71" s="208"/>
      <c r="I71" s="222"/>
      <c r="J71" s="213"/>
      <c r="K71"/>
      <c r="L71"/>
      <c r="M71"/>
      <c r="N71"/>
      <c r="O71"/>
      <c r="P71"/>
      <c r="Q71"/>
      <c r="R71"/>
      <c r="S71"/>
      <c r="T71"/>
      <c r="U71"/>
      <c r="V71"/>
      <c r="W71"/>
      <c r="X71"/>
      <c r="Y71"/>
      <c r="Z71"/>
      <c r="AA71"/>
      <c r="AB71"/>
      <c r="AC71"/>
      <c r="AD71"/>
      <c r="AE71"/>
      <c r="AF71"/>
      <c r="AG71"/>
      <c r="AH71"/>
      <c r="AI71"/>
      <c r="AJ71"/>
      <c r="AK71"/>
      <c r="AL71"/>
      <c r="AM71"/>
      <c r="AN71" s="224"/>
      <c r="AO71" s="224"/>
      <c r="AP71" s="224"/>
      <c r="AQ71" s="224"/>
    </row>
    <row r="72" spans="2:43" s="234" customFormat="1" ht="36.75" customHeight="1" thickBot="1" x14ac:dyDescent="0.35">
      <c r="B72" s="230"/>
      <c r="C72" s="215"/>
      <c r="D72" s="389">
        <v>979</v>
      </c>
      <c r="E72" s="1133" t="s">
        <v>1327</v>
      </c>
      <c r="F72" s="1134"/>
      <c r="G72" s="387"/>
      <c r="H72" s="302" t="str">
        <f>IF(G72="","This Question must be answered before uploading, the report will not be processed if left blank","")</f>
        <v>This Question must be answered before uploading, the report will not be processed if left blank</v>
      </c>
      <c r="I72" s="222"/>
      <c r="J72" s="213"/>
      <c r="K72"/>
      <c r="L72"/>
      <c r="M72"/>
      <c r="N72"/>
      <c r="O72"/>
      <c r="P72"/>
      <c r="Q72"/>
      <c r="R72"/>
      <c r="S72"/>
      <c r="T72"/>
      <c r="U72"/>
      <c r="V72"/>
      <c r="W72"/>
      <c r="X72"/>
      <c r="Y72"/>
      <c r="Z72"/>
      <c r="AA72"/>
      <c r="AB72"/>
      <c r="AC72"/>
      <c r="AD72"/>
      <c r="AE72"/>
      <c r="AF72"/>
      <c r="AG72"/>
      <c r="AH72"/>
      <c r="AI72"/>
      <c r="AJ72"/>
      <c r="AK72"/>
      <c r="AL72"/>
      <c r="AM72"/>
      <c r="AN72" s="224"/>
      <c r="AO72" s="224"/>
      <c r="AP72" s="224"/>
      <c r="AQ72" s="224"/>
    </row>
    <row r="73" spans="2:43" s="266" customFormat="1" ht="6.75" customHeight="1" thickBot="1" x14ac:dyDescent="0.35">
      <c r="B73" s="230"/>
      <c r="C73" s="215"/>
      <c r="D73" s="256"/>
      <c r="E73" s="264"/>
      <c r="F73" s="265"/>
      <c r="G73" s="221"/>
      <c r="H73" s="208"/>
      <c r="I73" s="222"/>
      <c r="J73" s="213"/>
      <c r="K73"/>
      <c r="L73"/>
      <c r="M73"/>
      <c r="N73"/>
      <c r="O73"/>
      <c r="P73"/>
      <c r="Q73"/>
      <c r="R73"/>
      <c r="S73"/>
      <c r="T73"/>
      <c r="U73"/>
      <c r="V73"/>
      <c r="W73"/>
      <c r="X73"/>
      <c r="Y73"/>
      <c r="Z73"/>
      <c r="AA73"/>
      <c r="AB73"/>
      <c r="AC73"/>
      <c r="AD73"/>
      <c r="AE73"/>
      <c r="AF73"/>
      <c r="AG73"/>
      <c r="AH73"/>
      <c r="AI73"/>
      <c r="AJ73"/>
      <c r="AK73"/>
      <c r="AL73"/>
      <c r="AM73"/>
      <c r="AN73" s="267"/>
      <c r="AO73" s="267"/>
      <c r="AP73" s="267"/>
      <c r="AQ73" s="267"/>
    </row>
    <row r="74" spans="2:43" s="234" customFormat="1" ht="39" customHeight="1" thickBot="1" x14ac:dyDescent="0.35">
      <c r="B74" s="230"/>
      <c r="C74" s="215"/>
      <c r="D74" s="389">
        <v>980</v>
      </c>
      <c r="E74" s="1135" t="s">
        <v>758</v>
      </c>
      <c r="F74" s="1135"/>
      <c r="G74" s="388"/>
      <c r="H74" s="302" t="str">
        <f>IF(G74="","This Question must be answered before uploading, the report will not be processed if left blank","")</f>
        <v>This Question must be answered before uploading, the report will not be processed if left blank</v>
      </c>
      <c r="I74" s="222"/>
      <c r="J74" s="213"/>
      <c r="K74"/>
      <c r="L74"/>
      <c r="M74"/>
      <c r="N74"/>
      <c r="O74"/>
      <c r="P74"/>
      <c r="Q74"/>
      <c r="R74"/>
      <c r="S74"/>
      <c r="T74"/>
      <c r="U74"/>
      <c r="V74"/>
      <c r="W74"/>
      <c r="X74"/>
      <c r="Y74"/>
      <c r="Z74"/>
      <c r="AA74"/>
      <c r="AB74"/>
      <c r="AC74"/>
      <c r="AD74"/>
      <c r="AE74"/>
      <c r="AF74"/>
      <c r="AG74"/>
      <c r="AH74"/>
      <c r="AI74"/>
      <c r="AJ74"/>
      <c r="AK74"/>
      <c r="AL74"/>
      <c r="AM74"/>
      <c r="AN74" s="224"/>
      <c r="AO74" s="224"/>
      <c r="AP74" s="224"/>
      <c r="AQ74" s="224"/>
    </row>
    <row r="75" spans="2:43" ht="7.5" customHeight="1" thickBot="1" x14ac:dyDescent="0.35">
      <c r="B75" s="211"/>
      <c r="C75" s="212"/>
      <c r="D75" s="256"/>
      <c r="E75" s="303"/>
      <c r="F75" s="303"/>
      <c r="G75" s="221"/>
      <c r="H75" s="212"/>
      <c r="I75" s="212"/>
      <c r="J75" s="213"/>
    </row>
    <row r="76" spans="2:43" ht="32.25" customHeight="1" thickBot="1" x14ac:dyDescent="0.35">
      <c r="B76" s="211"/>
      <c r="C76" s="228"/>
      <c r="D76" s="256">
        <v>975</v>
      </c>
      <c r="E76" s="1096" t="s">
        <v>761</v>
      </c>
      <c r="F76" s="1132"/>
      <c r="G76" s="220"/>
      <c r="H76" s="301" t="str">
        <f>IF(G76="","This Question must be answered before uploading, the report will not be processed if left blank","")</f>
        <v>This Question must be answered before uploading, the report will not be processed if left blank</v>
      </c>
      <c r="I76" s="226"/>
      <c r="J76" s="227"/>
    </row>
    <row r="77" spans="2:43" s="266" customFormat="1" ht="6.75" customHeight="1" thickBot="1" x14ac:dyDescent="0.35">
      <c r="B77" s="230"/>
      <c r="C77" s="215"/>
      <c r="D77" s="256"/>
      <c r="E77" s="1043"/>
      <c r="F77" s="265"/>
      <c r="G77" s="221"/>
      <c r="H77" s="1044"/>
      <c r="I77" s="222"/>
      <c r="J77" s="213"/>
      <c r="K77"/>
      <c r="L77"/>
      <c r="M77"/>
      <c r="N77"/>
      <c r="O77"/>
      <c r="P77"/>
      <c r="Q77"/>
      <c r="R77"/>
      <c r="S77"/>
      <c r="T77"/>
      <c r="U77"/>
      <c r="V77"/>
      <c r="W77"/>
      <c r="X77"/>
      <c r="Y77"/>
      <c r="Z77"/>
      <c r="AA77"/>
      <c r="AB77"/>
      <c r="AC77"/>
      <c r="AD77"/>
      <c r="AE77"/>
      <c r="AF77"/>
      <c r="AG77"/>
      <c r="AH77"/>
      <c r="AI77"/>
      <c r="AJ77"/>
      <c r="AK77"/>
      <c r="AL77"/>
      <c r="AM77"/>
      <c r="AN77" s="267"/>
      <c r="AO77" s="267"/>
      <c r="AP77" s="267"/>
      <c r="AQ77" s="267"/>
    </row>
    <row r="78" spans="2:43" ht="61.5" customHeight="1" thickBot="1" x14ac:dyDescent="0.35">
      <c r="B78" s="211"/>
      <c r="C78" s="228"/>
      <c r="D78" s="256">
        <v>976</v>
      </c>
      <c r="E78" s="1096" t="s">
        <v>954</v>
      </c>
      <c r="F78" s="1132"/>
      <c r="G78" s="220"/>
      <c r="H78" s="301" t="str">
        <f>IF(G78="","This Question must be answered before uploading, the report will not be processed if left blank","")</f>
        <v>This Question must be answered before uploading, the report will not be processed if left blank</v>
      </c>
      <c r="I78" s="226"/>
      <c r="J78" s="227"/>
    </row>
    <row r="79" spans="2:43" ht="39" customHeight="1" thickBot="1" x14ac:dyDescent="0.35">
      <c r="B79" s="199"/>
      <c r="C79" s="200"/>
      <c r="D79" s="201"/>
      <c r="E79" s="202"/>
      <c r="F79" s="203"/>
      <c r="G79" s="276"/>
      <c r="H79" s="203"/>
      <c r="I79" s="203"/>
      <c r="J79" s="204"/>
    </row>
    <row r="80" spans="2:43" ht="10.5" customHeight="1" thickBot="1" x14ac:dyDescent="0.35">
      <c r="B80" s="211"/>
      <c r="C80" s="212"/>
      <c r="D80" s="257"/>
      <c r="E80" s="208"/>
      <c r="F80" s="208"/>
      <c r="G80" s="215"/>
      <c r="H80" s="212"/>
      <c r="I80" s="212"/>
      <c r="J80" s="213"/>
    </row>
    <row r="81" spans="1:10" ht="36.6" customHeight="1" thickBot="1" x14ac:dyDescent="0.35">
      <c r="B81" s="211"/>
      <c r="C81" s="212"/>
      <c r="D81" s="257" t="s">
        <v>816</v>
      </c>
      <c r="E81" s="1075" t="str">
        <f>IF(G81="","This Question must be answered before uploading, the report will not be processed if left blank","")</f>
        <v>This Question must be answered before uploading, the report will not be processed if left blank</v>
      </c>
      <c r="F81" s="1073" t="s">
        <v>595</v>
      </c>
      <c r="G81" s="1093"/>
      <c r="H81" s="1094"/>
      <c r="I81" s="1095"/>
      <c r="J81" s="213"/>
    </row>
    <row r="82" spans="1:10" ht="6.75" customHeight="1" thickBot="1" x14ac:dyDescent="0.35">
      <c r="B82" s="211"/>
      <c r="C82" s="212"/>
      <c r="D82" s="257"/>
      <c r="E82" s="238"/>
      <c r="F82" s="238"/>
      <c r="G82" s="215"/>
      <c r="H82" s="215"/>
      <c r="I82" s="215"/>
      <c r="J82" s="213"/>
    </row>
    <row r="83" spans="1:10" ht="31.2" customHeight="1" thickBot="1" x14ac:dyDescent="0.35">
      <c r="B83" s="211"/>
      <c r="C83" s="212"/>
      <c r="D83" s="257" t="s">
        <v>817</v>
      </c>
      <c r="E83" s="1075" t="str">
        <f>IF(G83="","This Question must be answered before uploading, the report will not be processed if left blank","")</f>
        <v>This Question must be answered before uploading, the report will not be processed if left blank</v>
      </c>
      <c r="F83" s="1073" t="s">
        <v>596</v>
      </c>
      <c r="G83" s="1093"/>
      <c r="H83" s="1094"/>
      <c r="I83" s="1095"/>
      <c r="J83" s="213"/>
    </row>
    <row r="84" spans="1:10" ht="6.75" customHeight="1" thickBot="1" x14ac:dyDescent="0.35">
      <c r="B84" s="211"/>
      <c r="C84" s="212"/>
      <c r="D84" s="257"/>
      <c r="E84" s="238"/>
      <c r="F84" s="238"/>
      <c r="G84" s="239"/>
      <c r="H84" s="215"/>
      <c r="I84" s="215"/>
      <c r="J84" s="213"/>
    </row>
    <row r="85" spans="1:10" ht="33.6" customHeight="1" thickBot="1" x14ac:dyDescent="0.35">
      <c r="B85" s="211"/>
      <c r="C85" s="212"/>
      <c r="D85" s="257" t="s">
        <v>1434</v>
      </c>
      <c r="E85" s="1075" t="str">
        <f>IF(G85="","This Question must be answered before uploading, the report will not be processed if left blank","")</f>
        <v>This Question must be answered before uploading, the report will not be processed if left blank</v>
      </c>
      <c r="F85" s="1073" t="s">
        <v>1004</v>
      </c>
      <c r="G85" s="216"/>
      <c r="H85" s="215"/>
      <c r="I85" s="215"/>
      <c r="J85" s="213"/>
    </row>
    <row r="86" spans="1:10" ht="6.75" customHeight="1" x14ac:dyDescent="0.3">
      <c r="B86" s="211"/>
      <c r="C86" s="212"/>
      <c r="D86" s="257"/>
      <c r="E86" s="238"/>
      <c r="F86" s="238"/>
      <c r="G86" s="215"/>
      <c r="H86" s="215"/>
      <c r="I86" s="215"/>
      <c r="J86" s="213"/>
    </row>
    <row r="87" spans="1:10" ht="30" hidden="1" customHeight="1" x14ac:dyDescent="0.3">
      <c r="B87" s="211"/>
      <c r="C87" s="212"/>
      <c r="D87" s="257"/>
      <c r="E87" s="1130"/>
      <c r="F87" s="1130"/>
      <c r="G87" s="240" t="str">
        <f>CONCATENATE(G10," 2021 TD.xlsx")</f>
        <v xml:space="preserve"> 2021 TD.xlsx</v>
      </c>
      <c r="H87" s="240"/>
      <c r="I87" s="241"/>
      <c r="J87" s="213"/>
    </row>
    <row r="88" spans="1:10" ht="15.6" customHeight="1" x14ac:dyDescent="0.3">
      <c r="B88" s="211"/>
      <c r="C88" s="212"/>
      <c r="D88" s="1074"/>
      <c r="E88" s="1074"/>
      <c r="F88" s="1074"/>
      <c r="G88" s="1131" t="str">
        <f>IF(G11="","","Please review the Transmittal Instructions and your answer to Question 1")</f>
        <v/>
      </c>
      <c r="H88" s="1131"/>
      <c r="I88" s="1131"/>
      <c r="J88" s="213"/>
    </row>
    <row r="89" spans="1:10" ht="13.2" customHeight="1" x14ac:dyDescent="0.3">
      <c r="B89" s="211"/>
      <c r="C89" s="212"/>
      <c r="D89" s="1074"/>
      <c r="E89" s="1074"/>
      <c r="F89" s="1074"/>
      <c r="G89" s="1131" t="str">
        <f>IF(G88="Currently the file name is incorrect, please correct before uploading",CONCATENATE("File current name is ",O89),"")</f>
        <v/>
      </c>
      <c r="H89" s="1131"/>
      <c r="I89" s="242"/>
      <c r="J89" s="243"/>
    </row>
    <row r="90" spans="1:10" ht="6.75" customHeight="1" thickBot="1" x14ac:dyDescent="0.35">
      <c r="B90" s="244"/>
      <c r="C90" s="245"/>
      <c r="D90" s="260"/>
      <c r="E90" s="246"/>
      <c r="F90" s="246"/>
      <c r="G90" s="247"/>
      <c r="H90" s="247"/>
      <c r="I90" s="247"/>
      <c r="J90" s="248"/>
    </row>
    <row r="93" spans="1:10" x14ac:dyDescent="0.3">
      <c r="B93" s="194" t="s">
        <v>597</v>
      </c>
      <c r="D93" s="198"/>
      <c r="E93" s="250">
        <v>1.01</v>
      </c>
      <c r="F93" s="251"/>
    </row>
    <row r="94" spans="1:10" x14ac:dyDescent="0.3">
      <c r="A94" s="198"/>
      <c r="B94" s="194" t="s">
        <v>598</v>
      </c>
      <c r="D94" s="198"/>
      <c r="E94" s="252">
        <v>44427</v>
      </c>
      <c r="F94" s="253"/>
    </row>
    <row r="95" spans="1:10" x14ac:dyDescent="0.3">
      <c r="E95" s="251"/>
      <c r="F95" s="251"/>
    </row>
    <row r="97" spans="5:5" x14ac:dyDescent="0.3">
      <c r="E97" s="249">
        <f>SUBTOTAL(109,D3:D89)</f>
        <v>12450</v>
      </c>
    </row>
  </sheetData>
  <sheetProtection algorithmName="SHA-512" hashValue="RZMukafzRNtciKoop9P74nJmLRyFuiBVCii1ndZu6GHkDroGi+0/wuLhpQ8CRLZ5F52pSjpc3KtCbyHNl+m6vQ==" saltValue="9pIUaIvs+slKrw24MrS6oA==" spinCount="100000" sheet="1" selectLockedCells="1"/>
  <mergeCells count="54">
    <mergeCell ref="G83:I83"/>
    <mergeCell ref="E87:F87"/>
    <mergeCell ref="G88:I88"/>
    <mergeCell ref="G89:H89"/>
    <mergeCell ref="E53:F53"/>
    <mergeCell ref="G81:I81"/>
    <mergeCell ref="E76:F76"/>
    <mergeCell ref="E78:F78"/>
    <mergeCell ref="E57:F57"/>
    <mergeCell ref="E60:F60"/>
    <mergeCell ref="E68:F68"/>
    <mergeCell ref="E70:F70"/>
    <mergeCell ref="E72:F72"/>
    <mergeCell ref="E74:F74"/>
    <mergeCell ref="B7:J7"/>
    <mergeCell ref="E10:F10"/>
    <mergeCell ref="G10:I10"/>
    <mergeCell ref="B5:J5"/>
    <mergeCell ref="E55:F55"/>
    <mergeCell ref="G34:I34"/>
    <mergeCell ref="E36:F36"/>
    <mergeCell ref="G36:I36"/>
    <mergeCell ref="E37:H37"/>
    <mergeCell ref="B38:J38"/>
    <mergeCell ref="E41:F41"/>
    <mergeCell ref="E43:F43"/>
    <mergeCell ref="E45:F45"/>
    <mergeCell ref="E47:F47"/>
    <mergeCell ref="E49:F49"/>
    <mergeCell ref="E51:F51"/>
    <mergeCell ref="B1:J1"/>
    <mergeCell ref="B2:J2"/>
    <mergeCell ref="B3:J3"/>
    <mergeCell ref="G32:I32"/>
    <mergeCell ref="E22:F22"/>
    <mergeCell ref="G22:I22"/>
    <mergeCell ref="E24:F24"/>
    <mergeCell ref="G24:I24"/>
    <mergeCell ref="E26:F26"/>
    <mergeCell ref="G26:H26"/>
    <mergeCell ref="E27:H27"/>
    <mergeCell ref="E28:F28"/>
    <mergeCell ref="H28:I28"/>
    <mergeCell ref="E30:F30"/>
    <mergeCell ref="H30:I30"/>
    <mergeCell ref="E32:F32"/>
    <mergeCell ref="E20:F20"/>
    <mergeCell ref="G20:I20"/>
    <mergeCell ref="E12:F12"/>
    <mergeCell ref="E14:F14"/>
    <mergeCell ref="E16:F16"/>
    <mergeCell ref="G16:I16"/>
    <mergeCell ref="E18:F18"/>
    <mergeCell ref="G18:I18"/>
  </mergeCells>
  <conditionalFormatting sqref="G10 G41 G43 G45 G47 G49 G57 G66 G60 G51 G78 G76">
    <cfRule type="expression" dxfId="85" priority="41">
      <formula>$T10</formula>
    </cfRule>
  </conditionalFormatting>
  <conditionalFormatting sqref="G10">
    <cfRule type="containsText" priority="40" operator="containsText" text="The, City,Village,of">
      <formula>NOT(ISERROR(SEARCH("The, City,Village,of",G10)))</formula>
    </cfRule>
  </conditionalFormatting>
  <conditionalFormatting sqref="G26">
    <cfRule type="expression" dxfId="84" priority="39">
      <formula>$T26</formula>
    </cfRule>
  </conditionalFormatting>
  <conditionalFormatting sqref="G41 G43 G45 G47 G49 G60 G62 G64 G66 G30 G32 G76 G51:G57 G78">
    <cfRule type="expression" dxfId="83" priority="38">
      <formula>$G$26="Housing Authority"</formula>
    </cfRule>
  </conditionalFormatting>
  <conditionalFormatting sqref="G14">
    <cfRule type="expression" dxfId="82" priority="37">
      <formula>$T14</formula>
    </cfRule>
  </conditionalFormatting>
  <conditionalFormatting sqref="G12">
    <cfRule type="expression" dxfId="81" priority="36">
      <formula>$T12</formula>
    </cfRule>
  </conditionalFormatting>
  <conditionalFormatting sqref="G85">
    <cfRule type="expression" dxfId="80" priority="35">
      <formula>$T85</formula>
    </cfRule>
  </conditionalFormatting>
  <conditionalFormatting sqref="G81">
    <cfRule type="expression" dxfId="79" priority="34">
      <formula>$T81</formula>
    </cfRule>
  </conditionalFormatting>
  <conditionalFormatting sqref="G81">
    <cfRule type="containsText" priority="33" operator="containsText" text="The, City,Village,of">
      <formula>NOT(ISERROR(SEARCH("The, City,Village,of",G81)))</formula>
    </cfRule>
  </conditionalFormatting>
  <conditionalFormatting sqref="G83">
    <cfRule type="expression" dxfId="78" priority="32">
      <formula>$T83</formula>
    </cfRule>
  </conditionalFormatting>
  <conditionalFormatting sqref="G83">
    <cfRule type="containsText" priority="31" operator="containsText" text="The, City,Village,of">
      <formula>NOT(ISERROR(SEARCH("The, City,Village,of",G83)))</formula>
    </cfRule>
  </conditionalFormatting>
  <conditionalFormatting sqref="G18">
    <cfRule type="expression" dxfId="77" priority="30">
      <formula>$T18</formula>
    </cfRule>
  </conditionalFormatting>
  <conditionalFormatting sqref="G18">
    <cfRule type="containsText" priority="29" operator="containsText" text="The, City,Village,of">
      <formula>NOT(ISERROR(SEARCH("The, City,Village,of",G18)))</formula>
    </cfRule>
  </conditionalFormatting>
  <conditionalFormatting sqref="G60">
    <cfRule type="expression" dxfId="76" priority="23">
      <formula>$G$26="Housing Authority"</formula>
    </cfRule>
  </conditionalFormatting>
  <conditionalFormatting sqref="G64">
    <cfRule type="expression" dxfId="75" priority="28">
      <formula>$T64</formula>
    </cfRule>
  </conditionalFormatting>
  <conditionalFormatting sqref="G64">
    <cfRule type="expression" dxfId="74" priority="27">
      <formula>$G$26="Housing Authority"</formula>
    </cfRule>
  </conditionalFormatting>
  <conditionalFormatting sqref="G66">
    <cfRule type="expression" dxfId="73" priority="26">
      <formula>$G$26="Housing Authority"</formula>
    </cfRule>
  </conditionalFormatting>
  <conditionalFormatting sqref="G62">
    <cfRule type="expression" dxfId="72" priority="25">
      <formula>$T62</formula>
    </cfRule>
  </conditionalFormatting>
  <conditionalFormatting sqref="G62">
    <cfRule type="expression" dxfId="71" priority="24">
      <formula>$G$26="Housing Authority"</formula>
    </cfRule>
  </conditionalFormatting>
  <conditionalFormatting sqref="G31">
    <cfRule type="expression" dxfId="70" priority="22">
      <formula>$T31</formula>
    </cfRule>
  </conditionalFormatting>
  <conditionalFormatting sqref="G28">
    <cfRule type="expression" dxfId="69" priority="21">
      <formula>$T28</formula>
    </cfRule>
  </conditionalFormatting>
  <conditionalFormatting sqref="G28">
    <cfRule type="expression" dxfId="68" priority="20">
      <formula>$G$26="Housing Authority"</formula>
    </cfRule>
  </conditionalFormatting>
  <conditionalFormatting sqref="G30">
    <cfRule type="expression" dxfId="67" priority="19">
      <formula>$T30</formula>
    </cfRule>
  </conditionalFormatting>
  <conditionalFormatting sqref="G16">
    <cfRule type="expression" dxfId="66" priority="17">
      <formula>$T16</formula>
    </cfRule>
  </conditionalFormatting>
  <conditionalFormatting sqref="G16">
    <cfRule type="containsText" priority="16" operator="containsText" text="The, City,Village,of">
      <formula>NOT(ISERROR(SEARCH("The, City,Village,of",G16)))</formula>
    </cfRule>
  </conditionalFormatting>
  <conditionalFormatting sqref="G20">
    <cfRule type="expression" dxfId="65" priority="15">
      <formula>$T20</formula>
    </cfRule>
  </conditionalFormatting>
  <conditionalFormatting sqref="G20">
    <cfRule type="containsText" priority="14" operator="containsText" text="The, City,Village,of">
      <formula>NOT(ISERROR(SEARCH("The, City,Village,of",G20)))</formula>
    </cfRule>
  </conditionalFormatting>
  <conditionalFormatting sqref="G22">
    <cfRule type="expression" dxfId="64" priority="13">
      <formula>$T22</formula>
    </cfRule>
  </conditionalFormatting>
  <conditionalFormatting sqref="G22">
    <cfRule type="containsText" priority="12" operator="containsText" text="The, City,Village,of">
      <formula>NOT(ISERROR(SEARCH("The, City,Village,of",G22)))</formula>
    </cfRule>
  </conditionalFormatting>
  <conditionalFormatting sqref="G28">
    <cfRule type="expression" dxfId="63" priority="10">
      <formula>$G$26="Housing Authority"</formula>
    </cfRule>
  </conditionalFormatting>
  <conditionalFormatting sqref="G32">
    <cfRule type="expression" dxfId="62" priority="11">
      <formula>$P$32</formula>
    </cfRule>
    <cfRule type="expression" dxfId="61" priority="18">
      <formula>$T32</formula>
    </cfRule>
  </conditionalFormatting>
  <conditionalFormatting sqref="G36">
    <cfRule type="expression" dxfId="60" priority="7">
      <formula>$G$26="Housing Authority"</formula>
    </cfRule>
  </conditionalFormatting>
  <conditionalFormatting sqref="G36">
    <cfRule type="expression" dxfId="59" priority="8">
      <formula>$P$32</formula>
    </cfRule>
    <cfRule type="expression" dxfId="58" priority="9">
      <formula>$T36</formula>
    </cfRule>
  </conditionalFormatting>
  <conditionalFormatting sqref="G34">
    <cfRule type="expression" dxfId="57" priority="4">
      <formula>$G$26="Housing Authority"</formula>
    </cfRule>
  </conditionalFormatting>
  <conditionalFormatting sqref="G34">
    <cfRule type="expression" dxfId="56" priority="5">
      <formula>$P$32</formula>
    </cfRule>
    <cfRule type="expression" dxfId="55" priority="6">
      <formula>$T34</formula>
    </cfRule>
  </conditionalFormatting>
  <conditionalFormatting sqref="G24">
    <cfRule type="expression" dxfId="54" priority="3">
      <formula>$T24</formula>
    </cfRule>
  </conditionalFormatting>
  <conditionalFormatting sqref="G24">
    <cfRule type="containsText" priority="2" operator="containsText" text="The, City,Village,of">
      <formula>NOT(ISERROR(SEARCH("The, City,Village,of",G24)))</formula>
    </cfRule>
  </conditionalFormatting>
  <conditionalFormatting sqref="G53">
    <cfRule type="expression" dxfId="53" priority="1">
      <formula>$T53</formula>
    </cfRule>
  </conditionalFormatting>
  <dataValidations xWindow="873" yWindow="799" count="25">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3 G77"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3 G77"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No or N/A from the drop down list" sqref="G57" xr:uid="{740F9C53-B8A7-483C-B384-B0DCDA2D2BCB}">
      <formula1>"Yes, No, N/A"</formula1>
    </dataValidation>
    <dataValidation type="whole" operator="greaterThan" allowBlank="1" showInputMessage="1" showErrorMessage="1" prompt="Please enter a whole number.  If there are no findings please enter 0" sqref="G49 G51:G52 G54:G56"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I63 H85:I87 H65:I65 H69 H71 G81 H76:H77 H73 H79:I80 I68:I78" xr:uid="{970B9B41-3DA6-49D9-8538-915E33C95C98}">
      <formula1>5</formula1>
    </dataValidation>
    <dataValidation type="list" allowBlank="1" showInputMessage="1" showErrorMessage="1" prompt="Please select Yes or No from the drop down list" sqref="G47 G60 G43 G45 G66 G62 G64 G28 G41" xr:uid="{F8DAA637-067A-4445-87D8-12A58F77F0A2}">
      <formula1>"Yes, No"</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6:G77"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list" allowBlank="1" showInputMessage="1" showErrorMessage="1" sqref="G76" xr:uid="{E70192A6-A9B2-4B53-A422-31A59347FA9E}">
      <formula1>"6/30/2020"</formula1>
    </dataValidation>
    <dataValidation type="list" showInputMessage="1" showErrorMessage="1" sqref="G76" xr:uid="{6008F9D5-B1BC-4A32-A876-3FF237409D10}">
      <formula1>"Yes,No"</formula1>
    </dataValidation>
    <dataValidation type="date" operator="greaterThan" showInputMessage="1" showErrorMessage="1" promptTitle="MM/DD/YYYY" prompt="This cannot be blank" sqref="G74:G78" xr:uid="{FA296981-A236-46B7-9FFE-5DC3167CFD46}">
      <formula1>44377</formula1>
    </dataValidation>
    <dataValidation type="date" operator="greaterThan" allowBlank="1" showInputMessage="1" showErrorMessage="1" prompt="MM/DD/YYYY" sqref="G74:G78" xr:uid="{362B854A-1333-435D-A562-CD0AC3D0CBDC}">
      <formula1>44012</formula1>
    </dataValidation>
  </dataValidations>
  <printOptions horizontalCentered="1" verticalCentered="1"/>
  <pageMargins left="0" right="0" top="0" bottom="1" header="0.3" footer="0.3"/>
  <pageSetup scale="5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52" bestFit="1" customWidth="1"/>
    <col min="3" max="3" width="36.6640625" style="660" customWidth="1"/>
    <col min="4" max="4" width="20.88671875" style="3" bestFit="1" customWidth="1"/>
    <col min="5" max="5" width="17.5546875" style="3" customWidth="1"/>
    <col min="6" max="6" width="22.6640625" style="3" customWidth="1"/>
    <col min="7" max="7" width="17.44140625" style="557" bestFit="1" customWidth="1"/>
    <col min="8" max="8" width="9.6640625" style="3" bestFit="1" customWidth="1"/>
    <col min="9" max="9" width="1" style="591" customWidth="1"/>
    <col min="10" max="10" width="18.109375" style="5" customWidth="1"/>
    <col min="11" max="11" width="36.88671875" style="9" customWidth="1"/>
    <col min="12" max="12" width="15.44140625" style="668" bestFit="1" customWidth="1"/>
    <col min="13" max="13" width="1.44140625" style="3" customWidth="1"/>
    <col min="14" max="14" width="18.109375" style="3" customWidth="1"/>
    <col min="15" max="15" width="17.88671875" style="3" customWidth="1"/>
    <col min="16" max="16" width="8.6640625" style="298"/>
    <col min="17" max="17" width="10.33203125" style="560"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501</v>
      </c>
      <c r="D1" s="13">
        <f>L65-(L52+L53-L57-L58-L233)-L61</f>
        <v>0</v>
      </c>
      <c r="I1" s="558"/>
      <c r="J1" s="48"/>
      <c r="K1" s="14" t="s">
        <v>47</v>
      </c>
      <c r="L1" s="63"/>
      <c r="M1" s="559"/>
      <c r="S1" s="3">
        <v>100</v>
      </c>
      <c r="T1" s="3">
        <v>1</v>
      </c>
    </row>
    <row r="2" spans="1:25" ht="36" x14ac:dyDescent="0.4">
      <c r="C2" s="74" t="str">
        <f>'Unit Data from Audit Worksheet'!D2</f>
        <v>Select Unit Name from Drop Down List</v>
      </c>
      <c r="D2" s="145">
        <v>2021</v>
      </c>
      <c r="E2" s="12">
        <v>2021</v>
      </c>
      <c r="F2" s="12"/>
      <c r="G2" s="70"/>
      <c r="H2" s="12"/>
      <c r="I2" s="558"/>
      <c r="J2" s="43" t="s">
        <v>43</v>
      </c>
      <c r="K2" s="8" t="s">
        <v>42</v>
      </c>
      <c r="L2" s="68" t="s">
        <v>30</v>
      </c>
      <c r="S2" s="3">
        <v>200</v>
      </c>
      <c r="T2" s="3">
        <v>2</v>
      </c>
    </row>
    <row r="3" spans="1:25" ht="31.2" x14ac:dyDescent="0.3">
      <c r="A3" s="561" t="s">
        <v>43</v>
      </c>
      <c r="B3" s="562"/>
      <c r="C3" s="46" t="s">
        <v>1</v>
      </c>
      <c r="D3" s="15" t="s">
        <v>44</v>
      </c>
      <c r="E3" s="15" t="s">
        <v>45</v>
      </c>
      <c r="F3" s="16" t="s">
        <v>49</v>
      </c>
      <c r="G3" s="75" t="s">
        <v>334</v>
      </c>
      <c r="H3" s="16" t="s">
        <v>400</v>
      </c>
      <c r="I3" s="558"/>
      <c r="J3" s="563"/>
      <c r="K3" s="146"/>
      <c r="L3" s="564"/>
      <c r="O3" s="3" t="s">
        <v>292</v>
      </c>
      <c r="Q3" s="86" t="s">
        <v>335</v>
      </c>
      <c r="S3" s="3">
        <v>300</v>
      </c>
      <c r="T3" s="3">
        <v>3</v>
      </c>
    </row>
    <row r="4" spans="1:25" ht="18" x14ac:dyDescent="0.35">
      <c r="A4" s="565"/>
      <c r="B4" s="566"/>
      <c r="C4" s="50"/>
      <c r="D4" s="7"/>
      <c r="E4" s="7"/>
      <c r="F4" s="7"/>
      <c r="G4" s="71"/>
      <c r="H4" s="7"/>
      <c r="I4" s="558"/>
      <c r="J4" s="45">
        <v>999</v>
      </c>
      <c r="K4" s="11" t="s">
        <v>289</v>
      </c>
      <c r="L4" s="134" t="e">
        <f>'Unit Data from Audit Worksheet'!D3</f>
        <v>#N/A</v>
      </c>
      <c r="S4" s="3">
        <v>400</v>
      </c>
      <c r="T4" s="3">
        <v>4</v>
      </c>
      <c r="W4" s="3" t="b">
        <f t="shared" ref="W4:W35" si="0">EXACT(A4,J4)</f>
        <v>0</v>
      </c>
      <c r="X4" s="567" t="e">
        <f>E4-L4</f>
        <v>#N/A</v>
      </c>
      <c r="Y4" s="567" t="e">
        <f>D4-L4</f>
        <v>#N/A</v>
      </c>
    </row>
    <row r="5" spans="1:25" ht="57" customHeight="1" x14ac:dyDescent="0.3">
      <c r="A5" s="568">
        <f>'Unit Data from Audit Worksheet'!A7</f>
        <v>333</v>
      </c>
      <c r="B5" s="54" t="str">
        <f>'Unit Data from Audit Worksheet'!C7</f>
        <v>Net Position-Governmental Activities</v>
      </c>
      <c r="C5" s="569" t="str">
        <f>'Unit Data from Audit Worksheet'!D7</f>
        <v xml:space="preserve"> All unrestricted Cash and investments.  
Exclude: restricted cash 
                   cash held by a third party. </v>
      </c>
      <c r="D5" s="144"/>
      <c r="E5" s="152">
        <f>'Unit Data from Audit Worksheet'!F7</f>
        <v>0</v>
      </c>
      <c r="F5" s="348">
        <f>IF(L5&lt;0,"Error: Number is normally positive.",)</f>
        <v>0</v>
      </c>
      <c r="G5" s="72"/>
      <c r="H5" s="347">
        <f>'Unit Data from Audit Worksheet'!I7</f>
        <v>0</v>
      </c>
      <c r="I5" s="38"/>
      <c r="J5" s="42">
        <v>333</v>
      </c>
      <c r="K5" s="51" t="s">
        <v>184</v>
      </c>
      <c r="L5" s="570">
        <f>IF(D5="",E5,D5)</f>
        <v>0</v>
      </c>
      <c r="P5" s="316"/>
      <c r="S5" s="3">
        <v>500</v>
      </c>
      <c r="T5" s="3">
        <v>5</v>
      </c>
      <c r="W5" s="3" t="b">
        <f t="shared" si="0"/>
        <v>1</v>
      </c>
      <c r="X5" s="567">
        <f t="shared" ref="X5:X116" si="1">E5-L5</f>
        <v>0</v>
      </c>
      <c r="Y5" s="567">
        <f t="shared" ref="Y5:Y116" si="2">D5-L5</f>
        <v>0</v>
      </c>
    </row>
    <row r="6" spans="1:25" ht="39.75" customHeight="1" x14ac:dyDescent="0.3">
      <c r="A6" s="335">
        <f>'Unit Data from Audit Worksheet'!A8</f>
        <v>500</v>
      </c>
      <c r="B6" s="349" t="str">
        <f>'Unit Data from Audit Worksheet'!C8</f>
        <v>Net Position-Governmental Activities</v>
      </c>
      <c r="C6" s="334" t="str">
        <f>'Unit Data from Audit Worksheet'!D8</f>
        <v xml:space="preserve"> All restricted Cash and investments</v>
      </c>
      <c r="D6" s="144"/>
      <c r="E6" s="355">
        <f>'Unit Data from Audit Worksheet'!F8</f>
        <v>0</v>
      </c>
      <c r="F6" s="348">
        <f>IF(L6&lt;0,"Error: Number is normally positive.",)</f>
        <v>0</v>
      </c>
      <c r="G6" s="350"/>
      <c r="H6" s="347">
        <f>'Unit Data from Audit Worksheet'!I8</f>
        <v>0</v>
      </c>
      <c r="I6" s="38"/>
      <c r="J6" s="346">
        <v>500</v>
      </c>
      <c r="K6" s="345" t="s">
        <v>183</v>
      </c>
      <c r="L6" s="570">
        <f>IF(D6="",E6,D6)</f>
        <v>0</v>
      </c>
      <c r="P6" s="317"/>
      <c r="T6" s="3">
        <v>6</v>
      </c>
      <c r="W6" s="3" t="b">
        <f t="shared" si="0"/>
        <v>1</v>
      </c>
      <c r="X6" s="567">
        <f t="shared" si="1"/>
        <v>0</v>
      </c>
      <c r="Y6" s="567">
        <f t="shared" si="2"/>
        <v>0</v>
      </c>
    </row>
    <row r="7" spans="1:25" ht="43.5" customHeight="1" x14ac:dyDescent="0.3">
      <c r="A7" s="335">
        <f>'Unit Data from Audit Worksheet'!A9</f>
        <v>385</v>
      </c>
      <c r="B7" s="349" t="str">
        <f>'Unit Data from Audit Worksheet'!C9</f>
        <v>Net Position-Governmental Activities</v>
      </c>
      <c r="C7" s="334" t="str">
        <f>'Unit Data from Audit Worksheet'!D9</f>
        <v>Total Assets and deferred outflows</v>
      </c>
      <c r="D7" s="144"/>
      <c r="E7" s="355">
        <f>'Unit Data from Audit Worksheet'!F9</f>
        <v>0</v>
      </c>
      <c r="F7" s="135">
        <f>IF((L5+L6)&gt;L7,"Error: Please review accts (333 + 500) &gt; 385",)</f>
        <v>0</v>
      </c>
      <c r="G7" s="350" t="str">
        <f>IF(Q7=1," Included in error count"," ")</f>
        <v xml:space="preserve"> </v>
      </c>
      <c r="H7" s="347">
        <f>'Unit Data from Audit Worksheet'!I9</f>
        <v>0</v>
      </c>
      <c r="I7" s="38"/>
      <c r="J7" s="76">
        <v>385</v>
      </c>
      <c r="K7" s="77" t="s">
        <v>115</v>
      </c>
      <c r="L7" s="571">
        <f>IF(D7="",E7,D7)+IF(D9="",E9,D9)</f>
        <v>0</v>
      </c>
      <c r="N7" s="78" t="s">
        <v>321</v>
      </c>
      <c r="P7" s="317"/>
      <c r="T7" s="3">
        <v>7</v>
      </c>
      <c r="W7" s="3" t="b">
        <f t="shared" si="0"/>
        <v>1</v>
      </c>
      <c r="X7" s="567">
        <f t="shared" si="1"/>
        <v>0</v>
      </c>
      <c r="Y7" s="567">
        <f t="shared" si="2"/>
        <v>0</v>
      </c>
    </row>
    <row r="8" spans="1:25" ht="90.75" customHeight="1" x14ac:dyDescent="0.3">
      <c r="A8" s="335">
        <f>'Unit Data from Audit Worksheet'!A10</f>
        <v>575</v>
      </c>
      <c r="B8" s="349" t="str">
        <f>'Unit Data from Audit Worksheet'!C10</f>
        <v>Net Position-Governmental Activities</v>
      </c>
      <c r="C8" s="334" t="str">
        <f>'Unit Data from Audit Worksheet'!D10</f>
        <v>Record any positive Internal balances on the net position statements that appear in the Asset Section of the Net Position Statement</v>
      </c>
      <c r="D8" s="144"/>
      <c r="E8" s="355">
        <f>'Unit Data from Audit Worksheet'!F10</f>
        <v>0</v>
      </c>
      <c r="F8" s="348">
        <f>IF(L8&lt;0,"Error: Number is normally positive.",)</f>
        <v>0</v>
      </c>
      <c r="G8" s="350"/>
      <c r="H8" s="347">
        <f>'Unit Data from Audit Worksheet'!I10</f>
        <v>0</v>
      </c>
      <c r="I8" s="38"/>
      <c r="J8" s="346">
        <v>575</v>
      </c>
      <c r="K8" s="352" t="s">
        <v>324</v>
      </c>
      <c r="L8" s="570">
        <f>IF(D8="",E8,D8)</f>
        <v>0</v>
      </c>
      <c r="N8" s="64"/>
      <c r="P8" s="317"/>
      <c r="W8" s="3" t="b">
        <f t="shared" si="0"/>
        <v>1</v>
      </c>
      <c r="X8" s="567">
        <f t="shared" si="1"/>
        <v>0</v>
      </c>
      <c r="Y8" s="567">
        <f t="shared" si="2"/>
        <v>0</v>
      </c>
    </row>
    <row r="9" spans="1:25" ht="103.5" customHeight="1" x14ac:dyDescent="0.3">
      <c r="A9" s="335">
        <f>'Unit Data from Audit Worksheet'!A11</f>
        <v>576</v>
      </c>
      <c r="B9" s="349" t="str">
        <f>'Unit Data from Audit Worksheet'!C11</f>
        <v>Net Position-Governmental Activities</v>
      </c>
      <c r="C9" s="572" t="str">
        <f>'Unit Data from Audit Worksheet'!D11</f>
        <v>Record any negative Internal balances on the net position statements that appear in the Asset Section of the Net Position Statement.
Enter as a positive</v>
      </c>
      <c r="D9" s="110"/>
      <c r="E9" s="155">
        <f>'Unit Data from Audit Worksheet'!F11</f>
        <v>0</v>
      </c>
      <c r="F9" s="344">
        <f>IF(E9&lt;0,"Error: Enter as positive.",)</f>
        <v>0</v>
      </c>
      <c r="G9" s="112"/>
      <c r="H9" s="113">
        <f>'Unit Data from Audit Worksheet'!I11</f>
        <v>0</v>
      </c>
      <c r="I9" s="38"/>
      <c r="J9" s="105">
        <v>576</v>
      </c>
      <c r="K9" s="352" t="s">
        <v>325</v>
      </c>
      <c r="L9" s="570">
        <f>IF(D9="",E9,D9)</f>
        <v>0</v>
      </c>
      <c r="N9" s="64"/>
      <c r="P9" s="318"/>
      <c r="W9" s="3" t="b">
        <f t="shared" si="0"/>
        <v>1</v>
      </c>
      <c r="X9" s="567">
        <f t="shared" si="1"/>
        <v>0</v>
      </c>
      <c r="Y9" s="567">
        <f t="shared" si="2"/>
        <v>0</v>
      </c>
    </row>
    <row r="10" spans="1:25" s="18" customFormat="1" ht="100.5" customHeight="1" x14ac:dyDescent="0.3">
      <c r="A10" s="335">
        <f>'Unit Data from Audit Worksheet'!A12</f>
        <v>626</v>
      </c>
      <c r="B10" s="340" t="str">
        <f>'Unit Data from Audit Worksheet'!C12</f>
        <v>Net Position-Governmental Activities</v>
      </c>
      <c r="C10" s="339" t="str">
        <f>'Unit Data from Audit Worksheet'!D12</f>
        <v xml:space="preserve">Total Current liabilities (as reported on Statement of Net Position)
Include:   Current liabilities including current portion of long-term debt.  Deferred inflows should not be included in Current Liabilities  </v>
      </c>
      <c r="D10" s="110"/>
      <c r="E10" s="361">
        <f>'Unit Data from Audit Worksheet'!F12</f>
        <v>0</v>
      </c>
      <c r="F10" s="343">
        <f>IF(L10&lt;0,"Error: Enter as a positive.",)</f>
        <v>0</v>
      </c>
      <c r="G10" s="328"/>
      <c r="H10" s="343">
        <f>'Unit Data from Audit Worksheet'!I12</f>
        <v>0</v>
      </c>
      <c r="I10" s="38"/>
      <c r="J10" s="342">
        <v>626</v>
      </c>
      <c r="K10" s="310" t="s">
        <v>434</v>
      </c>
      <c r="L10" s="573">
        <f>IF(D10="",E10,D10)+IF(D9="",E9,D9)</f>
        <v>0</v>
      </c>
      <c r="M10" s="574"/>
      <c r="N10" s="182" t="s">
        <v>321</v>
      </c>
      <c r="O10" s="574"/>
      <c r="P10" s="319"/>
      <c r="Q10" s="575"/>
      <c r="R10" s="3"/>
      <c r="W10" s="18" t="b">
        <f t="shared" si="0"/>
        <v>1</v>
      </c>
      <c r="X10" s="576">
        <f t="shared" si="1"/>
        <v>0</v>
      </c>
      <c r="Y10" s="576">
        <f t="shared" si="2"/>
        <v>0</v>
      </c>
    </row>
    <row r="11" spans="1:25" s="18" customFormat="1" ht="86.25" customHeight="1" x14ac:dyDescent="0.3">
      <c r="A11" s="335">
        <f>'Unit Data from Audit Worksheet'!A13</f>
        <v>627</v>
      </c>
      <c r="B11" s="340" t="str">
        <f>'Unit Data from Audit Worksheet'!C13</f>
        <v>Net Position-Governmental Activities</v>
      </c>
      <c r="C11" s="339" t="str">
        <f>'Unit Data from Audit Worksheet'!D13</f>
        <v>Please enter any bond anticipation notes that are classified as current liabilities and included in account 626 above (amounts entered should agree to the current amount included in the changes to long-term debt note)</v>
      </c>
      <c r="D11" s="110"/>
      <c r="E11" s="361">
        <f>'Unit Data from Audit Worksheet'!F13</f>
        <v>0</v>
      </c>
      <c r="F11" s="343"/>
      <c r="G11" s="328"/>
      <c r="H11" s="343"/>
      <c r="I11" s="38"/>
      <c r="J11" s="342">
        <v>627</v>
      </c>
      <c r="K11" s="310" t="s">
        <v>426</v>
      </c>
      <c r="L11" s="577">
        <f t="shared" ref="L11:L16" si="3">IF(D11="",E11,D11)</f>
        <v>0</v>
      </c>
      <c r="M11" s="574"/>
      <c r="N11" s="181"/>
      <c r="O11" s="574"/>
      <c r="P11" s="319"/>
      <c r="Q11" s="575"/>
      <c r="R11" s="3"/>
      <c r="W11" s="18" t="b">
        <f t="shared" si="0"/>
        <v>1</v>
      </c>
      <c r="X11" s="576">
        <f t="shared" si="1"/>
        <v>0</v>
      </c>
      <c r="Y11" s="576">
        <f t="shared" si="2"/>
        <v>0</v>
      </c>
    </row>
    <row r="12" spans="1:25" s="18" customFormat="1" ht="86.25" customHeight="1" x14ac:dyDescent="0.3">
      <c r="A12" s="335">
        <f>'Unit Data from Audit Worksheet'!A14</f>
        <v>628</v>
      </c>
      <c r="B12" s="340" t="str">
        <f>'Unit Data from Audit Worksheet'!C14</f>
        <v>Net Position-Governmental Activities</v>
      </c>
      <c r="C12" s="339" t="str">
        <f>'Unit Data from Audit Worksheet'!D14</f>
        <v>Please enter any compensated absences that are classified as current liabilities and included in account 626 above (amounts entered should agree to the current amount included in the changes to long-term debt note)</v>
      </c>
      <c r="D12" s="110"/>
      <c r="E12" s="361">
        <f>'Unit Data from Audit Worksheet'!F14</f>
        <v>0</v>
      </c>
      <c r="F12" s="343"/>
      <c r="G12" s="328"/>
      <c r="H12" s="343"/>
      <c r="I12" s="38"/>
      <c r="J12" s="342">
        <v>628</v>
      </c>
      <c r="K12" s="310" t="s">
        <v>431</v>
      </c>
      <c r="L12" s="577">
        <f t="shared" si="3"/>
        <v>0</v>
      </c>
      <c r="M12" s="574"/>
      <c r="N12" s="181"/>
      <c r="O12" s="574"/>
      <c r="P12" s="319"/>
      <c r="Q12" s="575"/>
      <c r="R12" s="3"/>
      <c r="W12" s="18" t="b">
        <f t="shared" si="0"/>
        <v>1</v>
      </c>
      <c r="X12" s="576">
        <f t="shared" si="1"/>
        <v>0</v>
      </c>
      <c r="Y12" s="576">
        <f t="shared" si="2"/>
        <v>0</v>
      </c>
    </row>
    <row r="13" spans="1:25" s="18" customFormat="1" ht="93" customHeight="1" x14ac:dyDescent="0.3">
      <c r="A13" s="335">
        <f>'Unit Data from Audit Worksheet'!A15</f>
        <v>629</v>
      </c>
      <c r="B13" s="340" t="str">
        <f>'Unit Data from Audit Worksheet'!C15</f>
        <v>Net Position-Governmental Activities</v>
      </c>
      <c r="C13" s="339" t="str">
        <f>'Unit Data from Audit Worksheet'!D15</f>
        <v>Please enter any pension liabilities that are classified as current liabilities and included in account 626 above (amounts entered should agree to the current amount included in the changes to long-term debt note)</v>
      </c>
      <c r="D13" s="110"/>
      <c r="E13" s="361">
        <f>'Unit Data from Audit Worksheet'!F15</f>
        <v>0</v>
      </c>
      <c r="F13" s="343"/>
      <c r="G13" s="328"/>
      <c r="H13" s="343"/>
      <c r="I13" s="38"/>
      <c r="J13" s="342">
        <v>629</v>
      </c>
      <c r="K13" s="310" t="s">
        <v>430</v>
      </c>
      <c r="L13" s="577">
        <f t="shared" si="3"/>
        <v>0</v>
      </c>
      <c r="M13" s="574"/>
      <c r="N13" s="181"/>
      <c r="O13" s="574"/>
      <c r="P13" s="319"/>
      <c r="Q13" s="575"/>
      <c r="R13" s="3"/>
      <c r="W13" s="18" t="b">
        <f t="shared" si="0"/>
        <v>1</v>
      </c>
      <c r="X13" s="576">
        <f t="shared" si="1"/>
        <v>0</v>
      </c>
      <c r="Y13" s="576">
        <f t="shared" si="2"/>
        <v>0</v>
      </c>
    </row>
    <row r="14" spans="1:25" s="18" customFormat="1" ht="67.5" customHeight="1" x14ac:dyDescent="0.3">
      <c r="A14" s="335">
        <f>'Unit Data from Audit Worksheet'!A16</f>
        <v>630</v>
      </c>
      <c r="B14" s="340" t="str">
        <f>'Unit Data from Audit Worksheet'!C16</f>
        <v>Net Position-Governmental Activities</v>
      </c>
      <c r="C14" s="339" t="str">
        <f>'Unit Data from Audit Worksheet'!D16</f>
        <v>Please enter any current liabilities that are payable from restricted assets and included in account 626 above</v>
      </c>
      <c r="D14" s="110"/>
      <c r="E14" s="361">
        <f>'Unit Data from Audit Worksheet'!F16</f>
        <v>0</v>
      </c>
      <c r="F14" s="343"/>
      <c r="G14" s="328"/>
      <c r="H14" s="343"/>
      <c r="I14" s="38"/>
      <c r="J14" s="342">
        <v>630</v>
      </c>
      <c r="K14" s="310" t="s">
        <v>429</v>
      </c>
      <c r="L14" s="577">
        <f t="shared" si="3"/>
        <v>0</v>
      </c>
      <c r="M14" s="574"/>
      <c r="N14" s="181"/>
      <c r="O14" s="574"/>
      <c r="P14" s="319"/>
      <c r="Q14" s="575"/>
      <c r="R14" s="3"/>
      <c r="W14" s="18" t="b">
        <f t="shared" si="0"/>
        <v>1</v>
      </c>
      <c r="X14" s="576">
        <f t="shared" si="1"/>
        <v>0</v>
      </c>
      <c r="Y14" s="576">
        <f t="shared" si="2"/>
        <v>0</v>
      </c>
    </row>
    <row r="15" spans="1:25" s="18" customFormat="1" ht="102.75" customHeight="1" x14ac:dyDescent="0.3">
      <c r="A15" s="335">
        <f>'Unit Data from Audit Worksheet'!A17</f>
        <v>631</v>
      </c>
      <c r="B15" s="349" t="str">
        <f>'Unit Data from Audit Worksheet'!C17</f>
        <v>Net Position-Governmental Activities</v>
      </c>
      <c r="C15" s="329" t="str">
        <f>'Unit Data from Audit Worksheet'!D17</f>
        <v>Please enter any OPEB liabilities that are classified as current liabilities and included in account 626 above (amounts entered should agree to the current amount included in the changes to long-term debt note)</v>
      </c>
      <c r="D15" s="110"/>
      <c r="E15" s="361">
        <f>'Unit Data from Audit Worksheet'!F17</f>
        <v>0</v>
      </c>
      <c r="F15" s="343"/>
      <c r="G15" s="328"/>
      <c r="H15" s="343"/>
      <c r="I15" s="38"/>
      <c r="J15" s="342">
        <v>631</v>
      </c>
      <c r="K15" s="310" t="s">
        <v>428</v>
      </c>
      <c r="L15" s="577">
        <f t="shared" si="3"/>
        <v>0</v>
      </c>
      <c r="M15" s="574"/>
      <c r="N15" s="181"/>
      <c r="O15" s="574"/>
      <c r="P15" s="319"/>
      <c r="Q15" s="575"/>
      <c r="R15" s="3"/>
      <c r="W15" s="18" t="b">
        <f t="shared" si="0"/>
        <v>1</v>
      </c>
      <c r="X15" s="576">
        <f t="shared" si="1"/>
        <v>0</v>
      </c>
      <c r="Y15" s="576">
        <f t="shared" si="2"/>
        <v>0</v>
      </c>
    </row>
    <row r="16" spans="1:25" s="18" customFormat="1" ht="119.25" customHeight="1" x14ac:dyDescent="0.3">
      <c r="A16" s="335">
        <f>'Unit Data from Audit Worksheet'!A18</f>
        <v>632</v>
      </c>
      <c r="B16" s="349" t="str">
        <f>'Unit Data from Audit Worksheet'!C18</f>
        <v>Net Position-Governmental Activities</v>
      </c>
      <c r="C16" s="329"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10"/>
      <c r="E16" s="361">
        <f>'Unit Data from Audit Worksheet'!F18</f>
        <v>0</v>
      </c>
      <c r="F16" s="343"/>
      <c r="G16" s="328"/>
      <c r="H16" s="343"/>
      <c r="I16" s="38"/>
      <c r="J16" s="342">
        <v>632</v>
      </c>
      <c r="K16" s="310" t="s">
        <v>427</v>
      </c>
      <c r="L16" s="577">
        <f t="shared" si="3"/>
        <v>0</v>
      </c>
      <c r="M16" s="574"/>
      <c r="N16" s="181"/>
      <c r="O16" s="574"/>
      <c r="P16" s="319"/>
      <c r="Q16" s="575"/>
      <c r="R16" s="3"/>
      <c r="W16" s="18" t="b">
        <f t="shared" si="0"/>
        <v>1</v>
      </c>
      <c r="X16" s="576">
        <f t="shared" si="1"/>
        <v>0</v>
      </c>
      <c r="Y16" s="576">
        <f t="shared" si="2"/>
        <v>0</v>
      </c>
    </row>
    <row r="17" spans="1:25" ht="30.6" x14ac:dyDescent="0.3">
      <c r="A17" s="335">
        <f>'Unit Data from Audit Worksheet'!A19</f>
        <v>338</v>
      </c>
      <c r="B17" s="349" t="str">
        <f>'Unit Data from Audit Worksheet'!C19</f>
        <v>Net Position-Governmental Activities</v>
      </c>
      <c r="C17" s="334" t="str">
        <f>'Unit Data from Audit Worksheet'!D19</f>
        <v>Total Liabilities and total deferred inflows</v>
      </c>
      <c r="D17" s="110"/>
      <c r="E17" s="152">
        <f>'Unit Data from Audit Worksheet'!F19</f>
        <v>0</v>
      </c>
      <c r="F17" s="135" t="str">
        <f>IF(L10&gt;L17,"Please review accounts 626 greater than 338","")</f>
        <v/>
      </c>
      <c r="G17" s="72"/>
      <c r="H17" s="347">
        <f>'Unit Data from Audit Worksheet'!I19</f>
        <v>0</v>
      </c>
      <c r="I17" s="38"/>
      <c r="J17" s="114">
        <v>338</v>
      </c>
      <c r="K17" s="115" t="s">
        <v>116</v>
      </c>
      <c r="L17" s="571">
        <f>IF(D17="",E17,D17)+IF(D9="",E9,D9)</f>
        <v>0</v>
      </c>
      <c r="N17" s="78" t="s">
        <v>321</v>
      </c>
      <c r="P17" s="316"/>
      <c r="W17" s="3" t="b">
        <f t="shared" si="0"/>
        <v>1</v>
      </c>
      <c r="X17" s="567">
        <f t="shared" si="1"/>
        <v>0</v>
      </c>
      <c r="Y17" s="567">
        <f t="shared" si="2"/>
        <v>0</v>
      </c>
    </row>
    <row r="18" spans="1:25" ht="100.5" customHeight="1" x14ac:dyDescent="0.3">
      <c r="A18" s="335">
        <f>'Unit Data from Audit Worksheet'!A20</f>
        <v>335</v>
      </c>
      <c r="B18" s="349" t="str">
        <f>'Unit Data from Audit Worksheet'!C20</f>
        <v>Net Position-Governmental Activities</v>
      </c>
      <c r="C18" s="334" t="str">
        <f>'Unit Data from Audit Worksheet'!D20</f>
        <v>Unearned revenues that were included in current liabilities in your audit report or entered in acct # 626 above. 
Exclude - unearned revenues that are listed in deferred inflows.</v>
      </c>
      <c r="D18" s="110"/>
      <c r="E18" s="355">
        <f>'Unit Data from Audit Worksheet'!F20</f>
        <v>0</v>
      </c>
      <c r="F18" s="348">
        <f>IF(L18&lt;0,"Error: Enter as a positive.",)</f>
        <v>0</v>
      </c>
      <c r="G18" s="350"/>
      <c r="H18" s="347">
        <f>'Unit Data from Audit Worksheet'!I20</f>
        <v>0</v>
      </c>
      <c r="I18" s="38"/>
      <c r="J18" s="346">
        <v>335</v>
      </c>
      <c r="K18" s="345" t="s">
        <v>117</v>
      </c>
      <c r="L18" s="570">
        <f>IF(D18="",E18,D18)</f>
        <v>0</v>
      </c>
      <c r="P18" s="317"/>
      <c r="W18" s="3" t="b">
        <f t="shared" si="0"/>
        <v>1</v>
      </c>
      <c r="X18" s="567">
        <f t="shared" si="1"/>
        <v>0</v>
      </c>
      <c r="Y18" s="567">
        <f t="shared" si="2"/>
        <v>0</v>
      </c>
    </row>
    <row r="19" spans="1:25" ht="20.399999999999999" x14ac:dyDescent="0.3">
      <c r="A19" s="335">
        <f>'Unit Data from Audit Worksheet'!A21</f>
        <v>252</v>
      </c>
      <c r="B19" s="349" t="str">
        <f>'Unit Data from Audit Worksheet'!C21</f>
        <v>Net Position-Governmental Activities</v>
      </c>
      <c r="C19" s="334" t="str">
        <f>'Unit Data from Audit Worksheet'!D21</f>
        <v xml:space="preserve"> Total Net investment in capital assets</v>
      </c>
      <c r="D19" s="110"/>
      <c r="E19" s="355">
        <f>'Unit Data from Audit Worksheet'!F21</f>
        <v>0</v>
      </c>
      <c r="F19" s="348"/>
      <c r="G19" s="350"/>
      <c r="H19" s="347">
        <f>'Unit Data from Audit Worksheet'!I21</f>
        <v>0</v>
      </c>
      <c r="I19" s="38"/>
      <c r="J19" s="346">
        <v>252</v>
      </c>
      <c r="K19" s="345" t="s">
        <v>103</v>
      </c>
      <c r="L19" s="570">
        <f t="shared" ref="L19:L51" si="4">IF(D19="",E19,D19)</f>
        <v>0</v>
      </c>
      <c r="O19" s="578" t="e">
        <f>'Unit Data from Audit Worksheet'!E21</f>
        <v>#N/A</v>
      </c>
      <c r="P19" s="317"/>
      <c r="W19" s="3" t="b">
        <f t="shared" si="0"/>
        <v>1</v>
      </c>
      <c r="X19" s="567">
        <f t="shared" si="1"/>
        <v>0</v>
      </c>
      <c r="Y19" s="567">
        <f t="shared" si="2"/>
        <v>0</v>
      </c>
    </row>
    <row r="20" spans="1:25" ht="20.399999999999999" x14ac:dyDescent="0.3">
      <c r="A20" s="335">
        <f>'Unit Data from Audit Worksheet'!A22</f>
        <v>253</v>
      </c>
      <c r="B20" s="349" t="str">
        <f>'Unit Data from Audit Worksheet'!C22</f>
        <v>Net Position-Governmental Activities</v>
      </c>
      <c r="C20" s="334" t="str">
        <f>'Unit Data from Audit Worksheet'!D22</f>
        <v xml:space="preserve"> Total Net Position, Restricted</v>
      </c>
      <c r="D20" s="110"/>
      <c r="E20" s="355">
        <f>'Unit Data from Audit Worksheet'!F22</f>
        <v>0</v>
      </c>
      <c r="F20" s="348"/>
      <c r="G20" s="350"/>
      <c r="H20" s="347">
        <f>'Unit Data from Audit Worksheet'!I22</f>
        <v>0</v>
      </c>
      <c r="I20" s="38"/>
      <c r="J20" s="346">
        <v>253</v>
      </c>
      <c r="K20" s="345" t="s">
        <v>104</v>
      </c>
      <c r="L20" s="570">
        <f t="shared" si="4"/>
        <v>0</v>
      </c>
      <c r="O20" s="578" t="e">
        <f>'Unit Data from Audit Worksheet'!E22</f>
        <v>#N/A</v>
      </c>
      <c r="P20" s="317"/>
      <c r="W20" s="3" t="b">
        <f t="shared" si="0"/>
        <v>1</v>
      </c>
      <c r="X20" s="567">
        <f t="shared" si="1"/>
        <v>0</v>
      </c>
      <c r="Y20" s="567">
        <f t="shared" si="2"/>
        <v>0</v>
      </c>
    </row>
    <row r="21" spans="1:25" ht="73.5" customHeight="1" x14ac:dyDescent="0.3">
      <c r="A21" s="335">
        <f>'Unit Data from Audit Worksheet'!A23</f>
        <v>254</v>
      </c>
      <c r="B21" s="349" t="str">
        <f>'Unit Data from Audit Worksheet'!C23</f>
        <v>Net Position-Governmental Activities</v>
      </c>
      <c r="C21" s="334" t="str">
        <f>'Unit Data from Audit Worksheet'!D23</f>
        <v>Total Net Position, Unrestricted - enter negative unrestricted net position as a negative)</v>
      </c>
      <c r="D21" s="110"/>
      <c r="E21" s="355">
        <f>'Unit Data from Audit Worksheet'!F23</f>
        <v>0</v>
      </c>
      <c r="F21" s="348">
        <f>IF((L7-L17-L19-L20-L21)=0,,"Error: Total assets and deferred outflows less total liabilities and deferred inflows do not equal total net position accts 385-338-252-253-254")</f>
        <v>0</v>
      </c>
      <c r="G21" s="90">
        <f>+L7-L17-L19-L20-L21</f>
        <v>0</v>
      </c>
      <c r="H21" s="347">
        <f>'Unit Data from Audit Worksheet'!I23</f>
        <v>0</v>
      </c>
      <c r="I21" s="38"/>
      <c r="J21" s="346">
        <v>254</v>
      </c>
      <c r="K21" s="345" t="s">
        <v>105</v>
      </c>
      <c r="L21" s="570">
        <f t="shared" si="4"/>
        <v>0</v>
      </c>
      <c r="O21" s="578" t="e">
        <f>'Unit Data from Audit Worksheet'!E23</f>
        <v>#N/A</v>
      </c>
      <c r="P21" s="317"/>
      <c r="Q21" s="560">
        <f>IF(G21&lt;&gt;0,1,0)</f>
        <v>0</v>
      </c>
      <c r="W21" s="3" t="b">
        <f t="shared" si="0"/>
        <v>1</v>
      </c>
      <c r="X21" s="567">
        <f t="shared" si="1"/>
        <v>0</v>
      </c>
      <c r="Y21" s="567">
        <f t="shared" si="2"/>
        <v>0</v>
      </c>
    </row>
    <row r="22" spans="1:25" ht="51.75" customHeight="1" x14ac:dyDescent="0.3">
      <c r="A22" s="335">
        <f>'Unit Data from Audit Worksheet'!A25</f>
        <v>502</v>
      </c>
      <c r="B22" s="349" t="str">
        <f>'Unit Data from Audit Worksheet'!C25</f>
        <v>Net Position-Business Activities</v>
      </c>
      <c r="C22" s="334" t="str">
        <f>'Unit Data from Audit Worksheet'!D25</f>
        <v xml:space="preserve">All unrestricted Cash and investments. 
Exclude restricted cash and cash held by a third party. </v>
      </c>
      <c r="D22" s="110"/>
      <c r="E22" s="355">
        <f>'Unit Data from Audit Worksheet'!F25</f>
        <v>0</v>
      </c>
      <c r="F22" s="348">
        <f>IF(L22&lt;0,"Error: Number is normally positive.",)</f>
        <v>0</v>
      </c>
      <c r="G22" s="350"/>
      <c r="H22" s="347">
        <f>'Unit Data from Audit Worksheet'!I25</f>
        <v>0</v>
      </c>
      <c r="I22" s="38"/>
      <c r="J22" s="346">
        <v>502</v>
      </c>
      <c r="K22" s="345" t="s">
        <v>186</v>
      </c>
      <c r="L22" s="570">
        <f t="shared" si="4"/>
        <v>0</v>
      </c>
      <c r="P22" s="317"/>
      <c r="W22" s="3" t="b">
        <f t="shared" si="0"/>
        <v>1</v>
      </c>
      <c r="X22" s="567">
        <f t="shared" si="1"/>
        <v>0</v>
      </c>
      <c r="Y22" s="567">
        <f t="shared" si="2"/>
        <v>0</v>
      </c>
    </row>
    <row r="23" spans="1:25" ht="40.5" customHeight="1" x14ac:dyDescent="0.3">
      <c r="A23" s="335">
        <f>'Unit Data from Audit Worksheet'!A26</f>
        <v>503</v>
      </c>
      <c r="B23" s="349" t="str">
        <f>'Unit Data from Audit Worksheet'!C26</f>
        <v>Net Position-Business Activities</v>
      </c>
      <c r="C23" s="334" t="str">
        <f>'Unit Data from Audit Worksheet'!D26</f>
        <v>All restricted Cash and investments</v>
      </c>
      <c r="D23" s="110"/>
      <c r="E23" s="355">
        <f>'Unit Data from Audit Worksheet'!F26</f>
        <v>0</v>
      </c>
      <c r="F23" s="348">
        <f>IF(L23&lt;0,"Error: Number is normally positive.",)</f>
        <v>0</v>
      </c>
      <c r="G23" s="350"/>
      <c r="H23" s="347">
        <f>'Unit Data from Audit Worksheet'!I26</f>
        <v>0</v>
      </c>
      <c r="I23" s="38"/>
      <c r="J23" s="346">
        <v>503</v>
      </c>
      <c r="K23" s="345" t="s">
        <v>187</v>
      </c>
      <c r="L23" s="570">
        <f t="shared" si="4"/>
        <v>0</v>
      </c>
      <c r="P23" s="317"/>
      <c r="W23" s="3" t="b">
        <f t="shared" si="0"/>
        <v>1</v>
      </c>
      <c r="X23" s="567">
        <f t="shared" si="1"/>
        <v>0</v>
      </c>
      <c r="Y23" s="567">
        <f t="shared" si="2"/>
        <v>0</v>
      </c>
    </row>
    <row r="24" spans="1:25" ht="39" customHeight="1" x14ac:dyDescent="0.3">
      <c r="A24" s="335">
        <f>'Unit Data from Audit Worksheet'!A28</f>
        <v>344</v>
      </c>
      <c r="B24" s="349" t="str">
        <f>'Unit Data from Audit Worksheet'!C28</f>
        <v>Statement of Activities - Governmental</v>
      </c>
      <c r="C24" s="334" t="str">
        <f>'Unit Data from Audit Worksheet'!D28</f>
        <v xml:space="preserve">Total Interest expense on Long-Term Debt </v>
      </c>
      <c r="D24" s="110"/>
      <c r="E24" s="355">
        <f>'Unit Data from Audit Worksheet'!F28</f>
        <v>0</v>
      </c>
      <c r="F24" s="348">
        <f>IF(L24&lt;0,"Error: Enter as a positive.",)</f>
        <v>0</v>
      </c>
      <c r="G24" s="350"/>
      <c r="H24" s="347">
        <f>'Unit Data from Audit Worksheet'!I28</f>
        <v>0</v>
      </c>
      <c r="I24" s="38"/>
      <c r="J24" s="346">
        <v>344</v>
      </c>
      <c r="K24" s="345" t="s">
        <v>188</v>
      </c>
      <c r="L24" s="570">
        <f t="shared" si="4"/>
        <v>0</v>
      </c>
      <c r="P24" s="317"/>
      <c r="W24" s="3" t="b">
        <f t="shared" si="0"/>
        <v>1</v>
      </c>
      <c r="X24" s="567">
        <f t="shared" si="1"/>
        <v>0</v>
      </c>
      <c r="Y24" s="567">
        <f t="shared" si="2"/>
        <v>0</v>
      </c>
    </row>
    <row r="25" spans="1:25" ht="39" customHeight="1" x14ac:dyDescent="0.3">
      <c r="A25" s="335">
        <f>'Unit Data from Audit Worksheet'!A29</f>
        <v>388</v>
      </c>
      <c r="B25" s="349" t="str">
        <f>'Unit Data from Audit Worksheet'!C29</f>
        <v>Statement of Activities - Governmental</v>
      </c>
      <c r="C25" s="334" t="str">
        <f>'Unit Data from Audit Worksheet'!D29</f>
        <v>Total Expenses</v>
      </c>
      <c r="D25" s="110"/>
      <c r="E25" s="355">
        <f>'Unit Data from Audit Worksheet'!F29</f>
        <v>0</v>
      </c>
      <c r="F25" s="348">
        <f t="shared" ref="F25:F30" si="5">IF(L25&lt;0,"Error: Number is normally positive.",)</f>
        <v>0</v>
      </c>
      <c r="G25" s="350"/>
      <c r="H25" s="347">
        <f>'Unit Data from Audit Worksheet'!I29</f>
        <v>0</v>
      </c>
      <c r="I25" s="38"/>
      <c r="J25" s="346">
        <v>388</v>
      </c>
      <c r="K25" s="345" t="s">
        <v>189</v>
      </c>
      <c r="L25" s="570">
        <f t="shared" si="4"/>
        <v>0</v>
      </c>
      <c r="P25" s="317"/>
      <c r="W25" s="3" t="b">
        <f t="shared" si="0"/>
        <v>1</v>
      </c>
      <c r="X25" s="567">
        <f t="shared" si="1"/>
        <v>0</v>
      </c>
      <c r="Y25" s="567">
        <f t="shared" si="2"/>
        <v>0</v>
      </c>
    </row>
    <row r="26" spans="1:25" ht="39" customHeight="1" x14ac:dyDescent="0.3">
      <c r="A26" s="335">
        <f>'Unit Data from Audit Worksheet'!A30</f>
        <v>339</v>
      </c>
      <c r="B26" s="349" t="str">
        <f>'Unit Data from Audit Worksheet'!C30</f>
        <v>Statement of Activities - Governmental</v>
      </c>
      <c r="C26" s="334" t="str">
        <f>'Unit Data from Audit Worksheet'!D30</f>
        <v xml:space="preserve">Charges for services </v>
      </c>
      <c r="D26" s="110"/>
      <c r="E26" s="355">
        <f>'Unit Data from Audit Worksheet'!F30</f>
        <v>0</v>
      </c>
      <c r="F26" s="348">
        <f t="shared" si="5"/>
        <v>0</v>
      </c>
      <c r="G26" s="350"/>
      <c r="H26" s="347">
        <f>'Unit Data from Audit Worksheet'!I30</f>
        <v>0</v>
      </c>
      <c r="I26" s="38"/>
      <c r="J26" s="346">
        <v>339</v>
      </c>
      <c r="K26" s="345" t="s">
        <v>190</v>
      </c>
      <c r="L26" s="570">
        <f t="shared" si="4"/>
        <v>0</v>
      </c>
      <c r="P26" s="317"/>
      <c r="W26" s="3" t="b">
        <f t="shared" si="0"/>
        <v>1</v>
      </c>
      <c r="X26" s="567">
        <f t="shared" si="1"/>
        <v>0</v>
      </c>
      <c r="Y26" s="567">
        <f t="shared" si="2"/>
        <v>0</v>
      </c>
    </row>
    <row r="27" spans="1:25" ht="39" customHeight="1" x14ac:dyDescent="0.3">
      <c r="A27" s="335">
        <f>'Unit Data from Audit Worksheet'!A31</f>
        <v>504</v>
      </c>
      <c r="B27" s="349" t="str">
        <f>'Unit Data from Audit Worksheet'!C31</f>
        <v>Statement of Activities - Governmental</v>
      </c>
      <c r="C27" s="334" t="str">
        <f>'Unit Data from Audit Worksheet'!D31</f>
        <v>Operating grants and contributions</v>
      </c>
      <c r="D27" s="110"/>
      <c r="E27" s="355">
        <f>'Unit Data from Audit Worksheet'!F31</f>
        <v>0</v>
      </c>
      <c r="F27" s="348">
        <f t="shared" si="5"/>
        <v>0</v>
      </c>
      <c r="G27" s="350"/>
      <c r="H27" s="347">
        <f>'Unit Data from Audit Worksheet'!I31</f>
        <v>0</v>
      </c>
      <c r="I27" s="38"/>
      <c r="J27" s="346">
        <v>504</v>
      </c>
      <c r="K27" s="345" t="s">
        <v>191</v>
      </c>
      <c r="L27" s="570">
        <f t="shared" si="4"/>
        <v>0</v>
      </c>
      <c r="P27" s="317"/>
      <c r="W27" s="3" t="b">
        <f t="shared" si="0"/>
        <v>1</v>
      </c>
      <c r="X27" s="567">
        <f t="shared" si="1"/>
        <v>0</v>
      </c>
      <c r="Y27" s="567">
        <f t="shared" si="2"/>
        <v>0</v>
      </c>
    </row>
    <row r="28" spans="1:25" ht="39" customHeight="1" x14ac:dyDescent="0.3">
      <c r="A28" s="335">
        <f>'Unit Data from Audit Worksheet'!A32</f>
        <v>505</v>
      </c>
      <c r="B28" s="349" t="str">
        <f>'Unit Data from Audit Worksheet'!C32</f>
        <v>Statement of Activities - Governmental</v>
      </c>
      <c r="C28" s="334" t="str">
        <f>'Unit Data from Audit Worksheet'!D32</f>
        <v>Capital grants and contributions</v>
      </c>
      <c r="D28" s="110"/>
      <c r="E28" s="355">
        <f>'Unit Data from Audit Worksheet'!F32</f>
        <v>0</v>
      </c>
      <c r="F28" s="348">
        <f t="shared" si="5"/>
        <v>0</v>
      </c>
      <c r="G28" s="350"/>
      <c r="H28" s="347">
        <f>'Unit Data from Audit Worksheet'!I32</f>
        <v>0</v>
      </c>
      <c r="I28" s="38"/>
      <c r="J28" s="346">
        <v>505</v>
      </c>
      <c r="K28" s="345" t="s">
        <v>192</v>
      </c>
      <c r="L28" s="570">
        <f t="shared" si="4"/>
        <v>0</v>
      </c>
      <c r="P28" s="317"/>
      <c r="W28" s="3" t="b">
        <f t="shared" si="0"/>
        <v>1</v>
      </c>
      <c r="X28" s="567">
        <f t="shared" si="1"/>
        <v>0</v>
      </c>
      <c r="Y28" s="567">
        <f t="shared" si="2"/>
        <v>0</v>
      </c>
    </row>
    <row r="29" spans="1:25" ht="82.5" customHeight="1" x14ac:dyDescent="0.3">
      <c r="A29" s="335">
        <f>'Unit Data from Audit Worksheet'!A33</f>
        <v>341</v>
      </c>
      <c r="B29" s="349" t="str">
        <f>'Unit Data from Audit Worksheet'!C33</f>
        <v>Statement of Activities - Governmental</v>
      </c>
      <c r="C29" s="334" t="str">
        <f>'Unit Data from Audit Worksheet'!D33</f>
        <v>Total General revenues
Exclude: transfers-in or out,
                 special items,
                 extraordinary amounts</v>
      </c>
      <c r="D29" s="110"/>
      <c r="E29" s="355">
        <f>'Unit Data from Audit Worksheet'!F33</f>
        <v>0</v>
      </c>
      <c r="F29" s="348">
        <f t="shared" si="5"/>
        <v>0</v>
      </c>
      <c r="G29" s="350"/>
      <c r="H29" s="347">
        <f>'Unit Data from Audit Worksheet'!I33</f>
        <v>0</v>
      </c>
      <c r="I29" s="38"/>
      <c r="J29" s="346">
        <v>341</v>
      </c>
      <c r="K29" s="345" t="s">
        <v>193</v>
      </c>
      <c r="L29" s="570">
        <f t="shared" si="4"/>
        <v>0</v>
      </c>
      <c r="P29" s="317"/>
      <c r="W29" s="3" t="b">
        <f t="shared" si="0"/>
        <v>1</v>
      </c>
      <c r="X29" s="567">
        <f t="shared" si="1"/>
        <v>0</v>
      </c>
      <c r="Y29" s="567">
        <f t="shared" si="2"/>
        <v>0</v>
      </c>
    </row>
    <row r="30" spans="1:25" ht="82.5" customHeight="1" x14ac:dyDescent="0.3">
      <c r="A30" s="335">
        <f>'Unit Data from Audit Worksheet'!A34</f>
        <v>386</v>
      </c>
      <c r="B30" s="349" t="str">
        <f>'Unit Data from Audit Worksheet'!C34</f>
        <v>Statement of Activities - Governmental</v>
      </c>
      <c r="C30" s="334" t="str">
        <f>'Unit Data from Audit Worksheet'!D34</f>
        <v>Total Transfers in    (Preference is that transfers-in  are not netted against transfers-out)</v>
      </c>
      <c r="D30" s="110"/>
      <c r="E30" s="355">
        <f>'Unit Data from Audit Worksheet'!F34</f>
        <v>0</v>
      </c>
      <c r="F30" s="348">
        <f t="shared" si="5"/>
        <v>0</v>
      </c>
      <c r="G30" s="350"/>
      <c r="H30" s="347">
        <f>'Unit Data from Audit Worksheet'!I34</f>
        <v>0</v>
      </c>
      <c r="I30" s="38"/>
      <c r="J30" s="346">
        <v>386</v>
      </c>
      <c r="K30" s="345" t="s">
        <v>194</v>
      </c>
      <c r="L30" s="570">
        <f t="shared" si="4"/>
        <v>0</v>
      </c>
      <c r="P30" s="317"/>
      <c r="W30" s="3" t="b">
        <f t="shared" si="0"/>
        <v>1</v>
      </c>
      <c r="X30" s="567">
        <f t="shared" si="1"/>
        <v>0</v>
      </c>
      <c r="Y30" s="567">
        <f t="shared" si="2"/>
        <v>0</v>
      </c>
    </row>
    <row r="31" spans="1:25" ht="82.5" customHeight="1" x14ac:dyDescent="0.3">
      <c r="A31" s="335">
        <f>'Unit Data from Audit Worksheet'!A35</f>
        <v>387</v>
      </c>
      <c r="B31" s="349" t="str">
        <f>'Unit Data from Audit Worksheet'!C35</f>
        <v>Statement of Activities - Governmental</v>
      </c>
      <c r="C31" s="334" t="str">
        <f>'Unit Data from Audit Worksheet'!D35</f>
        <v>Total Transfers out    (Preference is that transfers-in  are not netted against transfers-out)</v>
      </c>
      <c r="D31" s="110"/>
      <c r="E31" s="355">
        <f>'Unit Data from Audit Worksheet'!F35</f>
        <v>0</v>
      </c>
      <c r="F31" s="348">
        <f>IF(L31&lt;0,"Error: Enter as a positive.",)</f>
        <v>0</v>
      </c>
      <c r="G31" s="350"/>
      <c r="H31" s="347">
        <f>'Unit Data from Audit Worksheet'!I35</f>
        <v>0</v>
      </c>
      <c r="I31" s="38"/>
      <c r="J31" s="346">
        <v>387</v>
      </c>
      <c r="K31" s="345" t="s">
        <v>195</v>
      </c>
      <c r="L31" s="570">
        <f t="shared" si="4"/>
        <v>0</v>
      </c>
      <c r="P31" s="317"/>
      <c r="W31" s="3" t="b">
        <f t="shared" si="0"/>
        <v>1</v>
      </c>
      <c r="X31" s="567">
        <f t="shared" si="1"/>
        <v>0</v>
      </c>
      <c r="Y31" s="567">
        <f t="shared" si="2"/>
        <v>0</v>
      </c>
    </row>
    <row r="32" spans="1:25" ht="82.5" customHeight="1" x14ac:dyDescent="0.3">
      <c r="A32" s="335">
        <f>'Unit Data from Audit Worksheet'!A36</f>
        <v>389</v>
      </c>
      <c r="B32" s="349" t="str">
        <f>'Unit Data from Audit Worksheet'!C36</f>
        <v>Statement of Activities - Governmental</v>
      </c>
      <c r="C32" s="334" t="str">
        <f>'Unit Data from Audit Worksheet'!D36</f>
        <v>Total Special and Extraordinary items.    (Amounts that increase net position are recorded as positive and amounts that decrease net position are recorded as negative)</v>
      </c>
      <c r="D32" s="110"/>
      <c r="E32" s="355">
        <f>'Unit Data from Audit Worksheet'!F36</f>
        <v>0</v>
      </c>
      <c r="F32" s="348"/>
      <c r="G32" s="350"/>
      <c r="H32" s="347">
        <f>'Unit Data from Audit Worksheet'!I36</f>
        <v>0</v>
      </c>
      <c r="I32" s="38"/>
      <c r="J32" s="346">
        <v>389</v>
      </c>
      <c r="K32" s="345" t="s">
        <v>196</v>
      </c>
      <c r="L32" s="570">
        <f t="shared" si="4"/>
        <v>0</v>
      </c>
      <c r="N32" s="579"/>
      <c r="P32" s="317"/>
      <c r="W32" s="3" t="b">
        <f t="shared" si="0"/>
        <v>1</v>
      </c>
      <c r="X32" s="567">
        <f t="shared" si="1"/>
        <v>0</v>
      </c>
      <c r="Y32" s="567">
        <f t="shared" si="2"/>
        <v>0</v>
      </c>
    </row>
    <row r="33" spans="1:25" ht="79.5" customHeight="1" x14ac:dyDescent="0.3">
      <c r="A33" s="335">
        <f>'Unit Data from Audit Worksheet'!A37</f>
        <v>255</v>
      </c>
      <c r="B33" s="349" t="str">
        <f>'Unit Data from Audit Worksheet'!C37</f>
        <v>Statement of Activities - Governmental</v>
      </c>
      <c r="C33" s="334" t="str">
        <f>'Unit Data from Audit Worksheet'!D37</f>
        <v>Total Change in net position - (Increase in net position is recorded as a positive and a decrease in net position is recorded as a negative)</v>
      </c>
      <c r="D33" s="110"/>
      <c r="E33" s="355">
        <f>'Unit Data from Audit Worksheet'!F37</f>
        <v>0</v>
      </c>
      <c r="F33" s="348">
        <f>IF((L26+L27+L28+L29+L30-L31+L32-L25-L33)=0,,"Total revenues less total expenses do not equal total change in net position. Acct 339+504+505+341+386-387+389-388-255=0")</f>
        <v>0</v>
      </c>
      <c r="G33" s="91">
        <f>L26+L27+L28+L29+L30-L31+L32-L25-L33</f>
        <v>0</v>
      </c>
      <c r="H33" s="347">
        <f>'Unit Data from Audit Worksheet'!I37</f>
        <v>0</v>
      </c>
      <c r="I33" s="38"/>
      <c r="J33" s="346">
        <v>255</v>
      </c>
      <c r="K33" s="345" t="s">
        <v>197</v>
      </c>
      <c r="L33" s="570">
        <f t="shared" si="4"/>
        <v>0</v>
      </c>
      <c r="O33" s="578" t="e">
        <f>'Unit Data from Audit Worksheet'!E37</f>
        <v>#N/A</v>
      </c>
      <c r="P33" s="317"/>
      <c r="Q33" s="560">
        <f>IF(G33&lt;&gt;0,1,0)</f>
        <v>0</v>
      </c>
      <c r="W33" s="3" t="b">
        <f t="shared" si="0"/>
        <v>1</v>
      </c>
      <c r="X33" s="567">
        <f t="shared" si="1"/>
        <v>0</v>
      </c>
      <c r="Y33" s="567">
        <f t="shared" si="2"/>
        <v>0</v>
      </c>
    </row>
    <row r="34" spans="1:25" ht="89.25" customHeight="1" x14ac:dyDescent="0.3">
      <c r="A34" s="335">
        <f>'Unit Data from Audit Worksheet'!A38</f>
        <v>376</v>
      </c>
      <c r="B34" s="349" t="str">
        <f>'Unit Data from Audit Worksheet'!C38</f>
        <v>Statement of Activities - Governmental</v>
      </c>
      <c r="C34" s="334" t="str">
        <f>'Unit Data from Audit Worksheet'!D38</f>
        <v>Any adjustment to beginning net position including rounding, prior period adjustments and restatements.   (Increases to net position are positive; decreases to net position are negative)</v>
      </c>
      <c r="D34" s="110"/>
      <c r="E34" s="355">
        <f>'Unit Data from Audit Worksheet'!F38</f>
        <v>0</v>
      </c>
      <c r="F34" s="87" t="e">
        <f>IF(L19+L20+L21-L33-L34=O19+O20+O21,,"Beginning Balance does not agree with our records acct (252+253+254-255-376=PY252+PY253+PY254)")</f>
        <v>#N/A</v>
      </c>
      <c r="G34" s="92" t="e">
        <f>L19+L20+L21-L33-L34-(O19+O20+O21)</f>
        <v>#N/A</v>
      </c>
      <c r="H34" s="347">
        <f>'Unit Data from Audit Worksheet'!I38</f>
        <v>0</v>
      </c>
      <c r="I34" s="38"/>
      <c r="J34" s="346">
        <v>376</v>
      </c>
      <c r="K34" s="345" t="s">
        <v>108</v>
      </c>
      <c r="L34" s="570">
        <f t="shared" si="4"/>
        <v>0</v>
      </c>
      <c r="O34" s="578" t="e">
        <f>'Unit Data from Audit Worksheet'!E38</f>
        <v>#N/A</v>
      </c>
      <c r="P34" s="317"/>
      <c r="Q34" s="560" t="e">
        <f>IF(G34&lt;&gt;0,1,0)</f>
        <v>#N/A</v>
      </c>
      <c r="W34" s="3" t="b">
        <f t="shared" si="0"/>
        <v>1</v>
      </c>
      <c r="X34" s="567">
        <f t="shared" si="1"/>
        <v>0</v>
      </c>
      <c r="Y34" s="567">
        <f t="shared" si="2"/>
        <v>0</v>
      </c>
    </row>
    <row r="35" spans="1:25" ht="157.5" customHeight="1" x14ac:dyDescent="0.3">
      <c r="A35" s="335">
        <f>'Unit Data from Audit Worksheet'!A39</f>
        <v>597</v>
      </c>
      <c r="B35" s="349" t="str">
        <f>'Unit Data from Audit Worksheet'!C39</f>
        <v>Statement of Activities                               (all governmental and business funds)</v>
      </c>
      <c r="C35" s="334"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10"/>
      <c r="E35" s="355">
        <f>'Unit Data from Audit Worksheet'!F39</f>
        <v>0</v>
      </c>
      <c r="F35" s="348">
        <f>IF(L35&lt;0,"Error: Number is normally positive.",)</f>
        <v>0</v>
      </c>
      <c r="G35" s="350"/>
      <c r="H35" s="347">
        <f>'Unit Data from Audit Worksheet'!I39</f>
        <v>0</v>
      </c>
      <c r="I35" s="38"/>
      <c r="J35" s="346">
        <v>597</v>
      </c>
      <c r="K35" s="345" t="s">
        <v>380</v>
      </c>
      <c r="L35" s="570">
        <f t="shared" si="4"/>
        <v>0</v>
      </c>
      <c r="O35" s="578"/>
      <c r="P35" s="317"/>
      <c r="W35" s="3" t="b">
        <f t="shared" si="0"/>
        <v>1</v>
      </c>
      <c r="X35" s="567">
        <f t="shared" si="1"/>
        <v>0</v>
      </c>
      <c r="Y35" s="567">
        <f t="shared" si="2"/>
        <v>0</v>
      </c>
    </row>
    <row r="36" spans="1:25" ht="90" customHeight="1" x14ac:dyDescent="0.3">
      <c r="A36" s="335">
        <f>'Unit Data from Audit Worksheet'!A41</f>
        <v>592</v>
      </c>
      <c r="B36" s="349" t="str">
        <f>'Unit Data from Audit Worksheet'!C41</f>
        <v>Statement of Activities - Business Activities</v>
      </c>
      <c r="C36" s="334" t="str">
        <f>'Unit Data from Audit Worksheet'!D41</f>
        <v>Total Change in net position Business Type 
(Increase in net position is recorded as a positive and a decrease in net position is recorded as a negative)</v>
      </c>
      <c r="D36" s="110"/>
      <c r="E36" s="355">
        <f>'Unit Data from Audit Worksheet'!F41</f>
        <v>0</v>
      </c>
      <c r="F36" s="348"/>
      <c r="G36" s="350"/>
      <c r="H36" s="347">
        <f>'Unit Data from Audit Worksheet'!I41</f>
        <v>0</v>
      </c>
      <c r="I36" s="38"/>
      <c r="J36" s="346">
        <v>592</v>
      </c>
      <c r="K36" s="345" t="s">
        <v>356</v>
      </c>
      <c r="L36" s="570">
        <f t="shared" si="4"/>
        <v>0</v>
      </c>
      <c r="O36" s="578"/>
      <c r="P36" s="317"/>
      <c r="W36" s="3" t="b">
        <f t="shared" ref="W36:W66" si="6">EXACT(A36,J36)</f>
        <v>1</v>
      </c>
      <c r="X36" s="567">
        <f t="shared" si="1"/>
        <v>0</v>
      </c>
      <c r="Y36" s="567">
        <f t="shared" si="2"/>
        <v>0</v>
      </c>
    </row>
    <row r="37" spans="1:25" ht="66" customHeight="1" x14ac:dyDescent="0.3">
      <c r="A37" s="335">
        <f>'Unit Data from Audit Worksheet'!A42</f>
        <v>591</v>
      </c>
      <c r="B37" s="349" t="str">
        <f>'Unit Data from Audit Worksheet'!C42</f>
        <v>Statement of Activities - Business Activities</v>
      </c>
      <c r="C37" s="334" t="str">
        <f>'Unit Data from Audit Worksheet'!D42</f>
        <v>Total Expenses - Exclude Transfers</v>
      </c>
      <c r="D37" s="110"/>
      <c r="E37" s="355">
        <f>'Unit Data from Audit Worksheet'!F42</f>
        <v>0</v>
      </c>
      <c r="F37" s="348">
        <f>IF(L37&lt;0,"Error: Enter as a positive.",)</f>
        <v>0</v>
      </c>
      <c r="G37" s="350"/>
      <c r="H37" s="347">
        <f>'Unit Data from Audit Worksheet'!I42</f>
        <v>0</v>
      </c>
      <c r="I37" s="38"/>
      <c r="J37" s="346">
        <v>591</v>
      </c>
      <c r="K37" s="345" t="s">
        <v>355</v>
      </c>
      <c r="L37" s="570">
        <f t="shared" si="4"/>
        <v>0</v>
      </c>
      <c r="O37" s="578"/>
      <c r="P37" s="317"/>
      <c r="W37" s="3" t="b">
        <f t="shared" si="6"/>
        <v>1</v>
      </c>
      <c r="X37" s="567">
        <f t="shared" si="1"/>
        <v>0</v>
      </c>
      <c r="Y37" s="567">
        <f t="shared" si="2"/>
        <v>0</v>
      </c>
    </row>
    <row r="38" spans="1:25" s="706" customFormat="1" ht="66" customHeight="1" x14ac:dyDescent="0.3">
      <c r="A38" s="335">
        <f>'Unit Data from Audit Worksheet'!A43</f>
        <v>593</v>
      </c>
      <c r="B38" s="349" t="str">
        <f>'Unit Data from Audit Worksheet'!C43</f>
        <v>Statement of Activities - Business Activities</v>
      </c>
      <c r="C38" s="334" t="str">
        <f>'Unit Data from Audit Worksheet'!D43</f>
        <v>Total Transfers in    (Preference is that transfers-in  are not netted against transfers-out)</v>
      </c>
      <c r="D38" s="110"/>
      <c r="E38" s="355">
        <f>'Unit Data from Audit Worksheet'!F43</f>
        <v>0</v>
      </c>
      <c r="F38" s="348"/>
      <c r="G38" s="350"/>
      <c r="H38" s="347"/>
      <c r="I38" s="708"/>
      <c r="J38" s="346">
        <v>593</v>
      </c>
      <c r="K38" s="711" t="s">
        <v>1072</v>
      </c>
      <c r="L38" s="570">
        <f t="shared" si="4"/>
        <v>0</v>
      </c>
      <c r="O38" s="578"/>
      <c r="P38" s="317"/>
      <c r="Q38" s="560"/>
      <c r="X38" s="567"/>
      <c r="Y38" s="567"/>
    </row>
    <row r="39" spans="1:25" s="706" customFormat="1" ht="66" customHeight="1" x14ac:dyDescent="0.3">
      <c r="A39" s="335">
        <f>'Unit Data from Audit Worksheet'!A44</f>
        <v>594</v>
      </c>
      <c r="B39" s="349" t="str">
        <f>'Unit Data from Audit Worksheet'!C44</f>
        <v>Statement of Activities - Business Activities</v>
      </c>
      <c r="C39" s="334" t="str">
        <f>'Unit Data from Audit Worksheet'!D44</f>
        <v>Total Transfers out    (Preference is that transfers-in  are not netted against transfers-out)</v>
      </c>
      <c r="D39" s="110"/>
      <c r="E39" s="355">
        <f>'Unit Data from Audit Worksheet'!F44</f>
        <v>0</v>
      </c>
      <c r="F39" s="348"/>
      <c r="G39" s="350"/>
      <c r="H39" s="347"/>
      <c r="I39" s="708"/>
      <c r="J39" s="346">
        <v>594</v>
      </c>
      <c r="K39" s="711" t="s">
        <v>1073</v>
      </c>
      <c r="L39" s="570">
        <f t="shared" si="4"/>
        <v>0</v>
      </c>
      <c r="O39" s="578"/>
      <c r="P39" s="317"/>
      <c r="Q39" s="560"/>
      <c r="X39" s="567"/>
      <c r="Y39" s="567"/>
    </row>
    <row r="40" spans="1:25" s="706" customFormat="1" ht="66" customHeight="1" x14ac:dyDescent="0.3">
      <c r="A40" s="335">
        <f>'Unit Data from Audit Worksheet'!A46</f>
        <v>558</v>
      </c>
      <c r="B40" s="349" t="str">
        <f>'Unit Data from Audit Worksheet'!C46</f>
        <v>Mental Health-Balance Sheet - Non GAAP</v>
      </c>
      <c r="C40" s="334" t="str">
        <f>'Unit Data from Audit Worksheet'!D46</f>
        <v xml:space="preserve">All unrestricted cash and investments.  
Exclude restricted cash and cash held by a third party. </v>
      </c>
      <c r="D40" s="110"/>
      <c r="E40" s="355">
        <f>'Unit Data from Audit Worksheet'!F46</f>
        <v>0</v>
      </c>
      <c r="F40" s="348"/>
      <c r="G40" s="350"/>
      <c r="H40" s="347"/>
      <c r="I40" s="708"/>
      <c r="J40" s="346">
        <v>558</v>
      </c>
      <c r="K40" s="707" t="s">
        <v>1074</v>
      </c>
      <c r="L40" s="570">
        <f t="shared" si="4"/>
        <v>0</v>
      </c>
      <c r="O40" s="578"/>
      <c r="P40" s="317"/>
      <c r="Q40" s="560"/>
      <c r="X40" s="567"/>
      <c r="Y40" s="567"/>
    </row>
    <row r="41" spans="1:25" s="706" customFormat="1" ht="66" customHeight="1" x14ac:dyDescent="0.3">
      <c r="A41" s="335">
        <f>'Unit Data from Audit Worksheet'!A47</f>
        <v>559</v>
      </c>
      <c r="B41" s="349" t="str">
        <f>'Unit Data from Audit Worksheet'!C47</f>
        <v>Mental Health-Balance Sheet - Non GAAP</v>
      </c>
      <c r="C41" s="334" t="str">
        <f>'Unit Data from Audit Worksheet'!D47</f>
        <v>All restricted cash and investments</v>
      </c>
      <c r="D41" s="110"/>
      <c r="E41" s="355">
        <f>'Unit Data from Audit Worksheet'!F47</f>
        <v>0</v>
      </c>
      <c r="F41" s="348"/>
      <c r="G41" s="350"/>
      <c r="H41" s="347"/>
      <c r="I41" s="708"/>
      <c r="J41" s="346">
        <v>559</v>
      </c>
      <c r="K41" s="707" t="s">
        <v>1075</v>
      </c>
      <c r="L41" s="570">
        <f t="shared" si="4"/>
        <v>0</v>
      </c>
      <c r="O41" s="578"/>
      <c r="P41" s="317"/>
      <c r="Q41" s="560"/>
      <c r="X41" s="567"/>
      <c r="Y41" s="567"/>
    </row>
    <row r="42" spans="1:25" s="706" customFormat="1" ht="124.5" customHeight="1" x14ac:dyDescent="0.3">
      <c r="A42" s="335">
        <f>'Unit Data from Audit Worksheet'!A48</f>
        <v>560</v>
      </c>
      <c r="B42" s="349" t="str">
        <f>'Unit Data from Audit Worksheet'!C48</f>
        <v>Mental Health-Balance Sheet - Non GAAP</v>
      </c>
      <c r="C42" s="334" t="str">
        <f>'Unit Data from Audit Worksheet'!D48</f>
        <v>Current Liabilities 
Exclude: all deferred inflows
                 current debt service payments
Include: Liabilities payable from restricted assets.</v>
      </c>
      <c r="D42" s="110"/>
      <c r="E42" s="355">
        <f>'Unit Data from Audit Worksheet'!F48</f>
        <v>0</v>
      </c>
      <c r="F42" s="348"/>
      <c r="G42" s="350"/>
      <c r="H42" s="347"/>
      <c r="I42" s="708"/>
      <c r="J42" s="346">
        <v>560</v>
      </c>
      <c r="K42" s="707" t="s">
        <v>1076</v>
      </c>
      <c r="L42" s="570">
        <f t="shared" si="4"/>
        <v>0</v>
      </c>
      <c r="O42" s="578"/>
      <c r="P42" s="317"/>
      <c r="Q42" s="560"/>
      <c r="X42" s="567"/>
      <c r="Y42" s="567"/>
    </row>
    <row r="43" spans="1:25" s="706" customFormat="1" ht="66" customHeight="1" x14ac:dyDescent="0.3">
      <c r="A43" s="335">
        <f>'Unit Data from Audit Worksheet'!A49</f>
        <v>561</v>
      </c>
      <c r="B43" s="349" t="str">
        <f>'Unit Data from Audit Worksheet'!C49</f>
        <v>Mental Health-Balance Sheet - Non GAAP</v>
      </c>
      <c r="C43" s="334" t="str">
        <f>'Unit Data from Audit Worksheet'!D49</f>
        <v xml:space="preserve">Mental Health Enterprise Fund Non GAAP deferred inflows or liabilities derived from cash receipts.   </v>
      </c>
      <c r="D43" s="110"/>
      <c r="E43" s="355">
        <f>'Unit Data from Audit Worksheet'!F49</f>
        <v>0</v>
      </c>
      <c r="F43" s="348"/>
      <c r="G43" s="350"/>
      <c r="H43" s="347"/>
      <c r="I43" s="708"/>
      <c r="J43" s="346">
        <v>561</v>
      </c>
      <c r="K43" s="707" t="s">
        <v>1077</v>
      </c>
      <c r="L43" s="570">
        <f t="shared" si="4"/>
        <v>0</v>
      </c>
      <c r="O43" s="578"/>
      <c r="P43" s="317"/>
      <c r="Q43" s="560"/>
      <c r="X43" s="567"/>
      <c r="Y43" s="567"/>
    </row>
    <row r="44" spans="1:25" s="706" customFormat="1" ht="137.25" customHeight="1" x14ac:dyDescent="0.3">
      <c r="A44" s="335">
        <f>'Unit Data from Audit Worksheet'!A50</f>
        <v>563</v>
      </c>
      <c r="B44" s="349" t="str">
        <f>'Unit Data from Audit Worksheet'!C50</f>
        <v>Mental Health-Balance Sheet - Non GAAP</v>
      </c>
      <c r="C44" s="334"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10"/>
      <c r="E44" s="355">
        <f>'Unit Data from Audit Worksheet'!F50</f>
        <v>0</v>
      </c>
      <c r="F44" s="348"/>
      <c r="G44" s="350"/>
      <c r="H44" s="347"/>
      <c r="I44" s="708"/>
      <c r="J44" s="346">
        <v>563</v>
      </c>
      <c r="K44" s="707" t="s">
        <v>1078</v>
      </c>
      <c r="L44" s="570">
        <f t="shared" si="4"/>
        <v>0</v>
      </c>
      <c r="O44" s="578"/>
      <c r="P44" s="317"/>
      <c r="Q44" s="560"/>
      <c r="X44" s="567"/>
      <c r="Y44" s="567"/>
    </row>
    <row r="45" spans="1:25" s="706" customFormat="1" ht="66" customHeight="1" x14ac:dyDescent="0.3">
      <c r="A45" s="335">
        <f>'Unit Data from Audit Worksheet'!A51</f>
        <v>564</v>
      </c>
      <c r="B45" s="349" t="str">
        <f>'Unit Data from Audit Worksheet'!C51</f>
        <v>Mental Health Enterprise Fund Non GAAP-Rev, Exp. Change in Fund Balance</v>
      </c>
      <c r="C45" s="334" t="str">
        <f>'Unit Data from Audit Worksheet'!D51</f>
        <v>Total expenditures  
Exclude: expenditures in the ""other financing sources (uses)"" section.</v>
      </c>
      <c r="D45" s="110"/>
      <c r="E45" s="355">
        <f>'Unit Data from Audit Worksheet'!F51</f>
        <v>0</v>
      </c>
      <c r="F45" s="348"/>
      <c r="G45" s="350"/>
      <c r="H45" s="347"/>
      <c r="I45" s="708"/>
      <c r="J45" s="346">
        <v>564</v>
      </c>
      <c r="K45" s="707" t="s">
        <v>1079</v>
      </c>
      <c r="L45" s="570">
        <f t="shared" si="4"/>
        <v>0</v>
      </c>
      <c r="O45" s="578"/>
      <c r="P45" s="317"/>
      <c r="Q45" s="560"/>
      <c r="X45" s="567"/>
      <c r="Y45" s="567"/>
    </row>
    <row r="46" spans="1:25" s="706" customFormat="1" ht="66" customHeight="1" x14ac:dyDescent="0.3">
      <c r="A46" s="335">
        <f>'Unit Data from Audit Worksheet'!A52</f>
        <v>568</v>
      </c>
      <c r="B46" s="349" t="str">
        <f>'Unit Data from Audit Worksheet'!C52</f>
        <v>Mental Health Enterprise Fund Non GAAP-Rev, Exp. Change in Fund Balance</v>
      </c>
      <c r="C46" s="334" t="str">
        <f>'Unit Data from Audit Worksheet'!D52</f>
        <v>Total Proceeds from all long-term debt issuances 
Exclude: proceeds from refundings</v>
      </c>
      <c r="D46" s="110"/>
      <c r="E46" s="355">
        <f>'Unit Data from Audit Worksheet'!F52</f>
        <v>0</v>
      </c>
      <c r="F46" s="348"/>
      <c r="G46" s="350"/>
      <c r="H46" s="347"/>
      <c r="I46" s="708"/>
      <c r="J46" s="346">
        <v>568</v>
      </c>
      <c r="K46" s="707" t="s">
        <v>1080</v>
      </c>
      <c r="L46" s="570">
        <f t="shared" si="4"/>
        <v>0</v>
      </c>
      <c r="O46" s="578"/>
      <c r="P46" s="317"/>
      <c r="Q46" s="560"/>
      <c r="X46" s="567"/>
      <c r="Y46" s="567"/>
    </row>
    <row r="47" spans="1:25" s="710" customFormat="1" ht="66" customHeight="1" x14ac:dyDescent="0.3">
      <c r="A47" s="335">
        <f>'Unit Data from Audit Worksheet'!A53</f>
        <v>565</v>
      </c>
      <c r="B47" s="349" t="str">
        <f>'Unit Data from Audit Worksheet'!C53</f>
        <v>Mental Health Enterprise Fund Non GAAP-Rev, Exp. Change in Fund Balance</v>
      </c>
      <c r="C47" s="334" t="str">
        <f>'Unit Data from Audit Worksheet'!D53</f>
        <v>Debt Refunding - Net refunding proceeds against debt payoff and if negative place results on this line.</v>
      </c>
      <c r="D47" s="110"/>
      <c r="E47" s="355">
        <f>'Unit Data from Audit Worksheet'!F53</f>
        <v>0</v>
      </c>
      <c r="F47" s="348"/>
      <c r="G47" s="350"/>
      <c r="H47" s="347"/>
      <c r="I47" s="712"/>
      <c r="J47" s="346">
        <v>565</v>
      </c>
      <c r="K47" s="707" t="s">
        <v>1214</v>
      </c>
      <c r="L47" s="570">
        <f t="shared" si="4"/>
        <v>0</v>
      </c>
      <c r="O47" s="578"/>
      <c r="P47" s="317"/>
      <c r="Q47" s="560"/>
      <c r="X47" s="567"/>
      <c r="Y47" s="567"/>
    </row>
    <row r="48" spans="1:25" s="706" customFormat="1" ht="66" customHeight="1" x14ac:dyDescent="0.3">
      <c r="A48" s="335">
        <f>'Unit Data from Audit Worksheet'!A54</f>
        <v>566</v>
      </c>
      <c r="B48" s="349" t="str">
        <f>'Unit Data from Audit Worksheet'!C54</f>
        <v>Mental Health Enterprise Fund Non GAAP-Rev, Exp. Change in Fund Balance</v>
      </c>
      <c r="C48" s="334" t="str">
        <f>'Unit Data from Audit Worksheet'!D54</f>
        <v>Debt Refunding - Net refunding proceeds against debt payoff and if positive place results on this line.</v>
      </c>
      <c r="D48" s="110"/>
      <c r="E48" s="355">
        <f>'Unit Data from Audit Worksheet'!F54</f>
        <v>0</v>
      </c>
      <c r="F48" s="348"/>
      <c r="G48" s="350"/>
      <c r="H48" s="347"/>
      <c r="I48" s="708"/>
      <c r="J48" s="346">
        <v>566</v>
      </c>
      <c r="K48" s="707" t="s">
        <v>1081</v>
      </c>
      <c r="L48" s="570">
        <f t="shared" si="4"/>
        <v>0</v>
      </c>
      <c r="O48" s="578"/>
      <c r="P48" s="317"/>
      <c r="Q48" s="560"/>
      <c r="X48" s="567"/>
      <c r="Y48" s="567"/>
    </row>
    <row r="49" spans="1:25" s="706" customFormat="1" ht="66" customHeight="1" x14ac:dyDescent="0.3">
      <c r="A49" s="335">
        <f>'Unit Data from Audit Worksheet'!A55</f>
        <v>567</v>
      </c>
      <c r="B49" s="349" t="str">
        <f>'Unit Data from Audit Worksheet'!C55</f>
        <v>Mental Health Enterprise Fund Non GAAP-Rev, Exp. Change in Fund Balance</v>
      </c>
      <c r="C49" s="334" t="str">
        <f>'Unit Data from Audit Worksheet'!D55</f>
        <v>Total Transfers out    (Preference is that transfers-in  are not netted against transfers-out)</v>
      </c>
      <c r="D49" s="110"/>
      <c r="E49" s="355">
        <f>'Unit Data from Audit Worksheet'!F55</f>
        <v>0</v>
      </c>
      <c r="F49" s="348"/>
      <c r="G49" s="350"/>
      <c r="H49" s="347"/>
      <c r="I49" s="708"/>
      <c r="J49" s="346">
        <v>567</v>
      </c>
      <c r="K49" s="707" t="s">
        <v>1082</v>
      </c>
      <c r="L49" s="570">
        <f t="shared" si="4"/>
        <v>0</v>
      </c>
      <c r="O49" s="578"/>
      <c r="P49" s="317"/>
      <c r="Q49" s="560"/>
      <c r="X49" s="567"/>
      <c r="Y49" s="567"/>
    </row>
    <row r="50" spans="1:25" s="706" customFormat="1" ht="66" customHeight="1" x14ac:dyDescent="0.3">
      <c r="A50" s="335">
        <f>'Unit Data from Audit Worksheet'!A56</f>
        <v>562</v>
      </c>
      <c r="B50" s="349" t="str">
        <f>'Unit Data from Audit Worksheet'!C56</f>
        <v>Notes</v>
      </c>
      <c r="C50" s="334" t="str">
        <f>'Unit Data from Audit Worksheet'!D56</f>
        <v>Mental Health Enterprise Fund Non GAAP -  Total Encumbrances.  You will have to refer to the note disclosure where the amount of encumbrances is listed.</v>
      </c>
      <c r="D50" s="110"/>
      <c r="E50" s="355">
        <f>'Unit Data from Audit Worksheet'!F56</f>
        <v>0</v>
      </c>
      <c r="F50" s="348"/>
      <c r="G50" s="350"/>
      <c r="H50" s="347"/>
      <c r="I50" s="708"/>
      <c r="J50" s="346">
        <v>562</v>
      </c>
      <c r="K50" s="707" t="s">
        <v>1083</v>
      </c>
      <c r="L50" s="570">
        <f t="shared" si="4"/>
        <v>0</v>
      </c>
      <c r="O50" s="578"/>
      <c r="P50" s="317"/>
      <c r="Q50" s="560"/>
      <c r="X50" s="567"/>
      <c r="Y50" s="567"/>
    </row>
    <row r="51" spans="1:25" s="706" customFormat="1" ht="66" customHeight="1" x14ac:dyDescent="0.3">
      <c r="A51" s="335">
        <f>'Unit Data from Audit Worksheet'!A57</f>
        <v>569</v>
      </c>
      <c r="B51" s="349" t="str">
        <f>'Unit Data from Audit Worksheet'!C57</f>
        <v>Notes</v>
      </c>
      <c r="C51" s="334" t="str">
        <f>'Unit Data from Audit Worksheet'!D57</f>
        <v>Please enter the principal and interest due next fiscal year on existing borrowings.</v>
      </c>
      <c r="D51" s="110"/>
      <c r="E51" s="355">
        <f>'Unit Data from Audit Worksheet'!F57</f>
        <v>0</v>
      </c>
      <c r="F51" s="348"/>
      <c r="G51" s="350"/>
      <c r="H51" s="347"/>
      <c r="I51" s="708"/>
      <c r="J51" s="346">
        <v>569</v>
      </c>
      <c r="K51" s="707" t="s">
        <v>1084</v>
      </c>
      <c r="L51" s="570">
        <f t="shared" si="4"/>
        <v>0</v>
      </c>
      <c r="O51" s="578"/>
      <c r="P51" s="317"/>
      <c r="Q51" s="560"/>
      <c r="X51" s="567"/>
      <c r="Y51" s="567"/>
    </row>
    <row r="52" spans="1:25" ht="54" customHeight="1" x14ac:dyDescent="0.3">
      <c r="A52" s="335">
        <f>'Unit Data from Audit Worksheet'!A59</f>
        <v>506</v>
      </c>
      <c r="B52" s="53" t="str">
        <f>'Unit Data from Audit Worksheet'!C59</f>
        <v>General Fund-Balance Sheet</v>
      </c>
      <c r="C52" s="580" t="str">
        <f>'Unit Data from Audit Worksheet'!D59</f>
        <v xml:space="preserve">All unrestricted cash and investments.  
Exclude restricted cash and cash held by a third party. </v>
      </c>
      <c r="D52" s="110"/>
      <c r="E52" s="154">
        <f>'Unit Data from Audit Worksheet'!F59</f>
        <v>0</v>
      </c>
      <c r="F52" s="37">
        <f>IF(L52&lt;0,"Error: Number is normally positive.",)</f>
        <v>0</v>
      </c>
      <c r="G52" s="73"/>
      <c r="H52" s="347">
        <f>'Unit Data from Audit Worksheet'!I59</f>
        <v>0</v>
      </c>
      <c r="I52" s="38"/>
      <c r="J52" s="41">
        <v>506</v>
      </c>
      <c r="K52" s="345" t="s">
        <v>198</v>
      </c>
      <c r="L52" s="581">
        <f t="shared" ref="L52:L65" si="7">IF(D52="",E52,D52)</f>
        <v>0</v>
      </c>
      <c r="P52" s="317"/>
      <c r="W52" s="3" t="b">
        <f t="shared" si="6"/>
        <v>1</v>
      </c>
      <c r="X52" s="567">
        <f t="shared" si="1"/>
        <v>0</v>
      </c>
      <c r="Y52" s="567">
        <f t="shared" si="2"/>
        <v>0</v>
      </c>
    </row>
    <row r="53" spans="1:25" ht="45.75" customHeight="1" x14ac:dyDescent="0.3">
      <c r="A53" s="335">
        <f>'Unit Data from Audit Worksheet'!A60</f>
        <v>536</v>
      </c>
      <c r="B53" s="53" t="str">
        <f>'Unit Data from Audit Worksheet'!C60</f>
        <v>General Fund-Balance Sheet</v>
      </c>
      <c r="C53" s="580" t="str">
        <f>'Unit Data from Audit Worksheet'!D60</f>
        <v>All restricted cash and investments</v>
      </c>
      <c r="D53" s="110"/>
      <c r="E53" s="154">
        <f>'Unit Data from Audit Worksheet'!F60</f>
        <v>0</v>
      </c>
      <c r="F53" s="37">
        <f>IF(L53&lt;0,"Error: Number is normally positive.",)</f>
        <v>0</v>
      </c>
      <c r="G53" s="73"/>
      <c r="H53" s="347">
        <f>'Unit Data from Audit Worksheet'!I60</f>
        <v>0</v>
      </c>
      <c r="I53" s="38"/>
      <c r="J53" s="41">
        <v>536</v>
      </c>
      <c r="K53" s="345" t="s">
        <v>199</v>
      </c>
      <c r="L53" s="581">
        <f t="shared" si="7"/>
        <v>0</v>
      </c>
      <c r="P53" s="317"/>
      <c r="W53" s="3" t="b">
        <f t="shared" si="6"/>
        <v>1</v>
      </c>
      <c r="X53" s="567">
        <f t="shared" si="1"/>
        <v>0</v>
      </c>
      <c r="Y53" s="567">
        <f t="shared" si="2"/>
        <v>0</v>
      </c>
    </row>
    <row r="54" spans="1:25" ht="56.25" customHeight="1" x14ac:dyDescent="0.3">
      <c r="A54" s="335">
        <f>'Unit Data from Audit Worksheet'!A61</f>
        <v>586</v>
      </c>
      <c r="B54" s="349" t="str">
        <f>'Unit Data from Audit Worksheet'!C61</f>
        <v>General Fund-Balance Sheet</v>
      </c>
      <c r="C54" s="334" t="str">
        <f>'Unit Data from Audit Worksheet'!D61</f>
        <v>Advance To: Interfund loan receivable-portion of repayment plan longer than 12 months</v>
      </c>
      <c r="D54" s="144"/>
      <c r="E54" s="355">
        <f>'Unit Data from Audit Worksheet'!F61</f>
        <v>0</v>
      </c>
      <c r="F54" s="348"/>
      <c r="G54" s="350"/>
      <c r="H54" s="347"/>
      <c r="I54" s="38"/>
      <c r="J54" s="346">
        <v>586</v>
      </c>
      <c r="K54" s="334" t="s">
        <v>339</v>
      </c>
      <c r="L54" s="570">
        <f t="shared" si="7"/>
        <v>0</v>
      </c>
      <c r="P54" s="317"/>
      <c r="W54" s="3" t="b">
        <f t="shared" si="6"/>
        <v>1</v>
      </c>
      <c r="X54" s="567">
        <f t="shared" si="1"/>
        <v>0</v>
      </c>
      <c r="Y54" s="567">
        <f t="shared" si="2"/>
        <v>0</v>
      </c>
    </row>
    <row r="55" spans="1:25" ht="28.8" x14ac:dyDescent="0.3">
      <c r="A55" s="335">
        <f>'Unit Data from Audit Worksheet'!A62</f>
        <v>379</v>
      </c>
      <c r="B55" s="349" t="str">
        <f>'Unit Data from Audit Worksheet'!C62</f>
        <v>General Fund-Balance Sheet</v>
      </c>
      <c r="C55" s="334" t="str">
        <f>'Unit Data from Audit Worksheet'!D62</f>
        <v>Total Assets and deferred outflows</v>
      </c>
      <c r="D55" s="144"/>
      <c r="E55" s="355">
        <f>'Unit Data from Audit Worksheet'!F62</f>
        <v>0</v>
      </c>
      <c r="F55" s="84">
        <f>IF((L52+L53)&gt;L55,"Error: Please review accts (506+536)&gt;379",)</f>
        <v>0</v>
      </c>
      <c r="G55" s="350" t="str">
        <f>IF(Q55=1," Included in error count"," ")</f>
        <v xml:space="preserve"> </v>
      </c>
      <c r="H55" s="347">
        <f>'Unit Data from Audit Worksheet'!I62</f>
        <v>0</v>
      </c>
      <c r="I55" s="38"/>
      <c r="J55" s="346">
        <v>379</v>
      </c>
      <c r="K55" s="345" t="s">
        <v>118</v>
      </c>
      <c r="L55" s="570">
        <f t="shared" si="7"/>
        <v>0</v>
      </c>
      <c r="P55" s="317"/>
      <c r="Q55" s="560">
        <f>IF(L52+L53&gt;L55,1,0)</f>
        <v>0</v>
      </c>
      <c r="W55" s="3" t="b">
        <f t="shared" si="6"/>
        <v>1</v>
      </c>
      <c r="X55" s="567">
        <f t="shared" si="1"/>
        <v>0</v>
      </c>
      <c r="Y55" s="567">
        <f t="shared" si="2"/>
        <v>0</v>
      </c>
    </row>
    <row r="56" spans="1:25" ht="106.5" customHeight="1" x14ac:dyDescent="0.3">
      <c r="A56" s="335">
        <f>'Unit Data from Audit Worksheet'!A63</f>
        <v>368</v>
      </c>
      <c r="B56" s="349" t="str">
        <f>'Unit Data from Audit Worksheet'!C63</f>
        <v>General Fund-Balance Sheet</v>
      </c>
      <c r="C56" s="334" t="str">
        <f>'Unit Data from Audit Worksheet'!D63</f>
        <v>Total Liabilities payable from restricted assets (only complete if this is listed in your financial statements for the general fund and the auditor has listed the cash to be used to pay the liabilities as restricted)</v>
      </c>
      <c r="D56" s="144"/>
      <c r="E56" s="355">
        <f>'Unit Data from Audit Worksheet'!F63</f>
        <v>0</v>
      </c>
      <c r="F56" s="348">
        <f>IF(L56&lt;0,"Error: Enter as a positive.",)</f>
        <v>0</v>
      </c>
      <c r="G56" s="350"/>
      <c r="H56" s="347">
        <f>'Unit Data from Audit Worksheet'!I63</f>
        <v>0</v>
      </c>
      <c r="I56" s="38"/>
      <c r="J56" s="346">
        <v>368</v>
      </c>
      <c r="K56" s="345" t="s">
        <v>200</v>
      </c>
      <c r="L56" s="570">
        <f t="shared" si="7"/>
        <v>0</v>
      </c>
      <c r="P56" s="317"/>
      <c r="W56" s="3" t="b">
        <f t="shared" si="6"/>
        <v>1</v>
      </c>
      <c r="X56" s="567">
        <f t="shared" si="1"/>
        <v>0</v>
      </c>
      <c r="Y56" s="567">
        <f t="shared" si="2"/>
        <v>0</v>
      </c>
    </row>
    <row r="57" spans="1:25" ht="90.75" customHeight="1" x14ac:dyDescent="0.3">
      <c r="A57" s="335">
        <f>'Unit Data from Audit Worksheet'!A64</f>
        <v>4</v>
      </c>
      <c r="B57" s="53" t="str">
        <f>'Unit Data from Audit Worksheet'!C64</f>
        <v>General Fund-Balance Sheet</v>
      </c>
      <c r="C57" s="580" t="str">
        <f>'Unit Data from Audit Worksheet'!D64</f>
        <v>Current Liabilities (as reported on the Balance Sheet)
Exclude all deferred inflows. 
Include advance from(long-term portion of interfund loans)</v>
      </c>
      <c r="D57" s="144"/>
      <c r="E57" s="154">
        <f>'Unit Data from Audit Worksheet'!F64</f>
        <v>0</v>
      </c>
      <c r="F57" s="37">
        <f t="shared" ref="F57:F66" si="8">IF(L57&lt;0,"Error: Enter as a positive.",)</f>
        <v>0</v>
      </c>
      <c r="G57" s="73"/>
      <c r="H57" s="347">
        <f>'Unit Data from Audit Worksheet'!I64</f>
        <v>0</v>
      </c>
      <c r="I57" s="38"/>
      <c r="J57" s="41">
        <v>4</v>
      </c>
      <c r="K57" s="345" t="s">
        <v>119</v>
      </c>
      <c r="L57" s="581">
        <f t="shared" si="7"/>
        <v>0</v>
      </c>
      <c r="P57" s="317"/>
      <c r="W57" s="3" t="b">
        <f t="shared" si="6"/>
        <v>1</v>
      </c>
      <c r="X57" s="567">
        <f t="shared" si="1"/>
        <v>0</v>
      </c>
      <c r="Y57" s="567">
        <f t="shared" si="2"/>
        <v>0</v>
      </c>
    </row>
    <row r="58" spans="1:25" ht="131.25" customHeight="1" x14ac:dyDescent="0.3">
      <c r="A58" s="335">
        <f>'Unit Data from Audit Worksheet'!A65</f>
        <v>5</v>
      </c>
      <c r="B58" s="53" t="str">
        <f>'Unit Data from Audit Worksheet'!C65</f>
        <v>General Fund-Balance Sheet</v>
      </c>
      <c r="C58" s="580"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4"/>
      <c r="E58" s="154">
        <f>'Unit Data from Audit Worksheet'!F65</f>
        <v>0</v>
      </c>
      <c r="F58" s="37">
        <f t="shared" si="8"/>
        <v>0</v>
      </c>
      <c r="G58" s="73"/>
      <c r="H58" s="347">
        <f>'Unit Data from Audit Worksheet'!I65</f>
        <v>0</v>
      </c>
      <c r="I58" s="38"/>
      <c r="J58" s="41">
        <v>5</v>
      </c>
      <c r="K58" s="345" t="s">
        <v>120</v>
      </c>
      <c r="L58" s="581">
        <f t="shared" si="7"/>
        <v>0</v>
      </c>
      <c r="P58" s="317"/>
      <c r="W58" s="3" t="b">
        <f t="shared" si="6"/>
        <v>1</v>
      </c>
      <c r="X58" s="567">
        <f t="shared" si="1"/>
        <v>0</v>
      </c>
      <c r="Y58" s="567">
        <f t="shared" si="2"/>
        <v>0</v>
      </c>
    </row>
    <row r="59" spans="1:25" ht="104.25" customHeight="1" x14ac:dyDescent="0.3">
      <c r="A59" s="335">
        <f>'Unit Data from Audit Worksheet'!A66</f>
        <v>380</v>
      </c>
      <c r="B59" s="349" t="str">
        <f>'Unit Data from Audit Worksheet'!C66</f>
        <v>General Fund-Balance Sheet</v>
      </c>
      <c r="C59" s="334" t="str">
        <f>'Unit Data from Audit Worksheet'!D66</f>
        <v>Total Deferred inflows not derived from cash receipts.  Deferred inflows on the face of the statements can include cash and non-cash.  You may have to refer to the note disclosure where the cash and non-cash is broken out.</v>
      </c>
      <c r="D59" s="144"/>
      <c r="E59" s="355">
        <f>'Unit Data from Audit Worksheet'!F66</f>
        <v>0</v>
      </c>
      <c r="F59" s="348">
        <f t="shared" si="8"/>
        <v>0</v>
      </c>
      <c r="G59" s="350"/>
      <c r="H59" s="347">
        <f>'Unit Data from Audit Worksheet'!I66</f>
        <v>0</v>
      </c>
      <c r="I59" s="38"/>
      <c r="J59" s="346">
        <v>380</v>
      </c>
      <c r="K59" s="345" t="s">
        <v>121</v>
      </c>
      <c r="L59" s="570">
        <f t="shared" si="7"/>
        <v>0</v>
      </c>
      <c r="P59" s="317"/>
      <c r="W59" s="3" t="b">
        <f t="shared" si="6"/>
        <v>1</v>
      </c>
      <c r="X59" s="567">
        <f t="shared" si="1"/>
        <v>0</v>
      </c>
      <c r="Y59" s="567">
        <f t="shared" si="2"/>
        <v>0</v>
      </c>
    </row>
    <row r="60" spans="1:25" ht="41.25" customHeight="1" x14ac:dyDescent="0.3">
      <c r="A60" s="335">
        <f>'Unit Data from Audit Worksheet'!A67</f>
        <v>391</v>
      </c>
      <c r="B60" s="349" t="str">
        <f>'Unit Data from Audit Worksheet'!C67</f>
        <v>General Fund-Balance Sheet</v>
      </c>
      <c r="C60" s="334" t="str">
        <f>'Unit Data from Audit Worksheet'!D67</f>
        <v xml:space="preserve">Fund balance, Restricted for Stabilization by State Statute </v>
      </c>
      <c r="D60" s="144"/>
      <c r="E60" s="355">
        <f>'Unit Data from Audit Worksheet'!F67</f>
        <v>0</v>
      </c>
      <c r="F60" s="348">
        <f t="shared" si="8"/>
        <v>0</v>
      </c>
      <c r="G60" s="350"/>
      <c r="H60" s="347">
        <f>'Unit Data from Audit Worksheet'!I67</f>
        <v>0</v>
      </c>
      <c r="I60" s="38"/>
      <c r="J60" s="346">
        <v>391</v>
      </c>
      <c r="K60" s="345" t="s">
        <v>201</v>
      </c>
      <c r="L60" s="570">
        <f t="shared" si="7"/>
        <v>0</v>
      </c>
      <c r="P60" s="317"/>
      <c r="W60" s="3" t="b">
        <f t="shared" si="6"/>
        <v>1</v>
      </c>
      <c r="X60" s="567">
        <f t="shared" si="1"/>
        <v>0</v>
      </c>
      <c r="Y60" s="567">
        <f t="shared" si="2"/>
        <v>0</v>
      </c>
    </row>
    <row r="61" spans="1:25" ht="28.8" x14ac:dyDescent="0.3">
      <c r="A61" s="335">
        <f>'Unit Data from Audit Worksheet'!A68</f>
        <v>7</v>
      </c>
      <c r="B61" s="53" t="str">
        <f>'Unit Data from Audit Worksheet'!C68</f>
        <v>General Fund-Balance Sheet</v>
      </c>
      <c r="C61" s="580" t="str">
        <f>'Unit Data from Audit Worksheet'!D68</f>
        <v>Fund balance, Nonspendable-  inventory/prepaids/etc.</v>
      </c>
      <c r="D61" s="144"/>
      <c r="E61" s="154">
        <f>'Unit Data from Audit Worksheet'!F68</f>
        <v>0</v>
      </c>
      <c r="F61" s="37">
        <f t="shared" si="8"/>
        <v>0</v>
      </c>
      <c r="G61" s="73"/>
      <c r="H61" s="347">
        <f>'Unit Data from Audit Worksheet'!I68</f>
        <v>0</v>
      </c>
      <c r="I61" s="38"/>
      <c r="J61" s="41">
        <v>7</v>
      </c>
      <c r="K61" s="345" t="s">
        <v>202</v>
      </c>
      <c r="L61" s="581">
        <f t="shared" si="7"/>
        <v>0</v>
      </c>
      <c r="P61" s="317"/>
      <c r="W61" s="3" t="b">
        <f t="shared" si="6"/>
        <v>1</v>
      </c>
      <c r="X61" s="567">
        <f t="shared" si="1"/>
        <v>0</v>
      </c>
      <c r="Y61" s="567">
        <f t="shared" si="2"/>
        <v>0</v>
      </c>
    </row>
    <row r="62" spans="1:25" ht="89.25" customHeight="1" x14ac:dyDescent="0.3">
      <c r="A62" s="582">
        <f>'Unit Data from Audit Worksheet'!A69</f>
        <v>11</v>
      </c>
      <c r="B62" s="117" t="str">
        <f>'Unit Data from Audit Worksheet'!C69</f>
        <v>General Fund-Balance Sheet</v>
      </c>
      <c r="C62" s="572" t="str">
        <f>'Unit Data from Audit Worksheet'!D69</f>
        <v>Fund balance, Restricted for Streets (unspent Powell Bill balance).  You may have to refer to the note disclosure where restricted fund balance is described.</v>
      </c>
      <c r="D62" s="110"/>
      <c r="E62" s="155">
        <f>'Unit Data from Audit Worksheet'!F69</f>
        <v>0</v>
      </c>
      <c r="F62" s="111">
        <f t="shared" si="8"/>
        <v>0</v>
      </c>
      <c r="G62" s="112"/>
      <c r="H62" s="113">
        <f>'Unit Data from Audit Worksheet'!I69</f>
        <v>0</v>
      </c>
      <c r="I62" s="38"/>
      <c r="J62" s="105">
        <v>11</v>
      </c>
      <c r="K62" s="44" t="s">
        <v>203</v>
      </c>
      <c r="L62" s="570">
        <f t="shared" si="7"/>
        <v>0</v>
      </c>
      <c r="P62" s="318"/>
      <c r="W62" s="3" t="b">
        <f t="shared" si="6"/>
        <v>1</v>
      </c>
      <c r="X62" s="567">
        <f t="shared" si="1"/>
        <v>0</v>
      </c>
      <c r="Y62" s="567">
        <f t="shared" si="2"/>
        <v>0</v>
      </c>
    </row>
    <row r="63" spans="1:25" s="18" customFormat="1" ht="48.75" customHeight="1" x14ac:dyDescent="0.3">
      <c r="A63" s="307">
        <f>'Unit Data from Audit Worksheet'!A70</f>
        <v>645</v>
      </c>
      <c r="B63" s="362" t="str">
        <f>'Unit Data from Audit Worksheet'!C70</f>
        <v>General Fund-Balance Sheet</v>
      </c>
      <c r="C63" s="307" t="str">
        <f>'Unit Data from Audit Worksheet'!D70</f>
        <v>Fund balance, Assigned (total of all assigned components)</v>
      </c>
      <c r="D63" s="116"/>
      <c r="E63" s="361">
        <f>'Unit Data from Audit Worksheet'!F70</f>
        <v>0</v>
      </c>
      <c r="F63" s="343">
        <f>IF(L63&lt;0,"Error: Enter as a positive.",)</f>
        <v>0</v>
      </c>
      <c r="G63" s="328"/>
      <c r="H63" s="343">
        <f>'Unit Data from Audit Worksheet'!I70</f>
        <v>0</v>
      </c>
      <c r="I63" s="583"/>
      <c r="J63" s="342">
        <v>645</v>
      </c>
      <c r="K63" s="307" t="s">
        <v>445</v>
      </c>
      <c r="L63" s="584">
        <f t="shared" si="7"/>
        <v>0</v>
      </c>
      <c r="M63" s="574"/>
      <c r="N63" s="574"/>
      <c r="O63" s="574"/>
      <c r="P63" s="319"/>
      <c r="Q63" s="575"/>
      <c r="R63" s="3"/>
      <c r="S63" s="574"/>
      <c r="T63" s="574"/>
      <c r="U63" s="574"/>
      <c r="V63" s="574"/>
      <c r="W63" s="18" t="b">
        <f t="shared" si="6"/>
        <v>1</v>
      </c>
      <c r="X63" s="576">
        <f t="shared" si="1"/>
        <v>0</v>
      </c>
      <c r="Y63" s="576">
        <f t="shared" si="2"/>
        <v>0</v>
      </c>
    </row>
    <row r="64" spans="1:25" s="18" customFormat="1" ht="45.75" customHeight="1" x14ac:dyDescent="0.3">
      <c r="A64" s="307">
        <f>'Unit Data from Audit Worksheet'!A71</f>
        <v>646</v>
      </c>
      <c r="B64" s="362" t="str">
        <f>'Unit Data from Audit Worksheet'!C71</f>
        <v>General Fund-Balance Sheet</v>
      </c>
      <c r="C64" s="307" t="str">
        <f>'Unit Data from Audit Worksheet'!D71</f>
        <v>Fund Balance, Unassigned</v>
      </c>
      <c r="D64" s="116"/>
      <c r="E64" s="361">
        <f>'Unit Data from Audit Worksheet'!F71</f>
        <v>0</v>
      </c>
      <c r="F64" s="343">
        <f>IF(L64&lt;0,"Error: Enter as a positive.",)</f>
        <v>0</v>
      </c>
      <c r="G64" s="328"/>
      <c r="H64" s="343">
        <f>'Unit Data from Audit Worksheet'!I71</f>
        <v>0</v>
      </c>
      <c r="I64" s="583"/>
      <c r="J64" s="342">
        <v>646</v>
      </c>
      <c r="K64" s="307" t="s">
        <v>446</v>
      </c>
      <c r="L64" s="584">
        <f t="shared" si="7"/>
        <v>0</v>
      </c>
      <c r="M64" s="574"/>
      <c r="N64" s="574"/>
      <c r="O64" s="574"/>
      <c r="P64" s="319"/>
      <c r="Q64" s="575"/>
      <c r="R64" s="3"/>
      <c r="S64" s="574"/>
      <c r="T64" s="574"/>
      <c r="U64" s="574"/>
      <c r="V64" s="574"/>
      <c r="W64" s="18" t="b">
        <f t="shared" si="6"/>
        <v>1</v>
      </c>
      <c r="X64" s="576">
        <f t="shared" si="1"/>
        <v>0</v>
      </c>
      <c r="Y64" s="576">
        <f t="shared" si="2"/>
        <v>0</v>
      </c>
    </row>
    <row r="65" spans="1:27" ht="55.5" customHeight="1" x14ac:dyDescent="0.3">
      <c r="A65" s="568">
        <f>'Unit Data from Audit Worksheet'!A72</f>
        <v>9</v>
      </c>
      <c r="B65" s="118" t="str">
        <f>'Unit Data from Audit Worksheet'!C72</f>
        <v>General Fund-Balance Sheet</v>
      </c>
      <c r="C65" s="585" t="str">
        <f>'Unit Data from Audit Worksheet'!D72</f>
        <v>Total Fund balance (enter fund deficits as negative)</v>
      </c>
      <c r="D65" s="144"/>
      <c r="E65" s="153">
        <f>'Unit Data from Audit Worksheet'!F72</f>
        <v>0</v>
      </c>
      <c r="F65" s="119">
        <f>IF(L55-L57-L58-L59-L65=0,,"Error: Total assets less total liabilities do not equal Acct +379-4-5-380-9=0")</f>
        <v>0</v>
      </c>
      <c r="G65" s="120">
        <f>L55-L57-L58-L59-L65</f>
        <v>0</v>
      </c>
      <c r="H65" s="347">
        <f>'Unit Data from Audit Worksheet'!I72</f>
        <v>0</v>
      </c>
      <c r="I65" s="38"/>
      <c r="J65" s="121">
        <v>9</v>
      </c>
      <c r="K65" s="51" t="s">
        <v>204</v>
      </c>
      <c r="L65" s="581">
        <f t="shared" si="7"/>
        <v>0</v>
      </c>
      <c r="O65" s="578" t="e">
        <f>'Unit Data from Audit Worksheet'!E72</f>
        <v>#N/A</v>
      </c>
      <c r="P65" s="316"/>
      <c r="Q65" s="560">
        <f>IF(G65&lt;&gt;0,1,0)</f>
        <v>0</v>
      </c>
      <c r="W65" s="3" t="b">
        <f t="shared" si="6"/>
        <v>1</v>
      </c>
      <c r="X65" s="567">
        <f t="shared" si="1"/>
        <v>0</v>
      </c>
      <c r="Y65" s="567">
        <f t="shared" si="2"/>
        <v>0</v>
      </c>
    </row>
    <row r="66" spans="1:27" s="18" customFormat="1" ht="73.5" customHeight="1" x14ac:dyDescent="0.3">
      <c r="A66" s="335">
        <f>'Unit Data from Audit Worksheet'!A73</f>
        <v>540</v>
      </c>
      <c r="B66" s="349" t="str">
        <f>'Unit Data from Audit Worksheet'!C73</f>
        <v>General Fund - Budget Actual Statement</v>
      </c>
      <c r="C66" s="334" t="str">
        <f>'Unit Data from Audit Worksheet'!D73</f>
        <v>Amount of the General Fund Balance appropriated in next year's budget. As reported on the General Fund Balance Sheet.</v>
      </c>
      <c r="D66" s="144"/>
      <c r="E66" s="355">
        <f>'Unit Data from Audit Worksheet'!F73</f>
        <v>0</v>
      </c>
      <c r="F66" s="348">
        <f t="shared" si="8"/>
        <v>0</v>
      </c>
      <c r="G66" s="350"/>
      <c r="H66" s="347">
        <f>'Unit Data from Audit Worksheet'!I73</f>
        <v>0</v>
      </c>
      <c r="I66" s="38"/>
      <c r="J66" s="346">
        <v>540</v>
      </c>
      <c r="K66" s="345" t="s">
        <v>263</v>
      </c>
      <c r="L66" s="570">
        <f t="shared" ref="L66:L123" si="9">IF(D66="",E66,D66)</f>
        <v>0</v>
      </c>
      <c r="P66" s="317"/>
      <c r="Q66" s="560"/>
      <c r="R66" s="3"/>
      <c r="W66" s="3" t="b">
        <f t="shared" si="6"/>
        <v>1</v>
      </c>
      <c r="X66" s="567">
        <f t="shared" si="1"/>
        <v>0</v>
      </c>
      <c r="Y66" s="567">
        <f t="shared" si="2"/>
        <v>0</v>
      </c>
      <c r="AA66" s="3"/>
    </row>
    <row r="67" spans="1:27" s="18" customFormat="1" ht="73.5" customHeight="1" x14ac:dyDescent="0.3">
      <c r="A67" s="586">
        <f>'Unit Data from Audit Worksheet'!A75</f>
        <v>984</v>
      </c>
      <c r="B67" s="353" t="str">
        <f>'Unit Data from Audit Worksheet'!C75</f>
        <v>General Fund - Budget Actual Statement</v>
      </c>
      <c r="C67" s="587" t="str">
        <f>'Unit Data from Audit Worksheet'!D75</f>
        <v>Amount of Ad valorem tax collected (including motor vehicle and prior years) reported on budget actual statement</v>
      </c>
      <c r="D67" s="144"/>
      <c r="E67" s="356">
        <f>'Unit Data from Audit Worksheet'!F75</f>
        <v>0</v>
      </c>
      <c r="F67" s="348"/>
      <c r="G67" s="350"/>
      <c r="H67" s="347"/>
      <c r="I67" s="38"/>
      <c r="J67" s="364">
        <v>984</v>
      </c>
      <c r="K67" s="126" t="s">
        <v>793</v>
      </c>
      <c r="L67" s="588">
        <f t="shared" si="9"/>
        <v>0</v>
      </c>
      <c r="P67" s="317"/>
      <c r="Q67" s="560"/>
      <c r="R67" s="3"/>
      <c r="W67" s="3"/>
      <c r="X67" s="567"/>
      <c r="Y67" s="567"/>
      <c r="AA67" s="3"/>
    </row>
    <row r="68" spans="1:27" s="18" customFormat="1" ht="73.5" customHeight="1" x14ac:dyDescent="0.3">
      <c r="A68" s="586">
        <f>'Unit Data from Audit Worksheet'!A76</f>
        <v>985</v>
      </c>
      <c r="B68" s="353" t="str">
        <f>'Unit Data from Audit Worksheet'!C76</f>
        <v>General Fund - Budget Actual Statement</v>
      </c>
      <c r="C68" s="587" t="str">
        <f>'Unit Data from Audit Worksheet'!D76</f>
        <v>Amount of Ad valorem tax budgeted (including motor vehicle and prior years) reported on budget actual statement</v>
      </c>
      <c r="D68" s="144"/>
      <c r="E68" s="356">
        <f>'Unit Data from Audit Worksheet'!F76</f>
        <v>0</v>
      </c>
      <c r="F68" s="348"/>
      <c r="G68" s="350"/>
      <c r="H68" s="347"/>
      <c r="I68" s="38"/>
      <c r="J68" s="364">
        <v>985</v>
      </c>
      <c r="K68" s="126" t="s">
        <v>794</v>
      </c>
      <c r="L68" s="588">
        <f t="shared" si="9"/>
        <v>0</v>
      </c>
      <c r="P68" s="317"/>
      <c r="Q68" s="560"/>
      <c r="R68" s="3"/>
      <c r="W68" s="3"/>
      <c r="X68" s="567"/>
      <c r="Y68" s="567"/>
      <c r="AA68" s="3"/>
    </row>
    <row r="69" spans="1:27" ht="73.5" customHeight="1" x14ac:dyDescent="0.3">
      <c r="A69" s="335">
        <f>'Unit Data from Audit Worksheet'!A77</f>
        <v>369</v>
      </c>
      <c r="B69" s="349" t="str">
        <f>'Unit Data from Audit Worksheet'!C77</f>
        <v>General Fund-Rev, Exp. Change in Fund Balance</v>
      </c>
      <c r="C69" s="334" t="str">
        <f>'Unit Data from Audit Worksheet'!D77</f>
        <v>Total Intergovernmental revenue 
Include restricted and unrestricted revenues</v>
      </c>
      <c r="D69" s="144"/>
      <c r="E69" s="355">
        <f>'Unit Data from Audit Worksheet'!F77</f>
        <v>0</v>
      </c>
      <c r="F69" s="348"/>
      <c r="G69" s="350"/>
      <c r="H69" s="347">
        <f>'Unit Data from Audit Worksheet'!I77</f>
        <v>0</v>
      </c>
      <c r="I69" s="38"/>
      <c r="J69" s="346">
        <v>369</v>
      </c>
      <c r="K69" s="345" t="s">
        <v>205</v>
      </c>
      <c r="L69" s="570">
        <f t="shared" si="9"/>
        <v>0</v>
      </c>
      <c r="P69" s="317"/>
      <c r="W69" s="3" t="b">
        <f t="shared" ref="W69:W132" si="10">EXACT(A69,J69)</f>
        <v>1</v>
      </c>
      <c r="X69" s="567">
        <f t="shared" si="1"/>
        <v>0</v>
      </c>
      <c r="Y69" s="567">
        <f t="shared" si="2"/>
        <v>0</v>
      </c>
    </row>
    <row r="70" spans="1:27" ht="73.5" customHeight="1" x14ac:dyDescent="0.3">
      <c r="A70" s="335">
        <f>'Unit Data from Audit Worksheet'!A78</f>
        <v>16</v>
      </c>
      <c r="B70" s="349" t="str">
        <f>'Unit Data from Audit Worksheet'!C78</f>
        <v>General Fund-Rev, Exp. Change in Fund Balance</v>
      </c>
      <c r="C70" s="334" t="str">
        <f>'Unit Data from Audit Worksheet'!D78</f>
        <v>Total revenues</v>
      </c>
      <c r="D70" s="144"/>
      <c r="E70" s="355">
        <f>'Unit Data from Audit Worksheet'!F78</f>
        <v>0</v>
      </c>
      <c r="F70" s="348"/>
      <c r="G70" s="350"/>
      <c r="H70" s="347">
        <f>'Unit Data from Audit Worksheet'!I78</f>
        <v>0</v>
      </c>
      <c r="I70" s="38"/>
      <c r="J70" s="346">
        <v>16</v>
      </c>
      <c r="K70" s="345" t="s">
        <v>206</v>
      </c>
      <c r="L70" s="570">
        <f t="shared" si="9"/>
        <v>0</v>
      </c>
      <c r="P70" s="317"/>
      <c r="W70" s="3" t="b">
        <f t="shared" si="10"/>
        <v>1</v>
      </c>
      <c r="X70" s="567">
        <f t="shared" si="1"/>
        <v>0</v>
      </c>
      <c r="Y70" s="567">
        <f t="shared" si="2"/>
        <v>0</v>
      </c>
    </row>
    <row r="71" spans="1:27" ht="73.5" customHeight="1" x14ac:dyDescent="0.3">
      <c r="A71" s="335">
        <f>'Unit Data from Audit Worksheet'!A79</f>
        <v>370</v>
      </c>
      <c r="B71" s="349" t="str">
        <f>'Unit Data from Audit Worksheet'!C79</f>
        <v>General Fund-Rev, Exp. Change in Fund Balance</v>
      </c>
      <c r="C71" s="334" t="str">
        <f>'Unit Data from Audit Worksheet'!D79</f>
        <v>Debt service expenditures. 
Include principal, interest paid, and bond/debt issuance costs on long-term debt</v>
      </c>
      <c r="D71" s="144"/>
      <c r="E71" s="355">
        <f>'Unit Data from Audit Worksheet'!F79</f>
        <v>0</v>
      </c>
      <c r="F71" s="348">
        <f t="shared" ref="F71:F77" si="11">IF(L71&lt;0,"Error: Enter as a positive.",)</f>
        <v>0</v>
      </c>
      <c r="G71" s="350"/>
      <c r="H71" s="347">
        <f>'Unit Data from Audit Worksheet'!I79</f>
        <v>0</v>
      </c>
      <c r="I71" s="38"/>
      <c r="J71" s="346">
        <v>370</v>
      </c>
      <c r="K71" s="345" t="s">
        <v>207</v>
      </c>
      <c r="L71" s="570">
        <f t="shared" si="9"/>
        <v>0</v>
      </c>
      <c r="P71" s="317"/>
      <c r="W71" s="3" t="b">
        <f t="shared" si="10"/>
        <v>1</v>
      </c>
      <c r="X71" s="567">
        <f t="shared" si="1"/>
        <v>0</v>
      </c>
      <c r="Y71" s="567">
        <f t="shared" si="2"/>
        <v>0</v>
      </c>
    </row>
    <row r="72" spans="1:27" ht="73.5" customHeight="1" x14ac:dyDescent="0.3">
      <c r="A72" s="335">
        <f>'Unit Data from Audit Worksheet'!A80</f>
        <v>532</v>
      </c>
      <c r="B72" s="349" t="str">
        <f>'Unit Data from Audit Worksheet'!C80</f>
        <v>General Fund-Rev, Exp. Change in Fund Balance</v>
      </c>
      <c r="C72" s="334" t="str">
        <f>'Unit Data from Audit Worksheet'!D80</f>
        <v xml:space="preserve">Total expenditures  
Exclude expenditures in the "other financing sources (uses)" section.
</v>
      </c>
      <c r="D72" s="144"/>
      <c r="E72" s="355">
        <f>'Unit Data from Audit Worksheet'!F80</f>
        <v>0</v>
      </c>
      <c r="F72" s="348">
        <f t="shared" si="11"/>
        <v>0</v>
      </c>
      <c r="G72" s="350"/>
      <c r="H72" s="347">
        <f>'Unit Data from Audit Worksheet'!I80</f>
        <v>0</v>
      </c>
      <c r="I72" s="38"/>
      <c r="J72" s="346">
        <v>532</v>
      </c>
      <c r="K72" s="589" t="s">
        <v>208</v>
      </c>
      <c r="L72" s="570">
        <f t="shared" si="9"/>
        <v>0</v>
      </c>
      <c r="P72" s="317"/>
      <c r="W72" s="3" t="b">
        <f t="shared" si="10"/>
        <v>1</v>
      </c>
      <c r="X72" s="567">
        <f t="shared" si="1"/>
        <v>0</v>
      </c>
      <c r="Y72" s="567">
        <f t="shared" si="2"/>
        <v>0</v>
      </c>
    </row>
    <row r="73" spans="1:27" ht="73.5" customHeight="1" x14ac:dyDescent="0.3">
      <c r="A73" s="335">
        <f>'Unit Data from Audit Worksheet'!A81</f>
        <v>17</v>
      </c>
      <c r="B73" s="349" t="str">
        <f>'Unit Data from Audit Worksheet'!C81</f>
        <v>General Fund-Rev, Exp. Change in Fund Balance</v>
      </c>
      <c r="C73" s="334" t="str">
        <f>'Unit Data from Audit Worksheet'!D81</f>
        <v>Total Transfers in    (Preference is that transfers-in  are not netted against transfers-out)</v>
      </c>
      <c r="D73" s="144"/>
      <c r="E73" s="355">
        <f>'Unit Data from Audit Worksheet'!F81</f>
        <v>0</v>
      </c>
      <c r="F73" s="348">
        <f t="shared" si="11"/>
        <v>0</v>
      </c>
      <c r="G73" s="350"/>
      <c r="H73" s="347">
        <f>'Unit Data from Audit Worksheet'!I81</f>
        <v>0</v>
      </c>
      <c r="I73" s="38"/>
      <c r="J73" s="346">
        <v>17</v>
      </c>
      <c r="K73" s="345" t="s">
        <v>209</v>
      </c>
      <c r="L73" s="570">
        <f t="shared" si="9"/>
        <v>0</v>
      </c>
      <c r="P73" s="317"/>
      <c r="W73" s="3" t="b">
        <f t="shared" si="10"/>
        <v>1</v>
      </c>
      <c r="X73" s="567">
        <f t="shared" si="1"/>
        <v>0</v>
      </c>
      <c r="Y73" s="567">
        <f t="shared" si="2"/>
        <v>0</v>
      </c>
    </row>
    <row r="74" spans="1:27" ht="54.75" customHeight="1" x14ac:dyDescent="0.3">
      <c r="A74" s="335">
        <f>'Unit Data from Audit Worksheet'!A82</f>
        <v>20</v>
      </c>
      <c r="B74" s="349" t="str">
        <f>'Unit Data from Audit Worksheet'!C82</f>
        <v>General Fund-Rev, Exp. Change in Fund Balance</v>
      </c>
      <c r="C74" s="334" t="str">
        <f>'Unit Data from Audit Worksheet'!D82</f>
        <v>Total Transfers out    (Preference is that transfers-in  are not netted against transfers-out)</v>
      </c>
      <c r="D74" s="144"/>
      <c r="E74" s="355">
        <f>'Unit Data from Audit Worksheet'!F82</f>
        <v>0</v>
      </c>
      <c r="F74" s="348">
        <f t="shared" si="11"/>
        <v>0</v>
      </c>
      <c r="G74" s="350"/>
      <c r="H74" s="347">
        <f>'Unit Data from Audit Worksheet'!I82</f>
        <v>0</v>
      </c>
      <c r="I74" s="38"/>
      <c r="J74" s="346">
        <v>20</v>
      </c>
      <c r="K74" s="345" t="s">
        <v>210</v>
      </c>
      <c r="L74" s="570">
        <f t="shared" si="9"/>
        <v>0</v>
      </c>
      <c r="P74" s="317"/>
      <c r="W74" s="3" t="b">
        <f t="shared" si="10"/>
        <v>1</v>
      </c>
      <c r="X74" s="567">
        <f t="shared" si="1"/>
        <v>0</v>
      </c>
      <c r="Y74" s="567">
        <f t="shared" si="2"/>
        <v>0</v>
      </c>
    </row>
    <row r="75" spans="1:27" ht="54.75" customHeight="1" x14ac:dyDescent="0.3">
      <c r="A75" s="335">
        <f>'Unit Data from Audit Worksheet'!A83</f>
        <v>533</v>
      </c>
      <c r="B75" s="349" t="str">
        <f>'Unit Data from Audit Worksheet'!C83</f>
        <v>General Fund-Rev, Exp. Change in Fund Balance</v>
      </c>
      <c r="C75" s="334" t="str">
        <f>'Unit Data from Audit Worksheet'!D83</f>
        <v>Total Proceeds from all long-term debt issuances 
Exclude proceeds from refundings</v>
      </c>
      <c r="D75" s="144"/>
      <c r="E75" s="355">
        <f>'Unit Data from Audit Worksheet'!F83</f>
        <v>0</v>
      </c>
      <c r="F75" s="348">
        <f t="shared" si="11"/>
        <v>0</v>
      </c>
      <c r="G75" s="350"/>
      <c r="H75" s="347">
        <f>'Unit Data from Audit Worksheet'!I83</f>
        <v>0</v>
      </c>
      <c r="I75" s="38"/>
      <c r="J75" s="346">
        <v>533</v>
      </c>
      <c r="K75" s="589" t="s">
        <v>211</v>
      </c>
      <c r="L75" s="570">
        <f t="shared" si="9"/>
        <v>0</v>
      </c>
      <c r="P75" s="317"/>
      <c r="W75" s="3" t="b">
        <f t="shared" si="10"/>
        <v>1</v>
      </c>
      <c r="X75" s="567">
        <f t="shared" si="1"/>
        <v>0</v>
      </c>
      <c r="Y75" s="567">
        <f t="shared" si="2"/>
        <v>0</v>
      </c>
    </row>
    <row r="76" spans="1:27" ht="54.75" customHeight="1" x14ac:dyDescent="0.3">
      <c r="A76" s="335">
        <f>'Unit Data from Audit Worksheet'!A84</f>
        <v>508</v>
      </c>
      <c r="B76" s="349" t="str">
        <f>'Unit Data from Audit Worksheet'!C84</f>
        <v>General Fund-Rev, Exp. Change in Fund Balance</v>
      </c>
      <c r="C76" s="334" t="str">
        <f>'Unit Data from Audit Worksheet'!D84</f>
        <v>Debt Refunding - Net refunding proceeds against debt payoff and if positive place results on this line.</v>
      </c>
      <c r="D76" s="144"/>
      <c r="E76" s="355">
        <f>'Unit Data from Audit Worksheet'!F84</f>
        <v>0</v>
      </c>
      <c r="F76" s="348">
        <f t="shared" si="11"/>
        <v>0</v>
      </c>
      <c r="G76" s="350"/>
      <c r="H76" s="347">
        <f>'Unit Data from Audit Worksheet'!I84</f>
        <v>0</v>
      </c>
      <c r="I76" s="38"/>
      <c r="J76" s="346">
        <v>508</v>
      </c>
      <c r="K76" s="345" t="s">
        <v>213</v>
      </c>
      <c r="L76" s="570">
        <f t="shared" si="9"/>
        <v>0</v>
      </c>
      <c r="P76" s="317"/>
      <c r="W76" s="3" t="b">
        <f t="shared" si="10"/>
        <v>1</v>
      </c>
      <c r="X76" s="567">
        <f t="shared" si="1"/>
        <v>0</v>
      </c>
      <c r="Y76" s="567">
        <f t="shared" si="2"/>
        <v>0</v>
      </c>
    </row>
    <row r="77" spans="1:27" ht="54.75" customHeight="1" x14ac:dyDescent="0.3">
      <c r="A77" s="335">
        <f>'Unit Data from Audit Worksheet'!A85</f>
        <v>509</v>
      </c>
      <c r="B77" s="349" t="str">
        <f>'Unit Data from Audit Worksheet'!C85</f>
        <v>General Fund-Rev, Exp. Change in Fund Balance</v>
      </c>
      <c r="C77" s="334" t="str">
        <f>'Unit Data from Audit Worksheet'!D85</f>
        <v>Debt Refunding - Net refunding proceeds against debt payoff and if negative place results on this line.</v>
      </c>
      <c r="D77" s="144"/>
      <c r="E77" s="355">
        <f>'Unit Data from Audit Worksheet'!F85</f>
        <v>0</v>
      </c>
      <c r="F77" s="348">
        <f t="shared" si="11"/>
        <v>0</v>
      </c>
      <c r="G77" s="350"/>
      <c r="H77" s="347">
        <f>'Unit Data from Audit Worksheet'!I85</f>
        <v>0</v>
      </c>
      <c r="I77" s="38"/>
      <c r="J77" s="346">
        <v>509</v>
      </c>
      <c r="K77" s="345" t="s">
        <v>214</v>
      </c>
      <c r="L77" s="570">
        <f t="shared" si="9"/>
        <v>0</v>
      </c>
      <c r="P77" s="317"/>
      <c r="W77" s="3" t="b">
        <f t="shared" si="10"/>
        <v>1</v>
      </c>
      <c r="X77" s="567">
        <f t="shared" si="1"/>
        <v>0</v>
      </c>
      <c r="Y77" s="567">
        <f t="shared" si="2"/>
        <v>0</v>
      </c>
    </row>
    <row r="78" spans="1:27" ht="84.75" customHeight="1" x14ac:dyDescent="0.3">
      <c r="A78" s="335">
        <f>'Unit Data from Audit Worksheet'!A86</f>
        <v>22</v>
      </c>
      <c r="B78" s="349" t="str">
        <f>'Unit Data from Audit Worksheet'!C86</f>
        <v>General Fund-Rev, Exp. Change in Fund Balance</v>
      </c>
      <c r="C78" s="334" t="str">
        <f>'Unit Data from Audit Worksheet'!D86</f>
        <v xml:space="preserve">All other items on this statement that were not included in total revenues, total expenditures, transfers in or out, or proceeds from long-term debt above.  </v>
      </c>
      <c r="D78" s="144"/>
      <c r="E78" s="355">
        <f>'Unit Data from Audit Worksheet'!F86</f>
        <v>0</v>
      </c>
      <c r="F78" s="348"/>
      <c r="G78" s="350"/>
      <c r="H78" s="347">
        <f>'Unit Data from Audit Worksheet'!I86</f>
        <v>0</v>
      </c>
      <c r="I78" s="38"/>
      <c r="J78" s="346">
        <v>22</v>
      </c>
      <c r="K78" s="345" t="s">
        <v>212</v>
      </c>
      <c r="L78" s="570">
        <f t="shared" si="9"/>
        <v>0</v>
      </c>
      <c r="P78" s="317"/>
      <c r="W78" s="3" t="b">
        <f t="shared" si="10"/>
        <v>1</v>
      </c>
      <c r="X78" s="567">
        <f t="shared" si="1"/>
        <v>0</v>
      </c>
      <c r="Y78" s="567">
        <f t="shared" si="2"/>
        <v>0</v>
      </c>
    </row>
    <row r="79" spans="1:27" ht="74.25" customHeight="1" x14ac:dyDescent="0.3">
      <c r="A79" s="335">
        <f>'Unit Data from Audit Worksheet'!A87</f>
        <v>23</v>
      </c>
      <c r="B79" s="349" t="str">
        <f>'Unit Data from Audit Worksheet'!C87</f>
        <v>General Fund-Rev, Exp. Change in Fund Balance</v>
      </c>
      <c r="C79" s="334" t="str">
        <f>'Unit Data from Audit Worksheet'!D87</f>
        <v>Change in fund balance - (Increase in Fund balance is recorded as a positive and a decrease in fund balance is recorded as a negative)</v>
      </c>
      <c r="D79" s="144"/>
      <c r="E79" s="355">
        <f>'Unit Data from Audit Worksheet'!F87</f>
        <v>0</v>
      </c>
      <c r="F79" s="348">
        <f>IF(+L70-L72+L73-L74+L75+L76-L77+L78-L79=0,,"Error:Total revenues less toal Expenditures do not equal change in fund balance")</f>
        <v>0</v>
      </c>
      <c r="G79" s="91">
        <f>+L70-L72+L73-L74+L75+L78+L76-L77-L79</f>
        <v>0</v>
      </c>
      <c r="H79" s="347">
        <f>'Unit Data from Audit Worksheet'!I87</f>
        <v>0</v>
      </c>
      <c r="I79" s="38"/>
      <c r="J79" s="346">
        <v>23</v>
      </c>
      <c r="K79" s="345" t="s">
        <v>215</v>
      </c>
      <c r="L79" s="570">
        <f t="shared" si="9"/>
        <v>0</v>
      </c>
      <c r="P79" s="317"/>
      <c r="Q79" s="560">
        <f>IF(G79&lt;&gt;0,1,0)</f>
        <v>0</v>
      </c>
      <c r="W79" s="3" t="b">
        <f t="shared" si="10"/>
        <v>1</v>
      </c>
      <c r="X79" s="567">
        <f t="shared" si="1"/>
        <v>0</v>
      </c>
      <c r="Y79" s="567">
        <f t="shared" si="2"/>
        <v>0</v>
      </c>
    </row>
    <row r="80" spans="1:27" ht="123" customHeight="1" x14ac:dyDescent="0.3">
      <c r="A80" s="582">
        <f>'Unit Data from Audit Worksheet'!A89</f>
        <v>507</v>
      </c>
      <c r="B80" s="117" t="str">
        <f>'Unit Data from Audit Worksheet'!C89</f>
        <v>General Fund-Rev, Exp. Change in Fund Balance</v>
      </c>
      <c r="C80" s="327"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10"/>
      <c r="E80" s="155">
        <f>'Unit Data from Audit Worksheet'!F89</f>
        <v>0</v>
      </c>
      <c r="F80" s="111" t="e">
        <f>IF(+L65-L79-L80=O65,,"Error: Beginning Fund Bal does not equal our records Accts 9-23-507= PY9")</f>
        <v>#N/A</v>
      </c>
      <c r="G80" s="122" t="e">
        <f>L65-L79-L80-O65</f>
        <v>#N/A</v>
      </c>
      <c r="H80" s="113">
        <f>'Unit Data from Audit Worksheet'!I89</f>
        <v>0</v>
      </c>
      <c r="I80" s="38"/>
      <c r="J80" s="105">
        <v>507</v>
      </c>
      <c r="K80" s="44" t="s">
        <v>216</v>
      </c>
      <c r="L80" s="570">
        <f t="shared" si="9"/>
        <v>0</v>
      </c>
      <c r="N80" s="579"/>
      <c r="O80" s="578"/>
      <c r="P80" s="318"/>
      <c r="Q80" s="560" t="e">
        <f>IF(G80&lt;&gt;0,1,0)</f>
        <v>#N/A</v>
      </c>
      <c r="W80" s="3" t="b">
        <f t="shared" si="10"/>
        <v>1</v>
      </c>
      <c r="X80" s="567">
        <f t="shared" si="1"/>
        <v>0</v>
      </c>
      <c r="Y80" s="567">
        <f t="shared" si="2"/>
        <v>0</v>
      </c>
    </row>
    <row r="81" spans="1:26" ht="123" customHeight="1" x14ac:dyDescent="0.3">
      <c r="A81" s="582">
        <f>'Unit Data from Audit Worksheet'!A90</f>
        <v>147</v>
      </c>
      <c r="B81" s="117" t="str">
        <f>'Unit Data from Audit Worksheet'!C90</f>
        <v>General Fund-Rev, Exp. Change in Fund Balance or General Fund Budget Actual</v>
      </c>
      <c r="C81" s="327"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58"/>
      <c r="E81" s="155">
        <f>'Unit Data from Audit Worksheet'!F90</f>
        <v>0</v>
      </c>
      <c r="F81" s="351"/>
      <c r="G81" s="359"/>
      <c r="H81" s="351"/>
      <c r="I81" s="38"/>
      <c r="J81" s="360">
        <v>147</v>
      </c>
      <c r="K81" s="352" t="s">
        <v>298</v>
      </c>
      <c r="L81" s="570">
        <f t="shared" si="9"/>
        <v>0</v>
      </c>
      <c r="N81" s="579"/>
      <c r="O81" s="578"/>
      <c r="P81" s="326"/>
      <c r="W81" s="3" t="b">
        <f t="shared" si="10"/>
        <v>1</v>
      </c>
      <c r="X81" s="567"/>
      <c r="Y81" s="567"/>
    </row>
    <row r="82" spans="1:26" ht="123" customHeight="1" x14ac:dyDescent="0.3">
      <c r="A82" s="582">
        <f>'Unit Data from Audit Worksheet'!A91</f>
        <v>585</v>
      </c>
      <c r="B82" s="117" t="str">
        <f>'Unit Data from Audit Worksheet'!C91</f>
        <v>General Fund-Rev, Exp. Change in Fund Balance or General Fund Budget Actual</v>
      </c>
      <c r="C82" s="572" t="str">
        <f>'Unit Data from Audit Worksheet'!D91</f>
        <v xml:space="preserve">How much of the above number in account 147 is from Timber Receipts sent to the schools </v>
      </c>
      <c r="D82" s="358"/>
      <c r="E82" s="155">
        <f>'Unit Data from Audit Worksheet'!F91</f>
        <v>0</v>
      </c>
      <c r="F82" s="351"/>
      <c r="G82" s="359"/>
      <c r="H82" s="351"/>
      <c r="I82" s="38"/>
      <c r="J82" s="360">
        <v>585</v>
      </c>
      <c r="K82" s="363" t="s">
        <v>374</v>
      </c>
      <c r="L82" s="570">
        <f t="shared" si="9"/>
        <v>0</v>
      </c>
      <c r="N82" s="579"/>
      <c r="O82" s="578"/>
      <c r="P82" s="326"/>
      <c r="W82" s="3" t="b">
        <f t="shared" si="10"/>
        <v>1</v>
      </c>
      <c r="X82" s="567"/>
      <c r="Y82" s="567"/>
    </row>
    <row r="83" spans="1:26" ht="123" customHeight="1" x14ac:dyDescent="0.3">
      <c r="A83" s="582">
        <f>'Unit Data from Audit Worksheet'!A92</f>
        <v>546</v>
      </c>
      <c r="B83" s="117" t="str">
        <f>'Unit Data from Audit Worksheet'!C92</f>
        <v>General Fund-Rev, Exp. Change in Fund Balance or General Fund Budget Actual</v>
      </c>
      <c r="C83" s="572" t="str">
        <f>'Unit Data from Audit Worksheet'!D92</f>
        <v>Amount of Supplemental School Tax revenue recorded in the governmental funds.</v>
      </c>
      <c r="D83" s="358"/>
      <c r="E83" s="155">
        <f>'Unit Data from Audit Worksheet'!F92</f>
        <v>0</v>
      </c>
      <c r="F83" s="351"/>
      <c r="G83" s="359"/>
      <c r="H83" s="351"/>
      <c r="I83" s="38"/>
      <c r="J83" s="360">
        <v>546</v>
      </c>
      <c r="K83" s="363" t="s">
        <v>538</v>
      </c>
      <c r="L83" s="570">
        <f t="shared" si="9"/>
        <v>0</v>
      </c>
      <c r="N83" s="579"/>
      <c r="O83" s="578"/>
      <c r="P83" s="326"/>
      <c r="W83" s="3" t="b">
        <f t="shared" si="10"/>
        <v>1</v>
      </c>
      <c r="X83" s="567"/>
      <c r="Y83" s="567"/>
    </row>
    <row r="84" spans="1:26" ht="123" customHeight="1" x14ac:dyDescent="0.3">
      <c r="A84" s="582">
        <f>'Unit Data from Audit Worksheet'!A93</f>
        <v>589</v>
      </c>
      <c r="B84" s="117" t="str">
        <f>'Unit Data from Audit Worksheet'!C93</f>
        <v>General Fund-Rev, Exp. Change in Fund Balance or General Fund Budget Actual</v>
      </c>
      <c r="C84" s="572" t="str">
        <f>'Unit Data from Audit Worksheet'!D93</f>
        <v>Amount of Supplemental School Tax revenue recorded in agency funds.</v>
      </c>
      <c r="D84" s="358"/>
      <c r="E84" s="155">
        <f>'Unit Data from Audit Worksheet'!F93</f>
        <v>0</v>
      </c>
      <c r="F84" s="351"/>
      <c r="G84" s="359"/>
      <c r="H84" s="351"/>
      <c r="I84" s="38"/>
      <c r="J84" s="360">
        <v>589</v>
      </c>
      <c r="K84" s="124" t="s">
        <v>952</v>
      </c>
      <c r="L84" s="570">
        <f t="shared" si="9"/>
        <v>0</v>
      </c>
      <c r="N84" s="579"/>
      <c r="O84" s="578"/>
      <c r="P84" s="326"/>
      <c r="W84" s="3" t="b">
        <f t="shared" si="10"/>
        <v>1</v>
      </c>
      <c r="X84" s="567"/>
      <c r="Y84" s="567"/>
    </row>
    <row r="85" spans="1:26" ht="123" customHeight="1" x14ac:dyDescent="0.3">
      <c r="A85" s="582">
        <f>'Unit Data from Audit Worksheet'!A94</f>
        <v>149</v>
      </c>
      <c r="B85" s="117" t="str">
        <f>'Unit Data from Audit Worksheet'!C94</f>
        <v>General Fund-Rev, Exp. Change in Fund Balance or General Fund Budget Actual</v>
      </c>
      <c r="C85" s="572"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58"/>
      <c r="E85" s="155">
        <f>'Unit Data from Audit Worksheet'!F94</f>
        <v>0</v>
      </c>
      <c r="F85" s="351"/>
      <c r="G85" s="359"/>
      <c r="H85" s="351"/>
      <c r="I85" s="38"/>
      <c r="J85" s="360">
        <v>149</v>
      </c>
      <c r="K85" s="254" t="s">
        <v>300</v>
      </c>
      <c r="L85" s="570">
        <f t="shared" si="9"/>
        <v>0</v>
      </c>
      <c r="N85" s="579"/>
      <c r="O85" s="578"/>
      <c r="P85" s="326"/>
      <c r="W85" s="3" t="b">
        <f t="shared" si="10"/>
        <v>1</v>
      </c>
      <c r="X85" s="567"/>
      <c r="Y85" s="567"/>
      <c r="Z85" s="3" t="s">
        <v>1028</v>
      </c>
    </row>
    <row r="86" spans="1:26" ht="123" customHeight="1" x14ac:dyDescent="0.3">
      <c r="A86" s="582">
        <f>'Unit Data from Audit Worksheet'!A95</f>
        <v>150</v>
      </c>
      <c r="B86" s="117" t="str">
        <f>'Unit Data from Audit Worksheet'!C95</f>
        <v>General Fund-Rev, Exp. Change in Fund Balance or General Fund Budget Actual</v>
      </c>
      <c r="C86" s="572"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58"/>
      <c r="E86" s="155">
        <f>'Unit Data from Audit Worksheet'!F95</f>
        <v>0</v>
      </c>
      <c r="F86" s="351"/>
      <c r="G86" s="359"/>
      <c r="H86" s="351"/>
      <c r="I86" s="38"/>
      <c r="J86" s="360">
        <v>150</v>
      </c>
      <c r="K86" s="254" t="s">
        <v>538</v>
      </c>
      <c r="L86" s="570">
        <f t="shared" si="9"/>
        <v>0</v>
      </c>
      <c r="N86" s="579"/>
      <c r="O86" s="578"/>
      <c r="P86" s="326"/>
      <c r="W86" s="3" t="b">
        <f t="shared" si="10"/>
        <v>1</v>
      </c>
      <c r="X86" s="567"/>
      <c r="Y86" s="567"/>
      <c r="Z86" s="3" t="s">
        <v>1028</v>
      </c>
    </row>
    <row r="87" spans="1:26" ht="123" customHeight="1" x14ac:dyDescent="0.3">
      <c r="A87" s="582">
        <f>'Unit Data from Audit Worksheet'!A96</f>
        <v>587</v>
      </c>
      <c r="B87" s="117" t="str">
        <f>'Unit Data from Audit Worksheet'!C96</f>
        <v xml:space="preserve">Fund 8 Rev, Exp. Change in Fund Balance Rpt. </v>
      </c>
      <c r="C87" s="572" t="str">
        <f>'Unit Data from Audit Worksheet'!D96</f>
        <v>Amount of Local Current Expense Funds received from the County transferred to Fund 8 this year.</v>
      </c>
      <c r="D87" s="358"/>
      <c r="E87" s="155">
        <f>'Unit Data from Audit Worksheet'!F96</f>
        <v>0</v>
      </c>
      <c r="F87" s="351"/>
      <c r="G87" s="359"/>
      <c r="H87" s="351"/>
      <c r="I87" s="38"/>
      <c r="J87" s="360">
        <v>587</v>
      </c>
      <c r="K87" s="254" t="s">
        <v>375</v>
      </c>
      <c r="L87" s="570">
        <f t="shared" si="9"/>
        <v>0</v>
      </c>
      <c r="N87" s="579"/>
      <c r="O87" s="578"/>
      <c r="P87" s="326"/>
      <c r="W87" s="3" t="b">
        <f t="shared" si="10"/>
        <v>1</v>
      </c>
      <c r="X87" s="567"/>
      <c r="Y87" s="567"/>
      <c r="Z87" s="3" t="s">
        <v>1028</v>
      </c>
    </row>
    <row r="88" spans="1:26" ht="123" customHeight="1" x14ac:dyDescent="0.3">
      <c r="A88" s="582">
        <f>'Unit Data from Audit Worksheet'!A97</f>
        <v>588</v>
      </c>
      <c r="B88" s="117" t="str">
        <f>'Unit Data from Audit Worksheet'!C97</f>
        <v xml:space="preserve">Fund 8 Rev, Exp. Change in Fund Balance Rpt. </v>
      </c>
      <c r="C88" s="572" t="str">
        <f>'Unit Data from Audit Worksheet'!D97</f>
        <v>Amount of Capital Outlay Funds received from the County transferred to Fund 8 this year.</v>
      </c>
      <c r="D88" s="358"/>
      <c r="E88" s="155">
        <f>'Unit Data from Audit Worksheet'!F97</f>
        <v>0</v>
      </c>
      <c r="F88" s="351"/>
      <c r="G88" s="359"/>
      <c r="H88" s="351"/>
      <c r="I88" s="38"/>
      <c r="J88" s="360">
        <v>588</v>
      </c>
      <c r="K88" s="254" t="s">
        <v>376</v>
      </c>
      <c r="L88" s="570">
        <f t="shared" si="9"/>
        <v>0</v>
      </c>
      <c r="N88" s="579"/>
      <c r="O88" s="578"/>
      <c r="P88" s="326"/>
      <c r="W88" s="3" t="b">
        <f t="shared" si="10"/>
        <v>1</v>
      </c>
      <c r="X88" s="567"/>
      <c r="Y88" s="567"/>
      <c r="Z88" s="3" t="s">
        <v>1028</v>
      </c>
    </row>
    <row r="89" spans="1:26" s="18" customFormat="1" ht="40.5" customHeight="1" x14ac:dyDescent="0.3">
      <c r="A89" s="307">
        <f>'Unit Data from Audit Worksheet'!A98</f>
        <v>647</v>
      </c>
      <c r="B89" s="362" t="str">
        <f>'Unit Data from Audit Worksheet'!C98</f>
        <v>Debt Service Fund</v>
      </c>
      <c r="C89" s="307" t="str">
        <f>'Unit Data from Audit Worksheet'!D98</f>
        <v>Please enter the Total Fund Balance for any Debt Service Funds</v>
      </c>
      <c r="D89" s="116"/>
      <c r="E89" s="361">
        <f>'Unit Data from Audit Worksheet'!F98</f>
        <v>0</v>
      </c>
      <c r="F89" s="343"/>
      <c r="G89" s="338"/>
      <c r="H89" s="343">
        <f>'Unit Data from Audit Worksheet'!I98</f>
        <v>0</v>
      </c>
      <c r="I89" s="583"/>
      <c r="J89" s="342">
        <v>647</v>
      </c>
      <c r="K89" s="310" t="s">
        <v>1241</v>
      </c>
      <c r="L89" s="584">
        <f>IF(D89="",E89,D89)</f>
        <v>0</v>
      </c>
      <c r="M89" s="574"/>
      <c r="N89" s="574"/>
      <c r="O89" s="590"/>
      <c r="P89" s="319"/>
      <c r="Q89" s="575"/>
      <c r="R89" s="3"/>
      <c r="S89" s="574"/>
      <c r="T89" s="574"/>
      <c r="U89" s="574"/>
      <c r="V89" s="574"/>
      <c r="W89" s="18" t="b">
        <f t="shared" si="10"/>
        <v>1</v>
      </c>
      <c r="X89" s="576">
        <f t="shared" si="1"/>
        <v>0</v>
      </c>
      <c r="Y89" s="576">
        <f t="shared" si="2"/>
        <v>0</v>
      </c>
    </row>
    <row r="90" spans="1:26" s="18" customFormat="1" ht="66" customHeight="1" x14ac:dyDescent="0.3">
      <c r="A90" s="307">
        <f>'Unit Data from Audit Worksheet'!A100</f>
        <v>148</v>
      </c>
      <c r="B90" s="362" t="str">
        <f>'Unit Data from Audit Worksheet'!C100</f>
        <v>All Gov. Funds Rev, Exp. Change in Fund Balance</v>
      </c>
      <c r="C90" s="341" t="str">
        <f>'Unit Data from Audit Worksheet'!D100</f>
        <v>Capital Outlay contributions to the BOEs (include amounts from general fund, capital project funds and any other fund sent to the BOE as part of capital outlay)</v>
      </c>
      <c r="D90" s="358"/>
      <c r="E90" s="361">
        <f>'Unit Data from Audit Worksheet'!F100</f>
        <v>0</v>
      </c>
      <c r="F90" s="351"/>
      <c r="G90" s="359"/>
      <c r="H90" s="351"/>
      <c r="I90" s="38"/>
      <c r="J90" s="360">
        <v>148</v>
      </c>
      <c r="K90" s="352" t="s">
        <v>299</v>
      </c>
      <c r="L90" s="570">
        <f t="shared" si="9"/>
        <v>0</v>
      </c>
      <c r="M90" s="591"/>
      <c r="N90" s="591"/>
      <c r="O90" s="592"/>
      <c r="P90" s="326"/>
      <c r="Q90" s="593"/>
      <c r="R90" s="3"/>
      <c r="S90" s="591"/>
      <c r="T90" s="591"/>
      <c r="U90" s="591"/>
      <c r="V90" s="591"/>
      <c r="W90" s="591" t="b">
        <f t="shared" si="10"/>
        <v>1</v>
      </c>
      <c r="X90" s="576"/>
      <c r="Y90" s="576"/>
    </row>
    <row r="91" spans="1:26" ht="60" customHeight="1" x14ac:dyDescent="0.3">
      <c r="A91" s="568">
        <f>'Unit Data from Audit Worksheet'!A101</f>
        <v>171</v>
      </c>
      <c r="B91" s="54" t="str">
        <f>'Unit Data from Audit Worksheet'!C101</f>
        <v>Fund Statements - all Governmental Funds</v>
      </c>
      <c r="C91" s="569" t="str">
        <f>'Unit Data from Audit Worksheet'!D101</f>
        <v>Debt service expenditures from all governmental funds.  Include principal, interest paid, and debt issuance costs on long-term debt.</v>
      </c>
      <c r="D91" s="354"/>
      <c r="E91" s="152">
        <f>'Unit Data from Audit Worksheet'!F101</f>
        <v>0</v>
      </c>
      <c r="F91" s="47">
        <f>IF(L91&lt;0,"Error: Enter as a positive.",)</f>
        <v>0</v>
      </c>
      <c r="G91" s="72"/>
      <c r="H91" s="347">
        <f>'Unit Data from Audit Worksheet'!I101</f>
        <v>0</v>
      </c>
      <c r="I91" s="38"/>
      <c r="J91" s="42">
        <v>171</v>
      </c>
      <c r="K91" s="51" t="s">
        <v>217</v>
      </c>
      <c r="L91" s="570">
        <f t="shared" si="9"/>
        <v>0</v>
      </c>
      <c r="P91" s="316"/>
      <c r="W91" s="3" t="b">
        <f t="shared" si="10"/>
        <v>1</v>
      </c>
      <c r="X91" s="567">
        <f t="shared" si="1"/>
        <v>0</v>
      </c>
      <c r="Y91" s="567">
        <f t="shared" si="2"/>
        <v>0</v>
      </c>
    </row>
    <row r="92" spans="1:26" s="710" customFormat="1" ht="60" customHeight="1" x14ac:dyDescent="0.3">
      <c r="A92" s="568">
        <f>'Unit Data from Audit Worksheet'!A103</f>
        <v>36</v>
      </c>
      <c r="B92" s="54" t="str">
        <f>'Unit Data from Audit Worksheet'!C103</f>
        <v>Net Position</v>
      </c>
      <c r="C92" s="569" t="str">
        <f>'Unit Data from Audit Worksheet'!D103</f>
        <v>Total Gross Capital Assets - without accumulated depreciation</v>
      </c>
      <c r="D92" s="354"/>
      <c r="E92" s="152">
        <f>'Unit Data from Audit Worksheet'!F103</f>
        <v>0</v>
      </c>
      <c r="F92" s="47"/>
      <c r="G92" s="72"/>
      <c r="H92" s="347"/>
      <c r="I92" s="712"/>
      <c r="J92" s="42">
        <v>36</v>
      </c>
      <c r="K92" s="51" t="s">
        <v>1085</v>
      </c>
      <c r="L92" s="570">
        <f t="shared" si="9"/>
        <v>0</v>
      </c>
      <c r="P92" s="316"/>
      <c r="Q92" s="560"/>
      <c r="W92" s="591" t="b">
        <f t="shared" si="10"/>
        <v>1</v>
      </c>
      <c r="X92" s="567"/>
      <c r="Y92" s="567"/>
    </row>
    <row r="93" spans="1:26" s="710" customFormat="1" ht="60" customHeight="1" x14ac:dyDescent="0.3">
      <c r="A93" s="568">
        <f>'Unit Data from Audit Worksheet'!A104</f>
        <v>534</v>
      </c>
      <c r="B93" s="54" t="str">
        <f>'Unit Data from Audit Worksheet'!C104</f>
        <v>Net Position</v>
      </c>
      <c r="C93" s="569" t="str">
        <f>'Unit Data from Audit Worksheet'!D104</f>
        <v>Combined Totals of all Proprietary Funds - Amount of Inventories and Prepaids in current assets</v>
      </c>
      <c r="D93" s="354"/>
      <c r="E93" s="152">
        <f>'Unit Data from Audit Worksheet'!F104</f>
        <v>0</v>
      </c>
      <c r="F93" s="47"/>
      <c r="G93" s="72"/>
      <c r="H93" s="347"/>
      <c r="I93" s="712"/>
      <c r="J93" s="42">
        <v>534</v>
      </c>
      <c r="K93" s="51" t="s">
        <v>271</v>
      </c>
      <c r="L93" s="570">
        <f t="shared" si="9"/>
        <v>0</v>
      </c>
      <c r="P93" s="316"/>
      <c r="Q93" s="560"/>
      <c r="W93" s="591" t="b">
        <f t="shared" si="10"/>
        <v>1</v>
      </c>
      <c r="X93" s="567"/>
      <c r="Y93" s="567"/>
    </row>
    <row r="94" spans="1:26" ht="60" customHeight="1" x14ac:dyDescent="0.3">
      <c r="A94" s="568">
        <f>'Unit Data from Audit Worksheet'!A105</f>
        <v>13</v>
      </c>
      <c r="B94" s="54" t="str">
        <f>'Unit Data from Audit Worksheet'!C105</f>
        <v>Combined Proprietary Funds - Net Position</v>
      </c>
      <c r="C94" s="569" t="str">
        <f>'Unit Data from Audit Worksheet'!D105</f>
        <v>Comb-Proprietary Funds-Current Assets 
Exclude: any restricted assets
                  deferred outflows</v>
      </c>
      <c r="D94" s="354"/>
      <c r="E94" s="152">
        <f>'Unit Data from Audit Worksheet'!F105</f>
        <v>0</v>
      </c>
      <c r="F94" s="47"/>
      <c r="G94" s="72"/>
      <c r="H94" s="347"/>
      <c r="I94" s="38"/>
      <c r="J94" s="42">
        <v>13</v>
      </c>
      <c r="K94" s="51" t="s">
        <v>1017</v>
      </c>
      <c r="L94" s="570">
        <f t="shared" si="9"/>
        <v>0</v>
      </c>
      <c r="P94" s="316"/>
      <c r="X94" s="567"/>
      <c r="Y94" s="567"/>
    </row>
    <row r="95" spans="1:26" ht="60" customHeight="1" x14ac:dyDescent="0.3">
      <c r="A95" s="568">
        <f>'Unit Data from Audit Worksheet'!A106</f>
        <v>14</v>
      </c>
      <c r="B95" s="54" t="str">
        <f>'Unit Data from Audit Worksheet'!C106</f>
        <v>Combined Proprietary Funds - Net Position</v>
      </c>
      <c r="C95" s="569"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54"/>
      <c r="E95" s="152">
        <f>'Unit Data from Audit Worksheet'!F106</f>
        <v>0</v>
      </c>
      <c r="F95" s="47"/>
      <c r="G95" s="72"/>
      <c r="H95" s="347"/>
      <c r="I95" s="38"/>
      <c r="J95" s="42">
        <v>14</v>
      </c>
      <c r="K95" s="51" t="s">
        <v>1018</v>
      </c>
      <c r="L95" s="570">
        <f t="shared" si="9"/>
        <v>0</v>
      </c>
      <c r="P95" s="316"/>
      <c r="X95" s="567"/>
      <c r="Y95" s="567"/>
    </row>
    <row r="96" spans="1:26" s="710" customFormat="1" ht="60" customHeight="1" x14ac:dyDescent="0.3">
      <c r="A96" s="568">
        <f>'Unit Data from Audit Worksheet'!A107</f>
        <v>571</v>
      </c>
      <c r="B96" s="54" t="str">
        <f>'Unit Data from Audit Worksheet'!C107</f>
        <v>Statement of Net Position - combined totals from all Proprietary Funds</v>
      </c>
      <c r="C96" s="569" t="str">
        <f>'Unit Data from Audit Worksheet'!D107</f>
        <v>Mental Health Net Position - Net Investment in Capital Assets</v>
      </c>
      <c r="D96" s="354"/>
      <c r="E96" s="152">
        <f>'Unit Data from Audit Worksheet'!F107</f>
        <v>0</v>
      </c>
      <c r="F96" s="47"/>
      <c r="G96" s="72"/>
      <c r="H96" s="347"/>
      <c r="I96" s="712"/>
      <c r="J96" s="42">
        <v>571</v>
      </c>
      <c r="K96" s="51" t="s">
        <v>1056</v>
      </c>
      <c r="L96" s="570">
        <f t="shared" si="9"/>
        <v>0</v>
      </c>
      <c r="P96" s="316"/>
      <c r="Q96" s="560"/>
      <c r="X96" s="567"/>
      <c r="Y96" s="567"/>
    </row>
    <row r="97" spans="1:26" s="710" customFormat="1" ht="60" customHeight="1" x14ac:dyDescent="0.3">
      <c r="A97" s="568">
        <f>'Unit Data from Audit Worksheet'!A108</f>
        <v>572</v>
      </c>
      <c r="B97" s="54" t="str">
        <f>'Unit Data from Audit Worksheet'!C108</f>
        <v>Statement of Net Position - combined totals from all Proprietary Funds</v>
      </c>
      <c r="C97" s="569" t="str">
        <f>'Unit Data from Audit Worksheet'!D108</f>
        <v>Mental Health Net Position - Restricted Net Position</v>
      </c>
      <c r="D97" s="354"/>
      <c r="E97" s="152">
        <f>'Unit Data from Audit Worksheet'!F108</f>
        <v>0</v>
      </c>
      <c r="F97" s="47"/>
      <c r="G97" s="72"/>
      <c r="H97" s="347"/>
      <c r="I97" s="712"/>
      <c r="J97" s="42">
        <v>572</v>
      </c>
      <c r="K97" s="51" t="s">
        <v>1057</v>
      </c>
      <c r="L97" s="570">
        <f t="shared" si="9"/>
        <v>0</v>
      </c>
      <c r="P97" s="316"/>
      <c r="Q97" s="560"/>
      <c r="X97" s="567"/>
      <c r="Y97" s="567"/>
    </row>
    <row r="98" spans="1:26" s="710" customFormat="1" ht="60" customHeight="1" x14ac:dyDescent="0.3">
      <c r="A98" s="568">
        <f>'Unit Data from Audit Worksheet'!A109</f>
        <v>573</v>
      </c>
      <c r="B98" s="54" t="str">
        <f>'Unit Data from Audit Worksheet'!C109</f>
        <v>Statement of Net Position - combined totals from all Proprietary Funds</v>
      </c>
      <c r="C98" s="569" t="str">
        <f>'Unit Data from Audit Worksheet'!D109</f>
        <v>Mental Health Net Position - Unrestricted Net Position</v>
      </c>
      <c r="D98" s="354"/>
      <c r="E98" s="152">
        <f>'Unit Data from Audit Worksheet'!F109</f>
        <v>0</v>
      </c>
      <c r="F98" s="47"/>
      <c r="G98" s="72"/>
      <c r="H98" s="347"/>
      <c r="I98" s="712"/>
      <c r="J98" s="42">
        <v>573</v>
      </c>
      <c r="K98" s="51" t="s">
        <v>1215</v>
      </c>
      <c r="L98" s="570">
        <f t="shared" si="9"/>
        <v>0</v>
      </c>
      <c r="P98" s="316"/>
      <c r="Q98" s="560"/>
      <c r="X98" s="567"/>
      <c r="Y98" s="567"/>
    </row>
    <row r="99" spans="1:26" ht="60" customHeight="1" x14ac:dyDescent="0.3">
      <c r="A99" s="568">
        <f>'Unit Data from Audit Worksheet'!A110</f>
        <v>34</v>
      </c>
      <c r="B99" s="54" t="str">
        <f>'Unit Data from Audit Worksheet'!C110</f>
        <v>Net Position</v>
      </c>
      <c r="C99" s="569" t="str">
        <f>'Unit Data from Audit Worksheet'!D110</f>
        <v>Hospital-EF- Unrestricted Cash &amp; Invest. [Incl.all but Held by Trustee or 3rd party restricted](BS)</v>
      </c>
      <c r="D99" s="354"/>
      <c r="E99" s="152">
        <f>'Unit Data from Audit Worksheet'!F110</f>
        <v>0</v>
      </c>
      <c r="F99" s="47"/>
      <c r="G99" s="72"/>
      <c r="H99" s="347"/>
      <c r="I99" s="38"/>
      <c r="J99" s="42">
        <v>34</v>
      </c>
      <c r="K99" s="51" t="s">
        <v>1031</v>
      </c>
      <c r="L99" s="570">
        <f t="shared" si="9"/>
        <v>0</v>
      </c>
      <c r="P99" s="316"/>
      <c r="X99" s="567"/>
      <c r="Y99" s="567"/>
      <c r="Z99" s="3" t="s">
        <v>1029</v>
      </c>
    </row>
    <row r="100" spans="1:26" ht="60" customHeight="1" x14ac:dyDescent="0.3">
      <c r="A100" s="568">
        <f>'Unit Data from Audit Worksheet'!A111</f>
        <v>35</v>
      </c>
      <c r="B100" s="54" t="str">
        <f>'Unit Data from Audit Worksheet'!C111</f>
        <v>Net Position</v>
      </c>
      <c r="C100" s="569" t="str">
        <f>'Unit Data from Audit Worksheet'!D111</f>
        <v>Mental Health or Hospital-EF- Patient Accounts Receivable, Net of Allowance for Bad Debt</v>
      </c>
      <c r="D100" s="354"/>
      <c r="E100" s="152">
        <f>'Unit Data from Audit Worksheet'!F111</f>
        <v>0</v>
      </c>
      <c r="F100" s="47"/>
      <c r="G100" s="72"/>
      <c r="H100" s="347"/>
      <c r="I100" s="38"/>
      <c r="J100" s="42">
        <v>35</v>
      </c>
      <c r="K100" s="51" t="s">
        <v>1032</v>
      </c>
      <c r="L100" s="570">
        <f t="shared" si="9"/>
        <v>0</v>
      </c>
      <c r="P100" s="316"/>
      <c r="X100" s="567"/>
      <c r="Y100" s="567"/>
      <c r="Z100" s="3" t="s">
        <v>1029</v>
      </c>
    </row>
    <row r="101" spans="1:26" ht="60" customHeight="1" x14ac:dyDescent="0.3">
      <c r="A101" s="568">
        <f>'Unit Data from Audit Worksheet'!A112</f>
        <v>37</v>
      </c>
      <c r="B101" s="54" t="str">
        <f>'Unit Data from Audit Worksheet'!C112</f>
        <v>Net Position</v>
      </c>
      <c r="C101" s="569" t="str">
        <f>'Unit Data from Audit Worksheet'!D112</f>
        <v>Total Long-term debt (non current portion only) - enter as a positive</v>
      </c>
      <c r="D101" s="354"/>
      <c r="E101" s="152">
        <f>'Unit Data from Audit Worksheet'!F112</f>
        <v>0</v>
      </c>
      <c r="F101" s="47"/>
      <c r="G101" s="72"/>
      <c r="H101" s="347"/>
      <c r="I101" s="38"/>
      <c r="J101" s="42">
        <v>37</v>
      </c>
      <c r="K101" s="51" t="s">
        <v>1042</v>
      </c>
      <c r="L101" s="570">
        <f t="shared" si="9"/>
        <v>0</v>
      </c>
      <c r="P101" s="316"/>
      <c r="X101" s="567"/>
      <c r="Y101" s="567"/>
      <c r="Z101" s="3" t="s">
        <v>1029</v>
      </c>
    </row>
    <row r="102" spans="1:26" ht="60" customHeight="1" x14ac:dyDescent="0.3">
      <c r="A102" s="568">
        <f>'Unit Data from Audit Worksheet'!A113</f>
        <v>38</v>
      </c>
      <c r="B102" s="54" t="str">
        <f>'Unit Data from Audit Worksheet'!C113</f>
        <v>Net Position</v>
      </c>
      <c r="C102" s="569" t="str">
        <f>'Unit Data from Audit Worksheet'!D113</f>
        <v>Unrestricted fund equity or net position</v>
      </c>
      <c r="D102" s="354"/>
      <c r="E102" s="152">
        <f>'Unit Data from Audit Worksheet'!F113</f>
        <v>0</v>
      </c>
      <c r="F102" s="47"/>
      <c r="G102" s="72"/>
      <c r="H102" s="347"/>
      <c r="I102" s="38"/>
      <c r="J102" s="42">
        <v>38</v>
      </c>
      <c r="K102" s="51" t="s">
        <v>1033</v>
      </c>
      <c r="L102" s="570">
        <f t="shared" si="9"/>
        <v>0</v>
      </c>
      <c r="P102" s="316"/>
      <c r="X102" s="567"/>
      <c r="Y102" s="567"/>
      <c r="Z102" s="3" t="s">
        <v>1029</v>
      </c>
    </row>
    <row r="103" spans="1:26" ht="60" customHeight="1" x14ac:dyDescent="0.3">
      <c r="A103" s="568">
        <f>'Unit Data from Audit Worksheet'!A114</f>
        <v>32</v>
      </c>
      <c r="B103" s="54" t="str">
        <f>'Unit Data from Audit Worksheet'!C114</f>
        <v>Combined Totals of all Proprietary Funds - Revenue, Expenses, Changes in Net Position</v>
      </c>
      <c r="C103" s="569" t="str">
        <f>'Unit Data from Audit Worksheet'!D114</f>
        <v>Combined Totals of all proprietary Funds - Depreciation &amp; Amortization Expense</v>
      </c>
      <c r="D103" s="354"/>
      <c r="E103" s="152">
        <f>'Unit Data from Audit Worksheet'!F114</f>
        <v>0</v>
      </c>
      <c r="F103" s="47"/>
      <c r="G103" s="72"/>
      <c r="H103" s="347"/>
      <c r="I103" s="38"/>
      <c r="J103" s="42">
        <v>32</v>
      </c>
      <c r="K103" s="51" t="s">
        <v>1020</v>
      </c>
      <c r="L103" s="570">
        <f t="shared" si="9"/>
        <v>0</v>
      </c>
      <c r="P103" s="316"/>
      <c r="X103" s="567"/>
      <c r="Y103" s="567"/>
      <c r="Z103" s="3" t="s">
        <v>1029</v>
      </c>
    </row>
    <row r="104" spans="1:26" ht="60" customHeight="1" x14ac:dyDescent="0.3">
      <c r="A104" s="568">
        <f>'Unit Data from Audit Worksheet'!A115</f>
        <v>40</v>
      </c>
      <c r="B104" s="54" t="str">
        <f>'Unit Data from Audit Worksheet'!C115</f>
        <v>Revenue, Expenses, Changes in Net Position</v>
      </c>
      <c r="C104" s="569" t="str">
        <f>'Unit Data from Audit Worksheet'!D115</f>
        <v>Net Patient Revenues</v>
      </c>
      <c r="D104" s="354"/>
      <c r="E104" s="152">
        <f>'Unit Data from Audit Worksheet'!F115</f>
        <v>0</v>
      </c>
      <c r="F104" s="47"/>
      <c r="G104" s="72"/>
      <c r="H104" s="347"/>
      <c r="I104" s="38"/>
      <c r="J104" s="42">
        <v>40</v>
      </c>
      <c r="K104" s="51" t="s">
        <v>1035</v>
      </c>
      <c r="L104" s="570">
        <f t="shared" si="9"/>
        <v>0</v>
      </c>
      <c r="P104" s="316"/>
      <c r="X104" s="567"/>
      <c r="Y104" s="567"/>
      <c r="Z104" s="3" t="s">
        <v>1029</v>
      </c>
    </row>
    <row r="105" spans="1:26" ht="60" customHeight="1" x14ac:dyDescent="0.3">
      <c r="A105" s="568">
        <f>'Unit Data from Audit Worksheet'!A116</f>
        <v>107</v>
      </c>
      <c r="B105" s="54" t="str">
        <f>'Unit Data from Audit Worksheet'!C116</f>
        <v>Revenue, Expenses, Changes in Net Position</v>
      </c>
      <c r="C105" s="569" t="str">
        <f>'Unit Data from Audit Worksheet'!D116</f>
        <v>Total Operating Revenues</v>
      </c>
      <c r="D105" s="354"/>
      <c r="E105" s="152">
        <f>'Unit Data from Audit Worksheet'!F116</f>
        <v>0</v>
      </c>
      <c r="F105" s="47"/>
      <c r="G105" s="72"/>
      <c r="H105" s="347"/>
      <c r="I105" s="38"/>
      <c r="J105" s="42">
        <v>107</v>
      </c>
      <c r="K105" s="51" t="s">
        <v>1036</v>
      </c>
      <c r="L105" s="570">
        <f t="shared" si="9"/>
        <v>0</v>
      </c>
      <c r="P105" s="316"/>
      <c r="X105" s="567"/>
      <c r="Y105" s="567"/>
      <c r="Z105" s="3" t="s">
        <v>1029</v>
      </c>
    </row>
    <row r="106" spans="1:26" ht="60" customHeight="1" x14ac:dyDescent="0.3">
      <c r="A106" s="568">
        <f>'Unit Data from Audit Worksheet'!A117</f>
        <v>108</v>
      </c>
      <c r="B106" s="54" t="str">
        <f>'Unit Data from Audit Worksheet'!C117</f>
        <v>Revenue, Expenses, Changes in Net Position</v>
      </c>
      <c r="C106" s="569" t="str">
        <f>'Unit Data from Audit Worksheet'!D117</f>
        <v>Total Operating Expenses. May include Interest Expense - Enter as a positive</v>
      </c>
      <c r="D106" s="354"/>
      <c r="E106" s="152">
        <f>'Unit Data from Audit Worksheet'!F117</f>
        <v>0</v>
      </c>
      <c r="F106" s="47"/>
      <c r="G106" s="72"/>
      <c r="H106" s="347"/>
      <c r="I106" s="38"/>
      <c r="J106" s="42">
        <v>108</v>
      </c>
      <c r="K106" s="51" t="s">
        <v>1043</v>
      </c>
      <c r="L106" s="570">
        <f t="shared" si="9"/>
        <v>0</v>
      </c>
      <c r="P106" s="316"/>
      <c r="X106" s="567"/>
      <c r="Y106" s="567"/>
      <c r="Z106" s="3" t="s">
        <v>1029</v>
      </c>
    </row>
    <row r="107" spans="1:26" ht="60" customHeight="1" x14ac:dyDescent="0.3">
      <c r="A107" s="568">
        <f>'Unit Data from Audit Worksheet'!A118</f>
        <v>41</v>
      </c>
      <c r="B107" s="54" t="str">
        <f>'Unit Data from Audit Worksheet'!C118</f>
        <v>Revenue, Expenses, Changes in Net Position</v>
      </c>
      <c r="C107" s="569" t="str">
        <f>'Unit Data from Audit Worksheet'!D118</f>
        <v xml:space="preserve">Interest Expense - Enter as a positive </v>
      </c>
      <c r="D107" s="354"/>
      <c r="E107" s="152">
        <f>'Unit Data from Audit Worksheet'!F118</f>
        <v>0</v>
      </c>
      <c r="F107" s="47"/>
      <c r="G107" s="72"/>
      <c r="H107" s="347"/>
      <c r="I107" s="38"/>
      <c r="J107" s="42">
        <v>41</v>
      </c>
      <c r="K107" s="51" t="s">
        <v>1044</v>
      </c>
      <c r="L107" s="570">
        <f t="shared" si="9"/>
        <v>0</v>
      </c>
      <c r="P107" s="316"/>
      <c r="X107" s="567"/>
      <c r="Y107" s="567"/>
      <c r="Z107" s="3" t="s">
        <v>1029</v>
      </c>
    </row>
    <row r="108" spans="1:26" ht="60" customHeight="1" x14ac:dyDescent="0.3">
      <c r="A108" s="568">
        <f>'Unit Data from Audit Worksheet'!A119</f>
        <v>194</v>
      </c>
      <c r="B108" s="54" t="str">
        <f>'Unit Data from Audit Worksheet'!C119</f>
        <v>Revenue, Expenses, Changes in Net Position</v>
      </c>
      <c r="C108" s="569" t="str">
        <f>'Unit Data from Audit Worksheet'!D119</f>
        <v xml:space="preserve">Capital Contributions </v>
      </c>
      <c r="D108" s="354"/>
      <c r="E108" s="152">
        <f>'Unit Data from Audit Worksheet'!F119</f>
        <v>0</v>
      </c>
      <c r="F108" s="47"/>
      <c r="G108" s="72"/>
      <c r="H108" s="347"/>
      <c r="I108" s="38"/>
      <c r="J108" s="42">
        <v>194</v>
      </c>
      <c r="K108" s="51" t="s">
        <v>1037</v>
      </c>
      <c r="L108" s="570">
        <f t="shared" si="9"/>
        <v>0</v>
      </c>
      <c r="P108" s="316"/>
      <c r="X108" s="567"/>
      <c r="Y108" s="567"/>
      <c r="Z108" s="3" t="s">
        <v>1029</v>
      </c>
    </row>
    <row r="109" spans="1:26" ht="60" customHeight="1" x14ac:dyDescent="0.3">
      <c r="A109" s="568">
        <f>'Unit Data from Audit Worksheet'!A120</f>
        <v>294</v>
      </c>
      <c r="B109" s="54" t="str">
        <f>'Unit Data from Audit Worksheet'!C120</f>
        <v>Revenue, Expenses, Changes in Net Position</v>
      </c>
      <c r="C109" s="569" t="str">
        <f>'Unit Data from Audit Worksheet'!D120</f>
        <v>Change in Net Position</v>
      </c>
      <c r="D109" s="354"/>
      <c r="E109" s="152">
        <f>'Unit Data from Audit Worksheet'!F120</f>
        <v>0</v>
      </c>
      <c r="F109" s="47"/>
      <c r="G109" s="72"/>
      <c r="H109" s="347"/>
      <c r="I109" s="38"/>
      <c r="J109" s="42">
        <v>294</v>
      </c>
      <c r="K109" s="51" t="s">
        <v>1038</v>
      </c>
      <c r="L109" s="570">
        <f t="shared" si="9"/>
        <v>0</v>
      </c>
      <c r="P109" s="316"/>
      <c r="X109" s="567"/>
      <c r="Y109" s="567"/>
      <c r="Z109" s="3" t="s">
        <v>1029</v>
      </c>
    </row>
    <row r="110" spans="1:26" ht="60" customHeight="1" x14ac:dyDescent="0.3">
      <c r="A110" s="568">
        <f>'Unit Data from Audit Worksheet'!A123</f>
        <v>31</v>
      </c>
      <c r="B110" s="54" t="str">
        <f>'Unit Data from Audit Worksheet'!C123</f>
        <v>Combined Totals of all Proprietary Funds - Revenue, Expenses, Changes in Net Position</v>
      </c>
      <c r="C110" s="569" t="str">
        <f>'Unit Data from Audit Worksheet'!D123</f>
        <v>Combined Totals of all Proprietary Funds - Change in net position - (increase in net position is recorded as a positive and a decrease in net position is recorded as a negative)</v>
      </c>
      <c r="D110" s="354"/>
      <c r="E110" s="152">
        <f>'Unit Data from Audit Worksheet'!F123</f>
        <v>0</v>
      </c>
      <c r="F110" s="47"/>
      <c r="G110" s="72"/>
      <c r="H110" s="347"/>
      <c r="I110" s="38"/>
      <c r="J110" s="42">
        <v>31</v>
      </c>
      <c r="K110" s="51" t="s">
        <v>1021</v>
      </c>
      <c r="L110" s="570">
        <f t="shared" si="9"/>
        <v>0</v>
      </c>
      <c r="P110" s="316"/>
      <c r="X110" s="567"/>
      <c r="Y110" s="567"/>
    </row>
    <row r="111" spans="1:26" ht="60" customHeight="1" x14ac:dyDescent="0.3">
      <c r="A111" s="568" t="str">
        <f>'Unit Data from Audit Worksheet'!A124</f>
        <v>193</v>
      </c>
      <c r="B111" s="54" t="str">
        <f>'Unit Data from Audit Worksheet'!C124</f>
        <v>Combined Proprietary Funds - Change in Cash Flow Statement</v>
      </c>
      <c r="C111" s="569" t="str">
        <f>'Unit Data from Audit Worksheet'!D124</f>
        <v>Combined Totals of all Proprietary Funds - Capital Contributions</v>
      </c>
      <c r="D111" s="354"/>
      <c r="E111" s="152">
        <f>'Unit Data from Audit Worksheet'!F124</f>
        <v>0</v>
      </c>
      <c r="F111" s="47"/>
      <c r="G111" s="72"/>
      <c r="H111" s="347"/>
      <c r="I111" s="38"/>
      <c r="J111" s="42">
        <v>193</v>
      </c>
      <c r="K111" s="51" t="s">
        <v>301</v>
      </c>
      <c r="L111" s="570">
        <f t="shared" si="9"/>
        <v>0</v>
      </c>
      <c r="P111" s="316"/>
      <c r="X111" s="567"/>
      <c r="Y111" s="567"/>
    </row>
    <row r="112" spans="1:26" ht="60" customHeight="1" x14ac:dyDescent="0.3">
      <c r="A112" s="568">
        <f>'Unit Data from Audit Worksheet'!A125</f>
        <v>33</v>
      </c>
      <c r="B112" s="54" t="str">
        <f>'Unit Data from Audit Worksheet'!C125</f>
        <v>Combined Proprietary Funds - Change in Cash Flow Statement</v>
      </c>
      <c r="C112" s="569" t="str">
        <f>'Unit Data from Audit Worksheet'!D125</f>
        <v>Combined Totals of all Proprietary Funds - Cash Flow from Operating</v>
      </c>
      <c r="D112" s="354"/>
      <c r="E112" s="152">
        <f>'Unit Data from Audit Worksheet'!F125</f>
        <v>0</v>
      </c>
      <c r="F112" s="47"/>
      <c r="G112" s="72"/>
      <c r="H112" s="347"/>
      <c r="I112" s="38"/>
      <c r="J112" s="42">
        <v>33</v>
      </c>
      <c r="K112" s="51" t="s">
        <v>293</v>
      </c>
      <c r="L112" s="570">
        <f t="shared" si="9"/>
        <v>0</v>
      </c>
      <c r="P112" s="316"/>
      <c r="X112" s="567"/>
      <c r="Y112" s="567"/>
    </row>
    <row r="113" spans="1:26" ht="60" customHeight="1" x14ac:dyDescent="0.3">
      <c r="A113" s="568">
        <f>'Unit Data from Audit Worksheet'!A126</f>
        <v>104</v>
      </c>
      <c r="B113" s="54" t="str">
        <f>'Unit Data from Audit Worksheet'!C126</f>
        <v>Cash Flows</v>
      </c>
      <c r="C113" s="569" t="str">
        <f>'Unit Data from Audit Worksheet'!D126</f>
        <v>Capital Outlays</v>
      </c>
      <c r="D113" s="144"/>
      <c r="E113" s="152">
        <f>'Unit Data from Audit Worksheet'!F126</f>
        <v>0</v>
      </c>
      <c r="F113" s="47"/>
      <c r="G113" s="72"/>
      <c r="H113" s="347"/>
      <c r="I113" s="38"/>
      <c r="J113" s="42">
        <v>104</v>
      </c>
      <c r="K113" s="51" t="s">
        <v>1040</v>
      </c>
      <c r="L113" s="570">
        <f t="shared" si="9"/>
        <v>0</v>
      </c>
      <c r="P113" s="316"/>
      <c r="X113" s="567"/>
      <c r="Y113" s="567"/>
      <c r="Z113" s="3" t="s">
        <v>1029</v>
      </c>
    </row>
    <row r="114" spans="1:26" ht="60" customHeight="1" x14ac:dyDescent="0.3">
      <c r="A114" s="568">
        <f>'Unit Data from Audit Worksheet'!A127</f>
        <v>39</v>
      </c>
      <c r="B114" s="54" t="str">
        <f>'Unit Data from Audit Worksheet'!C127</f>
        <v>Cash Flows</v>
      </c>
      <c r="C114" s="569" t="str">
        <f>'Unit Data from Audit Worksheet'!D127</f>
        <v>Principal Paid - Long-term Debt</v>
      </c>
      <c r="D114" s="144"/>
      <c r="E114" s="152">
        <f>'Unit Data from Audit Worksheet'!F127</f>
        <v>0</v>
      </c>
      <c r="F114" s="47"/>
      <c r="G114" s="72"/>
      <c r="H114" s="347"/>
      <c r="I114" s="38"/>
      <c r="J114" s="42">
        <v>39</v>
      </c>
      <c r="K114" s="51" t="s">
        <v>1041</v>
      </c>
      <c r="L114" s="570">
        <f t="shared" si="9"/>
        <v>0</v>
      </c>
      <c r="P114" s="316"/>
      <c r="X114" s="567"/>
      <c r="Y114" s="567"/>
      <c r="Z114" s="3" t="s">
        <v>1029</v>
      </c>
    </row>
    <row r="115" spans="1:26" ht="60" customHeight="1" x14ac:dyDescent="0.3">
      <c r="A115" s="335">
        <f>'Unit Data from Audit Worksheet'!A131</f>
        <v>596</v>
      </c>
      <c r="B115" s="349"/>
      <c r="C115" s="334" t="str">
        <f>'Unit Data from Audit Worksheet'!D131</f>
        <v>Indicate if your water/sewer system:
50 - Became Operational
51 - Ceased Operations
52 - No Change</v>
      </c>
      <c r="D115" s="144"/>
      <c r="E115" s="355">
        <f>'Unit Data from Audit Worksheet'!F131</f>
        <v>0</v>
      </c>
      <c r="F115" s="348"/>
      <c r="G115" s="348"/>
      <c r="H115" s="347">
        <f>'Unit Data from Audit Worksheet'!I131</f>
        <v>0</v>
      </c>
      <c r="I115" s="38"/>
      <c r="J115" s="346">
        <v>596</v>
      </c>
      <c r="K115" s="345" t="s">
        <v>362</v>
      </c>
      <c r="L115" s="570">
        <f t="shared" si="9"/>
        <v>0</v>
      </c>
      <c r="P115" s="317"/>
      <c r="W115" s="3" t="b">
        <f t="shared" si="10"/>
        <v>1</v>
      </c>
      <c r="X115" s="567">
        <f t="shared" si="1"/>
        <v>0</v>
      </c>
      <c r="Y115" s="567">
        <f t="shared" si="2"/>
        <v>0</v>
      </c>
    </row>
    <row r="116" spans="1:26" ht="43.2" x14ac:dyDescent="0.3">
      <c r="A116" s="335">
        <f>'Unit Data from Audit Worksheet'!A132</f>
        <v>80</v>
      </c>
      <c r="B116" s="349" t="str">
        <f>'Unit Data from Audit Worksheet'!C132</f>
        <v>Water Sewer Net Position Statement</v>
      </c>
      <c r="C116" s="334" t="str">
        <f>'Unit Data from Audit Worksheet'!D132</f>
        <v>Unrestricted Cash and investments 
Exclude restricted cash and/or restricted investments.</v>
      </c>
      <c r="D116" s="144"/>
      <c r="E116" s="355">
        <f>'Unit Data from Audit Worksheet'!F132</f>
        <v>0</v>
      </c>
      <c r="F116" s="348">
        <f>IF(L116&lt;0,"Error: Number is normally positive.",)</f>
        <v>0</v>
      </c>
      <c r="G116" s="348" t="e">
        <f>'Unit Data from Audit Worksheet'!G132</f>
        <v>#N/A</v>
      </c>
      <c r="H116" s="347">
        <f>'Unit Data from Audit Worksheet'!I132</f>
        <v>0</v>
      </c>
      <c r="I116" s="38"/>
      <c r="J116" s="346">
        <v>80</v>
      </c>
      <c r="K116" s="345" t="s">
        <v>218</v>
      </c>
      <c r="L116" s="570">
        <f t="shared" si="9"/>
        <v>0</v>
      </c>
      <c r="P116" s="317"/>
      <c r="W116" s="3" t="b">
        <f t="shared" si="10"/>
        <v>1</v>
      </c>
      <c r="X116" s="567">
        <f t="shared" si="1"/>
        <v>0</v>
      </c>
      <c r="Y116" s="567">
        <f t="shared" si="2"/>
        <v>0</v>
      </c>
    </row>
    <row r="117" spans="1:26" ht="43.2" x14ac:dyDescent="0.3">
      <c r="A117" s="335">
        <f>'Unit Data from Audit Worksheet'!A133</f>
        <v>81</v>
      </c>
      <c r="B117" s="349" t="str">
        <f>'Unit Data from Audit Worksheet'!C133</f>
        <v>Water Sewer Net Position Statement</v>
      </c>
      <c r="C117" s="334" t="str">
        <f>'Unit Data from Audit Worksheet'!D133</f>
        <v>Customer accounts receivable (net of allowance accounts). 
Include both billed and unbilled amounts.</v>
      </c>
      <c r="D117" s="144"/>
      <c r="E117" s="355">
        <f>'Unit Data from Audit Worksheet'!F133</f>
        <v>0</v>
      </c>
      <c r="F117" s="348">
        <f>IF(L117&lt;0,"Error: Number is normally positive.",)</f>
        <v>0</v>
      </c>
      <c r="G117" s="350"/>
      <c r="H117" s="347">
        <f>'Unit Data from Audit Worksheet'!I133</f>
        <v>0</v>
      </c>
      <c r="I117" s="38"/>
      <c r="J117" s="346">
        <v>81</v>
      </c>
      <c r="K117" s="345" t="s">
        <v>219</v>
      </c>
      <c r="L117" s="570">
        <f t="shared" si="9"/>
        <v>0</v>
      </c>
      <c r="P117" s="317"/>
      <c r="W117" s="3" t="b">
        <f t="shared" si="10"/>
        <v>1</v>
      </c>
      <c r="X117" s="567">
        <f t="shared" ref="X117:X181" si="12">E117-L117</f>
        <v>0</v>
      </c>
      <c r="Y117" s="567">
        <f t="shared" ref="Y117:Y181" si="13">D117-L117</f>
        <v>0</v>
      </c>
    </row>
    <row r="118" spans="1:26" ht="68.25" customHeight="1" x14ac:dyDescent="0.3">
      <c r="A118" s="335">
        <f>'Unit Data from Audit Worksheet'!A134</f>
        <v>579</v>
      </c>
      <c r="B118" s="349" t="str">
        <f>'Unit Data from Audit Worksheet'!C134</f>
        <v>Water Sewer Net Position Statement</v>
      </c>
      <c r="C118" s="334" t="str">
        <f>'Unit Data from Audit Worksheet'!D134</f>
        <v>Water Sewer - Advance To:
Interfund loan receivable-portion of repayment plan longer than 12 months</v>
      </c>
      <c r="D118" s="144"/>
      <c r="E118" s="355">
        <f>'Unit Data from Audit Worksheet'!F134</f>
        <v>0</v>
      </c>
      <c r="F118" s="348"/>
      <c r="G118" s="350"/>
      <c r="H118" s="347"/>
      <c r="I118" s="38"/>
      <c r="J118" s="346">
        <v>579</v>
      </c>
      <c r="K118" s="345" t="s">
        <v>340</v>
      </c>
      <c r="L118" s="570">
        <f t="shared" si="9"/>
        <v>0</v>
      </c>
      <c r="N118" s="594"/>
      <c r="P118" s="317"/>
      <c r="W118" s="3" t="b">
        <f t="shared" si="10"/>
        <v>1</v>
      </c>
      <c r="X118" s="567">
        <f t="shared" si="12"/>
        <v>0</v>
      </c>
      <c r="Y118" s="567">
        <f t="shared" si="13"/>
        <v>0</v>
      </c>
    </row>
    <row r="119" spans="1:26" ht="47.25" customHeight="1" x14ac:dyDescent="0.3">
      <c r="A119" s="335">
        <f>'Unit Data from Audit Worksheet'!A135</f>
        <v>510</v>
      </c>
      <c r="B119" s="349" t="str">
        <f>'Unit Data from Audit Worksheet'!C135</f>
        <v>Water Sewer Net Position Statement</v>
      </c>
      <c r="C119" s="334" t="str">
        <f>'Unit Data from Audit Worksheet'!D135</f>
        <v>Amount of Inventories and Prepaid expenses in current assets</v>
      </c>
      <c r="D119" s="144"/>
      <c r="E119" s="355">
        <f>'Unit Data from Audit Worksheet'!F135</f>
        <v>0</v>
      </c>
      <c r="F119" s="348"/>
      <c r="G119" s="350"/>
      <c r="H119" s="347">
        <f>'Unit Data from Audit Worksheet'!I135</f>
        <v>0</v>
      </c>
      <c r="I119" s="38"/>
      <c r="J119" s="346">
        <v>510</v>
      </c>
      <c r="K119" s="345" t="s">
        <v>220</v>
      </c>
      <c r="L119" s="570">
        <f t="shared" si="9"/>
        <v>0</v>
      </c>
      <c r="P119" s="317"/>
      <c r="W119" s="3" t="b">
        <f t="shared" si="10"/>
        <v>1</v>
      </c>
      <c r="X119" s="567">
        <f t="shared" si="12"/>
        <v>0</v>
      </c>
      <c r="Y119" s="567">
        <f t="shared" si="13"/>
        <v>0</v>
      </c>
    </row>
    <row r="120" spans="1:26" ht="43.2" x14ac:dyDescent="0.3">
      <c r="A120" s="335">
        <f>'Unit Data from Audit Worksheet'!A136</f>
        <v>654</v>
      </c>
      <c r="B120" s="349" t="str">
        <f>'Unit Data from Audit Worksheet'!C136</f>
        <v>Water Sewer Net Position Statement</v>
      </c>
      <c r="C120" s="334" t="str">
        <f>'Unit Data from Audit Worksheet'!D136</f>
        <v xml:space="preserve">Total Current assets as listed on the WS Net Position Statement.  
</v>
      </c>
      <c r="D120" s="144"/>
      <c r="E120" s="355">
        <f>'Unit Data from Audit Worksheet'!F136</f>
        <v>0</v>
      </c>
      <c r="F120" s="348">
        <f>IF((+L116+L117+L119)&gt;L120,"Please review components of current assets above Acct. (80+81+510&gt;654",)</f>
        <v>0</v>
      </c>
      <c r="G120" s="350" t="str">
        <f>IF(Q120=1," Included in error count"," ")</f>
        <v xml:space="preserve"> </v>
      </c>
      <c r="H120" s="347">
        <f>'Unit Data from Audit Worksheet'!I136</f>
        <v>0</v>
      </c>
      <c r="I120" s="38"/>
      <c r="J120" s="346">
        <v>654</v>
      </c>
      <c r="K120" s="352" t="s">
        <v>502</v>
      </c>
      <c r="L120" s="570">
        <f t="shared" si="9"/>
        <v>0</v>
      </c>
      <c r="P120" s="317"/>
      <c r="Q120" s="560">
        <f>IF((+L116+L117+L119)&gt;L120,1,0)</f>
        <v>0</v>
      </c>
      <c r="W120" s="3" t="b">
        <f t="shared" si="10"/>
        <v>1</v>
      </c>
      <c r="X120" s="567">
        <f t="shared" si="12"/>
        <v>0</v>
      </c>
      <c r="Y120" s="567">
        <f t="shared" si="13"/>
        <v>0</v>
      </c>
    </row>
    <row r="121" spans="1:26" ht="43.2" x14ac:dyDescent="0.3">
      <c r="A121" s="335">
        <f>'Unit Data from Audit Worksheet'!A137</f>
        <v>655</v>
      </c>
      <c r="B121" s="349" t="str">
        <f>'Unit Data from Audit Worksheet'!C137</f>
        <v>Water Sewer Net Position Statement</v>
      </c>
      <c r="C121" s="334" t="str">
        <f>'Unit Data from Audit Worksheet'!D137</f>
        <v>WS-Any current assets that are restricted (Cash, Accounts Rec., etc..) and included in account 654 above</v>
      </c>
      <c r="D121" s="144"/>
      <c r="E121" s="355">
        <f>'Unit Data from Audit Worksheet'!F137</f>
        <v>0</v>
      </c>
      <c r="F121" s="348"/>
      <c r="G121" s="350"/>
      <c r="H121" s="347"/>
      <c r="I121" s="38"/>
      <c r="J121" s="346">
        <v>655</v>
      </c>
      <c r="K121" s="352" t="s">
        <v>545</v>
      </c>
      <c r="L121" s="570">
        <f t="shared" si="9"/>
        <v>0</v>
      </c>
      <c r="P121" s="317"/>
      <c r="W121" s="3" t="b">
        <f t="shared" si="10"/>
        <v>1</v>
      </c>
      <c r="X121" s="567">
        <f t="shared" si="12"/>
        <v>0</v>
      </c>
      <c r="Y121" s="567">
        <f t="shared" si="13"/>
        <v>0</v>
      </c>
    </row>
    <row r="122" spans="1:26" ht="42.75" customHeight="1" x14ac:dyDescent="0.3">
      <c r="A122" s="335">
        <f>'Unit Data from Audit Worksheet'!A138</f>
        <v>381</v>
      </c>
      <c r="B122" s="349" t="str">
        <f>'Unit Data from Audit Worksheet'!C138</f>
        <v>Water Sewer Net Position Statement</v>
      </c>
      <c r="C122" s="334" t="str">
        <f>'Unit Data from Audit Worksheet'!D138</f>
        <v>Total Assets and deferred outflows</v>
      </c>
      <c r="D122" s="144"/>
      <c r="E122" s="355">
        <f>'Unit Data from Audit Worksheet'!F138</f>
        <v>0</v>
      </c>
      <c r="F122" s="348" t="str">
        <f>IF(L122&lt;L120,"Please review components of current assets above acct. 381&lt;654"," ")</f>
        <v xml:space="preserve"> </v>
      </c>
      <c r="G122" s="350" t="str">
        <f>IF(Q122=1," Included in error count"," ")</f>
        <v xml:space="preserve"> </v>
      </c>
      <c r="H122" s="347">
        <f>'Unit Data from Audit Worksheet'!I138</f>
        <v>0</v>
      </c>
      <c r="I122" s="38"/>
      <c r="J122" s="346">
        <v>381</v>
      </c>
      <c r="K122" s="345" t="s">
        <v>113</v>
      </c>
      <c r="L122" s="570">
        <f t="shared" si="9"/>
        <v>0</v>
      </c>
      <c r="P122" s="317"/>
      <c r="Q122" s="560">
        <f>IF(L122&lt;L120,1,0)</f>
        <v>0</v>
      </c>
      <c r="W122" s="3" t="b">
        <f t="shared" si="10"/>
        <v>1</v>
      </c>
      <c r="X122" s="567">
        <f t="shared" si="12"/>
        <v>0</v>
      </c>
      <c r="Y122" s="567">
        <f t="shared" si="13"/>
        <v>0</v>
      </c>
    </row>
    <row r="123" spans="1:26" ht="60.75" customHeight="1" x14ac:dyDescent="0.3">
      <c r="A123" s="582">
        <f>'Unit Data from Audit Worksheet'!A139</f>
        <v>578</v>
      </c>
      <c r="B123" s="117" t="str">
        <f>'Unit Data from Audit Worksheet'!C139</f>
        <v>Water Sewer Net Position Statement</v>
      </c>
      <c r="C123" s="572" t="str">
        <f>'Unit Data from Audit Worksheet'!D139</f>
        <v>Water Sewer - Advance From: 
Interfund loan Payable-portion of repayment plan longer than 12 months</v>
      </c>
      <c r="D123" s="110"/>
      <c r="E123" s="155">
        <f>'Unit Data from Audit Worksheet'!F139</f>
        <v>0</v>
      </c>
      <c r="F123" s="111"/>
      <c r="G123" s="112"/>
      <c r="H123" s="113"/>
      <c r="I123" s="38"/>
      <c r="J123" s="105">
        <v>578</v>
      </c>
      <c r="K123" s="44" t="s">
        <v>341</v>
      </c>
      <c r="L123" s="570">
        <f t="shared" si="9"/>
        <v>0</v>
      </c>
      <c r="P123" s="318"/>
      <c r="Q123" s="351"/>
      <c r="W123" s="3" t="b">
        <f t="shared" si="10"/>
        <v>1</v>
      </c>
      <c r="X123" s="567">
        <f t="shared" si="12"/>
        <v>0</v>
      </c>
      <c r="Y123" s="567">
        <f t="shared" si="13"/>
        <v>0</v>
      </c>
    </row>
    <row r="124" spans="1:26" s="18" customFormat="1" ht="104.25" customHeight="1" x14ac:dyDescent="0.3">
      <c r="A124" s="307">
        <v>633</v>
      </c>
      <c r="B124" s="362" t="str">
        <f>'Unit Data from Audit Worksheet'!C140</f>
        <v>Water Sewer Net Position Statement</v>
      </c>
      <c r="C124" s="307" t="str">
        <f>'Unit Data from Audit Worksheet'!D140</f>
        <v>Current liabilities (as reported on the Statement of Fund Net Position)
Include:   Current liabilities including current portion of long-term debt.  Deferred inflows should not be included in Current Liabilities  
Enter as positive</v>
      </c>
      <c r="D124" s="110"/>
      <c r="E124" s="361">
        <f>'Unit Data from Audit Worksheet'!F140</f>
        <v>0</v>
      </c>
      <c r="F124" s="343" t="str">
        <f>IF(L124&gt;=(L125+L126+L127+L128+L129+L130),"","Account 633 is less than the total sum of accounts 634 through 638 + 383")</f>
        <v/>
      </c>
      <c r="G124" s="328">
        <f>L124-(L125+L126+L127+L128+L129+L130)</f>
        <v>0</v>
      </c>
      <c r="H124" s="343"/>
      <c r="I124" s="583"/>
      <c r="J124" s="342">
        <v>633</v>
      </c>
      <c r="K124" s="310" t="s">
        <v>435</v>
      </c>
      <c r="L124" s="584">
        <f>IF(D124="",E124,D124)</f>
        <v>0</v>
      </c>
      <c r="M124" s="574"/>
      <c r="N124" s="574"/>
      <c r="O124" s="574"/>
      <c r="P124" s="319"/>
      <c r="Q124" s="575"/>
      <c r="R124" s="3"/>
      <c r="S124" s="574"/>
      <c r="T124" s="574"/>
      <c r="U124" s="574"/>
      <c r="V124" s="574"/>
      <c r="W124" s="18" t="b">
        <f t="shared" si="10"/>
        <v>1</v>
      </c>
      <c r="X124" s="576">
        <f t="shared" si="12"/>
        <v>0</v>
      </c>
      <c r="Y124" s="576">
        <f t="shared" si="13"/>
        <v>0</v>
      </c>
    </row>
    <row r="125" spans="1:26" s="18" customFormat="1" ht="130.5" customHeight="1" x14ac:dyDescent="0.3">
      <c r="A125" s="307">
        <v>634</v>
      </c>
      <c r="B125" s="362" t="str">
        <f>'Unit Data from Audit Worksheet'!C141</f>
        <v>Water Sewer Net Position Statement</v>
      </c>
      <c r="C125" s="307"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10"/>
      <c r="E125" s="361">
        <f>'Unit Data from Audit Worksheet'!F141</f>
        <v>0</v>
      </c>
      <c r="F125" s="343"/>
      <c r="G125" s="328"/>
      <c r="H125" s="343"/>
      <c r="I125" s="583"/>
      <c r="J125" s="342">
        <v>634</v>
      </c>
      <c r="K125" s="310" t="s">
        <v>436</v>
      </c>
      <c r="L125" s="584">
        <f>IF(D125="",E125,D125)</f>
        <v>0</v>
      </c>
      <c r="M125" s="574"/>
      <c r="N125" s="574"/>
      <c r="O125" s="574"/>
      <c r="P125" s="319"/>
      <c r="Q125" s="575"/>
      <c r="R125" s="3"/>
      <c r="S125" s="574"/>
      <c r="T125" s="574"/>
      <c r="U125" s="574"/>
      <c r="V125" s="574"/>
      <c r="W125" s="18" t="b">
        <f t="shared" si="10"/>
        <v>1</v>
      </c>
      <c r="X125" s="576">
        <f t="shared" si="12"/>
        <v>0</v>
      </c>
      <c r="Y125" s="576">
        <f t="shared" si="13"/>
        <v>0</v>
      </c>
    </row>
    <row r="126" spans="1:26" s="18" customFormat="1" ht="105.75" customHeight="1" x14ac:dyDescent="0.3">
      <c r="A126" s="307">
        <v>635</v>
      </c>
      <c r="B126" s="362" t="str">
        <f>'Unit Data from Audit Worksheet'!C142</f>
        <v>Water Sewer Net Position Statement</v>
      </c>
      <c r="C126" s="307"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10"/>
      <c r="E126" s="361">
        <f>'Unit Data from Audit Worksheet'!F142</f>
        <v>0</v>
      </c>
      <c r="F126" s="343"/>
      <c r="G126" s="328"/>
      <c r="H126" s="343"/>
      <c r="I126" s="583"/>
      <c r="J126" s="342">
        <v>635</v>
      </c>
      <c r="K126" s="310" t="s">
        <v>437</v>
      </c>
      <c r="L126" s="584">
        <f>IF(D126="",E126,D126)</f>
        <v>0</v>
      </c>
      <c r="M126" s="574"/>
      <c r="N126" s="574"/>
      <c r="O126" s="574"/>
      <c r="P126" s="319"/>
      <c r="Q126" s="575"/>
      <c r="R126" s="3"/>
      <c r="S126" s="574"/>
      <c r="T126" s="574"/>
      <c r="U126" s="574"/>
      <c r="V126" s="574"/>
      <c r="W126" s="18" t="b">
        <f t="shared" si="10"/>
        <v>1</v>
      </c>
      <c r="X126" s="576">
        <f t="shared" si="12"/>
        <v>0</v>
      </c>
      <c r="Y126" s="576">
        <f t="shared" si="13"/>
        <v>0</v>
      </c>
    </row>
    <row r="127" spans="1:26" s="18" customFormat="1" ht="105.75" customHeight="1" x14ac:dyDescent="0.3">
      <c r="A127" s="307">
        <v>636</v>
      </c>
      <c r="B127" s="362" t="str">
        <f>'Unit Data from Audit Worksheet'!C143</f>
        <v>Water Sewer Net Position Statement</v>
      </c>
      <c r="C127" s="307"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10"/>
      <c r="E127" s="361">
        <f>'Unit Data from Audit Worksheet'!F143</f>
        <v>0</v>
      </c>
      <c r="F127" s="343"/>
      <c r="G127" s="328"/>
      <c r="H127" s="343"/>
      <c r="I127" s="583"/>
      <c r="J127" s="342">
        <v>636</v>
      </c>
      <c r="K127" s="310" t="s">
        <v>432</v>
      </c>
      <c r="L127" s="584">
        <f t="shared" ref="L127:L137" si="14">IF(D127="",E127,D127)</f>
        <v>0</v>
      </c>
      <c r="M127" s="574"/>
      <c r="N127" s="574"/>
      <c r="O127" s="574"/>
      <c r="P127" s="319"/>
      <c r="Q127" s="575"/>
      <c r="R127" s="3"/>
      <c r="S127" s="574"/>
      <c r="T127" s="574"/>
      <c r="U127" s="574"/>
      <c r="V127" s="574"/>
      <c r="W127" s="18" t="b">
        <f t="shared" si="10"/>
        <v>1</v>
      </c>
      <c r="X127" s="576">
        <f t="shared" si="12"/>
        <v>0</v>
      </c>
      <c r="Y127" s="576">
        <f t="shared" si="13"/>
        <v>0</v>
      </c>
    </row>
    <row r="128" spans="1:26" s="18" customFormat="1" ht="59.25" customHeight="1" x14ac:dyDescent="0.3">
      <c r="A128" s="307">
        <v>637</v>
      </c>
      <c r="B128" s="362" t="str">
        <f>'Unit Data from Audit Worksheet'!C144</f>
        <v>Water Sewer Net Position Statement</v>
      </c>
      <c r="C128" s="307" t="str">
        <f>'Unit Data from Audit Worksheet'!D144</f>
        <v>Please enter any current liabilities that are payable from restricted assets and included in account 633 above.
Enter as positive</v>
      </c>
      <c r="D128" s="110"/>
      <c r="E128" s="361">
        <f>'Unit Data from Audit Worksheet'!F144</f>
        <v>0</v>
      </c>
      <c r="F128" s="343"/>
      <c r="G128" s="328"/>
      <c r="H128" s="343"/>
      <c r="I128" s="583"/>
      <c r="J128" s="342">
        <v>637</v>
      </c>
      <c r="K128" s="310" t="s">
        <v>433</v>
      </c>
      <c r="L128" s="584">
        <f t="shared" si="14"/>
        <v>0</v>
      </c>
      <c r="M128" s="574"/>
      <c r="N128" s="574"/>
      <c r="O128" s="574"/>
      <c r="P128" s="319"/>
      <c r="Q128" s="575"/>
      <c r="R128" s="3"/>
      <c r="S128" s="574"/>
      <c r="T128" s="574"/>
      <c r="U128" s="574"/>
      <c r="V128" s="574"/>
      <c r="W128" s="18" t="b">
        <f t="shared" si="10"/>
        <v>1</v>
      </c>
      <c r="X128" s="576">
        <f t="shared" si="12"/>
        <v>0</v>
      </c>
      <c r="Y128" s="576">
        <f t="shared" si="13"/>
        <v>0</v>
      </c>
    </row>
    <row r="129" spans="1:25" s="18" customFormat="1" ht="103.5" customHeight="1" x14ac:dyDescent="0.3">
      <c r="A129" s="307">
        <v>638</v>
      </c>
      <c r="B129" s="362" t="str">
        <f>'Unit Data from Audit Worksheet'!C145</f>
        <v>Water Sewer Net Position Statement</v>
      </c>
      <c r="C129" s="307"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10"/>
      <c r="E129" s="361">
        <f>'Unit Data from Audit Worksheet'!F145</f>
        <v>0</v>
      </c>
      <c r="F129" s="343"/>
      <c r="G129" s="328"/>
      <c r="H129" s="343"/>
      <c r="I129" s="583"/>
      <c r="J129" s="342">
        <v>638</v>
      </c>
      <c r="K129" s="310" t="s">
        <v>438</v>
      </c>
      <c r="L129" s="584">
        <f t="shared" si="14"/>
        <v>0</v>
      </c>
      <c r="M129" s="574"/>
      <c r="N129" s="574"/>
      <c r="O129" s="574"/>
      <c r="P129" s="319"/>
      <c r="Q129" s="575"/>
      <c r="R129" s="3"/>
      <c r="S129" s="574"/>
      <c r="T129" s="574"/>
      <c r="U129" s="574"/>
      <c r="V129" s="574"/>
      <c r="W129" s="18" t="b">
        <f t="shared" si="10"/>
        <v>1</v>
      </c>
      <c r="X129" s="576">
        <f t="shared" si="12"/>
        <v>0</v>
      </c>
      <c r="Y129" s="576">
        <f t="shared" si="13"/>
        <v>0</v>
      </c>
    </row>
    <row r="130" spans="1:25" ht="76.5" customHeight="1" x14ac:dyDescent="0.3">
      <c r="A130" s="568">
        <f>'Unit Data from Audit Worksheet'!A146</f>
        <v>383</v>
      </c>
      <c r="B130" s="54" t="str">
        <f>'Unit Data from Audit Worksheet'!C146</f>
        <v>Water Sewer Net Position Statement</v>
      </c>
      <c r="C130" s="569" t="str">
        <f>'Unit Data from Audit Worksheet'!D146</f>
        <v>Unearned revenue (arising from cash receipts) that were included in Current Liabilities in the question in account 633 above.
Enter as positive</v>
      </c>
      <c r="D130" s="144"/>
      <c r="E130" s="152">
        <f>'Unit Data from Audit Worksheet'!F146</f>
        <v>0</v>
      </c>
      <c r="F130" s="47">
        <f>IF(L130&lt;0,"Error: Enter as a positive.",)</f>
        <v>0</v>
      </c>
      <c r="G130" s="72"/>
      <c r="H130" s="347">
        <f>'Unit Data from Audit Worksheet'!I146</f>
        <v>0</v>
      </c>
      <c r="I130" s="38"/>
      <c r="J130" s="42">
        <v>383</v>
      </c>
      <c r="K130" s="51" t="s">
        <v>221</v>
      </c>
      <c r="L130" s="570">
        <f t="shared" si="14"/>
        <v>0</v>
      </c>
      <c r="P130" s="316"/>
      <c r="W130" s="3" t="b">
        <f t="shared" si="10"/>
        <v>1</v>
      </c>
      <c r="X130" s="567">
        <f t="shared" si="12"/>
        <v>0</v>
      </c>
      <c r="Y130" s="567">
        <f t="shared" si="13"/>
        <v>0</v>
      </c>
    </row>
    <row r="131" spans="1:25" ht="54" customHeight="1" x14ac:dyDescent="0.3">
      <c r="A131" s="335">
        <f>'Unit Data from Audit Worksheet'!A147</f>
        <v>349</v>
      </c>
      <c r="B131" s="349" t="str">
        <f>'Unit Data from Audit Worksheet'!C147</f>
        <v>Water Sewer Net Position Statement</v>
      </c>
      <c r="C131" s="334" t="str">
        <f>'Unit Data from Audit Worksheet'!D147</f>
        <v>Total Liabilities and deferred inflows</v>
      </c>
      <c r="D131" s="144"/>
      <c r="E131" s="355">
        <f>'Unit Data from Audit Worksheet'!F147</f>
        <v>0</v>
      </c>
      <c r="F131" s="348">
        <f>IF(L124&gt;L131,"Error: Please review accts 633&gt;349",)</f>
        <v>0</v>
      </c>
      <c r="G131" s="350" t="str">
        <f>IF(Q131=1," Included in error count"," ")</f>
        <v xml:space="preserve"> </v>
      </c>
      <c r="H131" s="347">
        <f>'Unit Data from Audit Worksheet'!I147</f>
        <v>0</v>
      </c>
      <c r="I131" s="38"/>
      <c r="J131" s="346">
        <v>349</v>
      </c>
      <c r="K131" s="345" t="s">
        <v>122</v>
      </c>
      <c r="L131" s="570">
        <f t="shared" si="14"/>
        <v>0</v>
      </c>
      <c r="P131" s="317"/>
      <c r="Q131" s="560">
        <f>IF(L124&gt;L131,1,0)</f>
        <v>0</v>
      </c>
      <c r="W131" s="3" t="b">
        <f t="shared" si="10"/>
        <v>1</v>
      </c>
      <c r="X131" s="567">
        <f t="shared" si="12"/>
        <v>0</v>
      </c>
      <c r="Y131" s="567">
        <f t="shared" si="13"/>
        <v>0</v>
      </c>
    </row>
    <row r="132" spans="1:25" ht="56.25" customHeight="1" x14ac:dyDescent="0.3">
      <c r="A132" s="335">
        <f>'Unit Data from Audit Worksheet'!A148</f>
        <v>375</v>
      </c>
      <c r="B132" s="349" t="str">
        <f>'Unit Data from Audit Worksheet'!C148</f>
        <v>Water Sewer Net Position Statement</v>
      </c>
      <c r="C132" s="334" t="str">
        <f>'Unit Data from Audit Worksheet'!D148</f>
        <v>Total Net position, Unrestricted - enter negative unrestricted net position as a negative</v>
      </c>
      <c r="D132" s="144"/>
      <c r="E132" s="355">
        <f>'Unit Data from Audit Worksheet'!F148</f>
        <v>0</v>
      </c>
      <c r="F132" s="348"/>
      <c r="G132" s="350"/>
      <c r="H132" s="347">
        <f>'Unit Data from Audit Worksheet'!I148</f>
        <v>0</v>
      </c>
      <c r="I132" s="38"/>
      <c r="J132" s="346">
        <v>375</v>
      </c>
      <c r="K132" s="345" t="s">
        <v>222</v>
      </c>
      <c r="L132" s="570">
        <f t="shared" si="14"/>
        <v>0</v>
      </c>
      <c r="P132" s="317"/>
      <c r="W132" s="3" t="b">
        <f t="shared" si="10"/>
        <v>1</v>
      </c>
      <c r="X132" s="567">
        <f t="shared" si="12"/>
        <v>0</v>
      </c>
      <c r="Y132" s="567">
        <f t="shared" si="13"/>
        <v>0</v>
      </c>
    </row>
    <row r="133" spans="1:25" ht="56.25" customHeight="1" x14ac:dyDescent="0.3">
      <c r="A133" s="335">
        <f>'Unit Data from Audit Worksheet'!A149</f>
        <v>83</v>
      </c>
      <c r="B133" s="349" t="str">
        <f>'Unit Data from Audit Worksheet'!C149</f>
        <v>Water Sewer Net Position Statement</v>
      </c>
      <c r="C133" s="334" t="str">
        <f>'Unit Data from Audit Worksheet'!D149</f>
        <v>Total Net position</v>
      </c>
      <c r="D133" s="144"/>
      <c r="E133" s="355">
        <f>'Unit Data from Audit Worksheet'!F149</f>
        <v>0</v>
      </c>
      <c r="F133" s="348">
        <f>IF(+L122-L131-L133=0,,"Error: Total assets less total liabilities do not equal net position acct 381-349-83=0")</f>
        <v>0</v>
      </c>
      <c r="G133" s="91">
        <f>L122-L131-L133</f>
        <v>0</v>
      </c>
      <c r="H133" s="347">
        <f>'Unit Data from Audit Worksheet'!I149</f>
        <v>0</v>
      </c>
      <c r="I133" s="38"/>
      <c r="J133" s="346">
        <v>83</v>
      </c>
      <c r="K133" s="345" t="s">
        <v>102</v>
      </c>
      <c r="L133" s="570">
        <f t="shared" si="14"/>
        <v>0</v>
      </c>
      <c r="O133" s="578" t="e">
        <f>'Unit Data from Audit Worksheet'!E149</f>
        <v>#N/A</v>
      </c>
      <c r="P133" s="317"/>
      <c r="Q133" s="560">
        <f>IF(G133&lt;&gt;0,1,0)</f>
        <v>0</v>
      </c>
      <c r="W133" s="3" t="b">
        <f t="shared" ref="W133:W164" si="15">EXACT(A133,J133)</f>
        <v>1</v>
      </c>
      <c r="X133" s="567">
        <f t="shared" si="12"/>
        <v>0</v>
      </c>
      <c r="Y133" s="567">
        <f t="shared" si="13"/>
        <v>0</v>
      </c>
    </row>
    <row r="134" spans="1:25" ht="56.25" customHeight="1" x14ac:dyDescent="0.3">
      <c r="A134" s="335">
        <f>'Unit Data from Audit Worksheet'!A151</f>
        <v>90</v>
      </c>
      <c r="B134" s="349" t="str">
        <f>'Unit Data from Audit Worksheet'!C151</f>
        <v>Electric Fund Net Position Statement</v>
      </c>
      <c r="C134" s="334" t="str">
        <f>'Unit Data from Audit Worksheet'!D151</f>
        <v>All Unrestricted Cash and Investments.  
Exclude any restricted cash and investments.</v>
      </c>
      <c r="D134" s="144"/>
      <c r="E134" s="355">
        <f>'Unit Data from Audit Worksheet'!F151</f>
        <v>0</v>
      </c>
      <c r="F134" s="348">
        <f>IF(L134&lt;0,"Error: Number is normally positive.",)</f>
        <v>0</v>
      </c>
      <c r="G134" s="350"/>
      <c r="H134" s="347">
        <f>'Unit Data from Audit Worksheet'!I151</f>
        <v>0</v>
      </c>
      <c r="I134" s="38"/>
      <c r="J134" s="346">
        <v>90</v>
      </c>
      <c r="K134" s="345" t="s">
        <v>223</v>
      </c>
      <c r="L134" s="570">
        <f t="shared" si="14"/>
        <v>0</v>
      </c>
      <c r="P134" s="317"/>
      <c r="W134" s="3" t="b">
        <f t="shared" si="15"/>
        <v>1</v>
      </c>
      <c r="X134" s="567">
        <f t="shared" si="12"/>
        <v>0</v>
      </c>
      <c r="Y134" s="567">
        <f t="shared" si="13"/>
        <v>0</v>
      </c>
    </row>
    <row r="135" spans="1:25" ht="56.25" customHeight="1" x14ac:dyDescent="0.3">
      <c r="A135" s="335">
        <f>'Unit Data from Audit Worksheet'!A152</f>
        <v>91</v>
      </c>
      <c r="B135" s="349" t="str">
        <f>'Unit Data from Audit Worksheet'!C152</f>
        <v>Electric Fund Net Position Statement</v>
      </c>
      <c r="C135" s="334" t="str">
        <f>'Unit Data from Audit Worksheet'!D152</f>
        <v xml:space="preserve">Customer accounts receivable (net of allowance accounts)
Include billed and unbilled amounts </v>
      </c>
      <c r="D135" s="144"/>
      <c r="E135" s="355">
        <f>'Unit Data from Audit Worksheet'!F152</f>
        <v>0</v>
      </c>
      <c r="F135" s="348">
        <f>IF(L135&lt;0,"Error: Number is normally positive.",)</f>
        <v>0</v>
      </c>
      <c r="G135" s="350"/>
      <c r="H135" s="347">
        <f>'Unit Data from Audit Worksheet'!I152</f>
        <v>0</v>
      </c>
      <c r="I135" s="38"/>
      <c r="J135" s="346">
        <v>91</v>
      </c>
      <c r="K135" s="345" t="s">
        <v>224</v>
      </c>
      <c r="L135" s="570">
        <f t="shared" si="14"/>
        <v>0</v>
      </c>
      <c r="P135" s="317"/>
      <c r="W135" s="3" t="b">
        <f t="shared" si="15"/>
        <v>1</v>
      </c>
      <c r="X135" s="567">
        <f t="shared" si="12"/>
        <v>0</v>
      </c>
      <c r="Y135" s="567">
        <f t="shared" si="13"/>
        <v>0</v>
      </c>
    </row>
    <row r="136" spans="1:25" ht="56.25" customHeight="1" x14ac:dyDescent="0.3">
      <c r="A136" s="335">
        <f>'Unit Data from Audit Worksheet'!A153</f>
        <v>581</v>
      </c>
      <c r="B136" s="349" t="str">
        <f>'Unit Data from Audit Worksheet'!C153</f>
        <v>Electric Fund Net Position Statement</v>
      </c>
      <c r="C136" s="334" t="str">
        <f>'Unit Data from Audit Worksheet'!D153</f>
        <v>Electric Fund - Advance To:
Interfund loan receivable-portion of repayment plan longer than 12 months</v>
      </c>
      <c r="D136" s="144"/>
      <c r="E136" s="355">
        <f>'Unit Data from Audit Worksheet'!F153</f>
        <v>0</v>
      </c>
      <c r="F136" s="348"/>
      <c r="G136" s="350"/>
      <c r="H136" s="347"/>
      <c r="I136" s="38"/>
      <c r="J136" s="346">
        <v>581</v>
      </c>
      <c r="K136" s="345" t="s">
        <v>342</v>
      </c>
      <c r="L136" s="570">
        <f t="shared" si="14"/>
        <v>0</v>
      </c>
      <c r="P136" s="317"/>
      <c r="W136" s="3" t="b">
        <f t="shared" si="15"/>
        <v>1</v>
      </c>
      <c r="X136" s="567">
        <f t="shared" si="12"/>
        <v>0</v>
      </c>
      <c r="Y136" s="567">
        <f t="shared" si="13"/>
        <v>0</v>
      </c>
    </row>
    <row r="137" spans="1:25" ht="56.25" customHeight="1" x14ac:dyDescent="0.3">
      <c r="A137" s="335">
        <f>'Unit Data from Audit Worksheet'!A154</f>
        <v>511</v>
      </c>
      <c r="B137" s="349" t="str">
        <f>'Unit Data from Audit Worksheet'!C154</f>
        <v>Electric Fund Net Position Statement</v>
      </c>
      <c r="C137" s="334" t="str">
        <f>'Unit Data from Audit Worksheet'!D154</f>
        <v>Amount of inventories and prepaids</v>
      </c>
      <c r="D137" s="144"/>
      <c r="E137" s="355">
        <f>'Unit Data from Audit Worksheet'!F154</f>
        <v>0</v>
      </c>
      <c r="F137" s="348">
        <f t="shared" ref="F137:F142" si="16">IF(L137&lt;0,"Error: Number is normally positive.",)</f>
        <v>0</v>
      </c>
      <c r="G137" s="350"/>
      <c r="H137" s="347">
        <f>'Unit Data from Audit Worksheet'!I154</f>
        <v>0</v>
      </c>
      <c r="I137" s="38"/>
      <c r="J137" s="346">
        <v>511</v>
      </c>
      <c r="K137" s="345" t="s">
        <v>225</v>
      </c>
      <c r="L137" s="570">
        <f t="shared" si="14"/>
        <v>0</v>
      </c>
      <c r="P137" s="317"/>
      <c r="W137" s="3" t="b">
        <f t="shared" si="15"/>
        <v>1</v>
      </c>
      <c r="X137" s="567">
        <f t="shared" si="12"/>
        <v>0</v>
      </c>
      <c r="Y137" s="567">
        <f t="shared" si="13"/>
        <v>0</v>
      </c>
    </row>
    <row r="138" spans="1:25" ht="62.25" customHeight="1" x14ac:dyDescent="0.3">
      <c r="A138" s="335">
        <f>'Unit Data from Audit Worksheet'!A155</f>
        <v>657</v>
      </c>
      <c r="B138" s="349" t="str">
        <f>'Unit Data from Audit Worksheet'!C155</f>
        <v>Electric Fund Net Position Statement</v>
      </c>
      <c r="C138" s="334" t="str">
        <f>'Unit Data from Audit Worksheet'!D155</f>
        <v xml:space="preserve">Total Current assets as listed on the Electric Net Position Statement.  
</v>
      </c>
      <c r="D138" s="144"/>
      <c r="E138" s="355">
        <f>'Unit Data from Audit Worksheet'!F155</f>
        <v>0</v>
      </c>
      <c r="F138" s="348">
        <f t="shared" si="16"/>
        <v>0</v>
      </c>
      <c r="G138" s="350"/>
      <c r="H138" s="347">
        <f>'Unit Data from Audit Worksheet'!I155</f>
        <v>0</v>
      </c>
      <c r="I138" s="38"/>
      <c r="J138" s="346">
        <v>657</v>
      </c>
      <c r="K138" s="345" t="s">
        <v>507</v>
      </c>
      <c r="L138" s="584">
        <f>IF(D138="",E138,D138)</f>
        <v>0</v>
      </c>
      <c r="P138" s="317"/>
      <c r="Q138" s="560">
        <f>IF((L134+L135+L137)&gt;L140,1,0)</f>
        <v>0</v>
      </c>
      <c r="W138" s="3" t="b">
        <f t="shared" si="15"/>
        <v>1</v>
      </c>
      <c r="X138" s="567">
        <f t="shared" si="12"/>
        <v>0</v>
      </c>
      <c r="Y138" s="567">
        <f t="shared" si="13"/>
        <v>0</v>
      </c>
    </row>
    <row r="139" spans="1:25" ht="62.25" customHeight="1" x14ac:dyDescent="0.3">
      <c r="A139" s="335">
        <f>'Unit Data from Audit Worksheet'!A156</f>
        <v>658</v>
      </c>
      <c r="B139" s="349" t="str">
        <f>'Unit Data from Audit Worksheet'!C156</f>
        <v>Electric Fund Net Position Statement</v>
      </c>
      <c r="C139" s="334" t="str">
        <f>'Unit Data from Audit Worksheet'!D156</f>
        <v>Electric-Any current assets that are restricted (Cash, Accounts Rec., etc..) and included in account 657 above</v>
      </c>
      <c r="D139" s="144"/>
      <c r="E139" s="355">
        <f>'Unit Data from Audit Worksheet'!F156</f>
        <v>0</v>
      </c>
      <c r="F139" s="348">
        <f t="shared" si="16"/>
        <v>0</v>
      </c>
      <c r="G139" s="350"/>
      <c r="H139" s="347"/>
      <c r="I139" s="38"/>
      <c r="J139" s="346">
        <v>658</v>
      </c>
      <c r="K139" s="345" t="s">
        <v>544</v>
      </c>
      <c r="L139" s="584">
        <f>IF(D139="",E139,D139)</f>
        <v>0</v>
      </c>
      <c r="P139" s="317"/>
      <c r="W139" s="3" t="b">
        <f t="shared" si="15"/>
        <v>1</v>
      </c>
      <c r="X139" s="567">
        <f t="shared" si="12"/>
        <v>0</v>
      </c>
      <c r="Y139" s="567">
        <f t="shared" si="13"/>
        <v>0</v>
      </c>
    </row>
    <row r="140" spans="1:25" ht="39.75" customHeight="1" x14ac:dyDescent="0.3">
      <c r="A140" s="335">
        <f>'Unit Data from Audit Worksheet'!A157</f>
        <v>382</v>
      </c>
      <c r="B140" s="349" t="str">
        <f>'Unit Data from Audit Worksheet'!C157</f>
        <v>Electric Fund Net Position Statement</v>
      </c>
      <c r="C140" s="334" t="str">
        <f>'Unit Data from Audit Worksheet'!D157</f>
        <v>Total Assets and deferred outflows</v>
      </c>
      <c r="D140" s="144"/>
      <c r="E140" s="355">
        <f>'Unit Data from Audit Worksheet'!F157</f>
        <v>0</v>
      </c>
      <c r="F140" s="348">
        <f t="shared" si="16"/>
        <v>0</v>
      </c>
      <c r="G140" s="350"/>
      <c r="H140" s="347">
        <f>'Unit Data from Audit Worksheet'!I157</f>
        <v>0</v>
      </c>
      <c r="I140" s="38"/>
      <c r="J140" s="346">
        <v>382</v>
      </c>
      <c r="K140" s="345" t="s">
        <v>114</v>
      </c>
      <c r="L140" s="570">
        <f>IF(D140="",E140,D140)</f>
        <v>0</v>
      </c>
      <c r="P140" s="317"/>
      <c r="W140" s="3" t="b">
        <f t="shared" si="15"/>
        <v>1</v>
      </c>
      <c r="X140" s="567">
        <f t="shared" si="12"/>
        <v>0</v>
      </c>
      <c r="Y140" s="567">
        <f t="shared" si="13"/>
        <v>0</v>
      </c>
    </row>
    <row r="141" spans="1:25" ht="39.75" customHeight="1" x14ac:dyDescent="0.3">
      <c r="A141" s="335">
        <f>'Unit Data from Audit Worksheet'!A158</f>
        <v>360</v>
      </c>
      <c r="B141" s="349" t="str">
        <f>'Unit Data from Audit Worksheet'!C158</f>
        <v>Electric Fund Net Position Statement</v>
      </c>
      <c r="C141" s="334" t="str">
        <f>'Unit Data from Audit Worksheet'!D158</f>
        <v>Total liabilities and total deferred inflows</v>
      </c>
      <c r="D141" s="144"/>
      <c r="E141" s="355">
        <f>'Unit Data from Audit Worksheet'!F158</f>
        <v>0</v>
      </c>
      <c r="F141" s="348">
        <f t="shared" si="16"/>
        <v>0</v>
      </c>
      <c r="G141" s="350"/>
      <c r="H141" s="347">
        <f>'Unit Data from Audit Worksheet'!I158</f>
        <v>0</v>
      </c>
      <c r="I141" s="38"/>
      <c r="J141" s="346">
        <v>360</v>
      </c>
      <c r="K141" s="109" t="s">
        <v>125</v>
      </c>
      <c r="L141" s="570">
        <f>IF(D141="",E141,D141)</f>
        <v>0</v>
      </c>
      <c r="P141" s="317"/>
      <c r="W141" s="3" t="b">
        <f t="shared" si="15"/>
        <v>1</v>
      </c>
      <c r="X141" s="567">
        <f t="shared" si="12"/>
        <v>0</v>
      </c>
      <c r="Y141" s="567">
        <f t="shared" si="13"/>
        <v>0</v>
      </c>
    </row>
    <row r="142" spans="1:25" ht="58.5" customHeight="1" x14ac:dyDescent="0.3">
      <c r="A142" s="335">
        <f>'Unit Data from Audit Worksheet'!A159</f>
        <v>580</v>
      </c>
      <c r="B142" s="349" t="str">
        <f>'Unit Data from Audit Worksheet'!C159</f>
        <v>Electric Fund Net Position Statement</v>
      </c>
      <c r="C142" s="334" t="str">
        <f>'Unit Data from Audit Worksheet'!D159</f>
        <v>Electric Fund - Advance From:
Interfund loans payable-portion of repayment plan longer than 12 months</v>
      </c>
      <c r="D142" s="144"/>
      <c r="E142" s="355">
        <f>'Unit Data from Audit Worksheet'!F159</f>
        <v>0</v>
      </c>
      <c r="F142" s="348">
        <f t="shared" si="16"/>
        <v>0</v>
      </c>
      <c r="G142" s="350"/>
      <c r="H142" s="347">
        <f>'Unit Data from Audit Worksheet'!I159</f>
        <v>0</v>
      </c>
      <c r="I142" s="38"/>
      <c r="J142" s="346">
        <v>580</v>
      </c>
      <c r="K142" s="109" t="s">
        <v>343</v>
      </c>
      <c r="L142" s="570">
        <f>IF(D142="",E142,D142)</f>
        <v>0</v>
      </c>
      <c r="N142" s="579"/>
      <c r="P142" s="317"/>
      <c r="W142" s="3" t="b">
        <f t="shared" si="15"/>
        <v>1</v>
      </c>
      <c r="X142" s="567">
        <f t="shared" si="12"/>
        <v>0</v>
      </c>
      <c r="Y142" s="567">
        <f t="shared" si="13"/>
        <v>0</v>
      </c>
    </row>
    <row r="143" spans="1:25" s="18" customFormat="1" ht="104.25" customHeight="1" x14ac:dyDescent="0.3">
      <c r="A143" s="335">
        <f>'Unit Data from Audit Worksheet'!A160</f>
        <v>639</v>
      </c>
      <c r="B143" s="349" t="str">
        <f>'Unit Data from Audit Worksheet'!C160</f>
        <v>Electric Fund Net Position Statement</v>
      </c>
      <c r="C143" s="334"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4"/>
      <c r="E143" s="355">
        <f>'Unit Data from Audit Worksheet'!F160</f>
        <v>0</v>
      </c>
      <c r="F143" s="348" t="str">
        <f>IF(L143&gt;=(L144+L145+L146+L147+L148+L149),"","Account 639 is less than the total sum of accounts 640 through 644 + 384")</f>
        <v/>
      </c>
      <c r="G143" s="350">
        <f>L143-(L144+L145+L146+L147+L148+L149)</f>
        <v>0</v>
      </c>
      <c r="H143" s="347">
        <f>'Unit Data from Audit Worksheet'!I160</f>
        <v>0</v>
      </c>
      <c r="I143" s="38"/>
      <c r="J143" s="346">
        <v>639</v>
      </c>
      <c r="K143" s="345" t="s">
        <v>439</v>
      </c>
      <c r="L143" s="584">
        <f t="shared" ref="L143:L164" si="17">IF(D143="",E143,D143)</f>
        <v>0</v>
      </c>
      <c r="P143" s="317"/>
      <c r="Q143" s="560"/>
      <c r="R143" s="3"/>
      <c r="W143" s="18" t="b">
        <f t="shared" si="15"/>
        <v>1</v>
      </c>
      <c r="X143" s="576">
        <f t="shared" si="12"/>
        <v>0</v>
      </c>
      <c r="Y143" s="576">
        <f t="shared" si="13"/>
        <v>0</v>
      </c>
    </row>
    <row r="144" spans="1:25" s="18" customFormat="1" ht="104.25" customHeight="1" x14ac:dyDescent="0.3">
      <c r="A144" s="335">
        <f>'Unit Data from Audit Worksheet'!A161</f>
        <v>640</v>
      </c>
      <c r="B144" s="349" t="str">
        <f>'Unit Data from Audit Worksheet'!C161</f>
        <v>Electric Fund Net Position Statement</v>
      </c>
      <c r="C144" s="334"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4"/>
      <c r="E144" s="355">
        <f>'Unit Data from Audit Worksheet'!F161</f>
        <v>0</v>
      </c>
      <c r="F144" s="348">
        <f t="shared" ref="F144:F149" si="18">IF(L144&lt;0,"Error: Number is normally positive.",)</f>
        <v>0</v>
      </c>
      <c r="G144" s="350"/>
      <c r="H144" s="347">
        <f>'Unit Data from Audit Worksheet'!I161</f>
        <v>0</v>
      </c>
      <c r="I144" s="38"/>
      <c r="J144" s="346">
        <v>640</v>
      </c>
      <c r="K144" s="345" t="s">
        <v>440</v>
      </c>
      <c r="L144" s="584">
        <f t="shared" si="17"/>
        <v>0</v>
      </c>
      <c r="P144" s="317"/>
      <c r="Q144" s="560"/>
      <c r="R144" s="3"/>
      <c r="W144" s="18" t="b">
        <f t="shared" si="15"/>
        <v>1</v>
      </c>
      <c r="X144" s="576">
        <f t="shared" si="12"/>
        <v>0</v>
      </c>
      <c r="Y144" s="576">
        <f t="shared" si="13"/>
        <v>0</v>
      </c>
    </row>
    <row r="145" spans="1:25" s="18" customFormat="1" ht="104.25" customHeight="1" x14ac:dyDescent="0.3">
      <c r="A145" s="335">
        <f>'Unit Data from Audit Worksheet'!A162</f>
        <v>641</v>
      </c>
      <c r="B145" s="349" t="str">
        <f>'Unit Data from Audit Worksheet'!C162</f>
        <v>Electric Fund Net Position Statement</v>
      </c>
      <c r="C145" s="334"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4"/>
      <c r="E145" s="355">
        <f>'Unit Data from Audit Worksheet'!F162</f>
        <v>0</v>
      </c>
      <c r="F145" s="348">
        <f t="shared" si="18"/>
        <v>0</v>
      </c>
      <c r="G145" s="350"/>
      <c r="H145" s="347">
        <f>'Unit Data from Audit Worksheet'!I162</f>
        <v>0</v>
      </c>
      <c r="I145" s="38"/>
      <c r="J145" s="346">
        <v>641</v>
      </c>
      <c r="K145" s="345" t="s">
        <v>441</v>
      </c>
      <c r="L145" s="584">
        <f t="shared" si="17"/>
        <v>0</v>
      </c>
      <c r="P145" s="317"/>
      <c r="Q145" s="560"/>
      <c r="R145" s="3"/>
      <c r="W145" s="18" t="b">
        <f t="shared" si="15"/>
        <v>1</v>
      </c>
      <c r="X145" s="576">
        <f t="shared" si="12"/>
        <v>0</v>
      </c>
      <c r="Y145" s="576">
        <f t="shared" si="13"/>
        <v>0</v>
      </c>
    </row>
    <row r="146" spans="1:25" s="18" customFormat="1" ht="104.25" customHeight="1" x14ac:dyDescent="0.3">
      <c r="A146" s="335">
        <f>'Unit Data from Audit Worksheet'!A163</f>
        <v>642</v>
      </c>
      <c r="B146" s="349" t="str">
        <f>'Unit Data from Audit Worksheet'!C163</f>
        <v>Electric Fund Net Position Statement</v>
      </c>
      <c r="C146" s="334"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4"/>
      <c r="E146" s="355">
        <f>'Unit Data from Audit Worksheet'!F163</f>
        <v>0</v>
      </c>
      <c r="F146" s="348">
        <f t="shared" si="18"/>
        <v>0</v>
      </c>
      <c r="G146" s="350"/>
      <c r="H146" s="347">
        <f>'Unit Data from Audit Worksheet'!I163</f>
        <v>0</v>
      </c>
      <c r="I146" s="38"/>
      <c r="J146" s="346">
        <v>642</v>
      </c>
      <c r="K146" s="345" t="s">
        <v>442</v>
      </c>
      <c r="L146" s="584">
        <f t="shared" si="17"/>
        <v>0</v>
      </c>
      <c r="P146" s="317"/>
      <c r="Q146" s="560"/>
      <c r="R146" s="3"/>
      <c r="W146" s="18" t="b">
        <f t="shared" si="15"/>
        <v>1</v>
      </c>
      <c r="X146" s="576">
        <f t="shared" si="12"/>
        <v>0</v>
      </c>
      <c r="Y146" s="576">
        <f t="shared" si="13"/>
        <v>0</v>
      </c>
    </row>
    <row r="147" spans="1:25" s="18" customFormat="1" ht="60.75" customHeight="1" x14ac:dyDescent="0.3">
      <c r="A147" s="335">
        <f>'Unit Data from Audit Worksheet'!A164</f>
        <v>643</v>
      </c>
      <c r="B147" s="349" t="str">
        <f>'Unit Data from Audit Worksheet'!C164</f>
        <v>Electric Fund Net Position Statement</v>
      </c>
      <c r="C147" s="334" t="str">
        <f>'Unit Data from Audit Worksheet'!D164</f>
        <v>Please enter any current liabilities that are payable from restricted assets and included in account 639 above. 
Enter as a positive</v>
      </c>
      <c r="D147" s="144"/>
      <c r="E147" s="355">
        <f>'Unit Data from Audit Worksheet'!F164</f>
        <v>0</v>
      </c>
      <c r="F147" s="348">
        <f t="shared" si="18"/>
        <v>0</v>
      </c>
      <c r="G147" s="350"/>
      <c r="H147" s="347">
        <f>'Unit Data from Audit Worksheet'!I164</f>
        <v>0</v>
      </c>
      <c r="I147" s="38"/>
      <c r="J147" s="346">
        <v>643</v>
      </c>
      <c r="K147" s="345" t="s">
        <v>443</v>
      </c>
      <c r="L147" s="584">
        <f t="shared" si="17"/>
        <v>0</v>
      </c>
      <c r="P147" s="317"/>
      <c r="Q147" s="560"/>
      <c r="R147" s="3"/>
      <c r="W147" s="18" t="b">
        <f t="shared" si="15"/>
        <v>1</v>
      </c>
      <c r="X147" s="576">
        <f t="shared" si="12"/>
        <v>0</v>
      </c>
      <c r="Y147" s="576">
        <f t="shared" si="13"/>
        <v>0</v>
      </c>
    </row>
    <row r="148" spans="1:25" s="18" customFormat="1" ht="102" customHeight="1" x14ac:dyDescent="0.3">
      <c r="A148" s="335">
        <f>'Unit Data from Audit Worksheet'!A165</f>
        <v>644</v>
      </c>
      <c r="B148" s="349" t="str">
        <f>'Unit Data from Audit Worksheet'!C165</f>
        <v>Electric Fund Net Position Statement</v>
      </c>
      <c r="C148" s="334"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4"/>
      <c r="E148" s="355">
        <f>'Unit Data from Audit Worksheet'!F165</f>
        <v>0</v>
      </c>
      <c r="F148" s="348">
        <f t="shared" si="18"/>
        <v>0</v>
      </c>
      <c r="G148" s="350"/>
      <c r="H148" s="347">
        <f>'Unit Data from Audit Worksheet'!I165</f>
        <v>0</v>
      </c>
      <c r="I148" s="38"/>
      <c r="J148" s="277">
        <v>644</v>
      </c>
      <c r="K148" s="345" t="s">
        <v>444</v>
      </c>
      <c r="L148" s="584">
        <f t="shared" si="17"/>
        <v>0</v>
      </c>
      <c r="P148" s="320"/>
      <c r="Q148" s="560"/>
      <c r="R148" s="3"/>
      <c r="W148" s="18" t="b">
        <f t="shared" si="15"/>
        <v>1</v>
      </c>
      <c r="X148" s="576">
        <f t="shared" si="12"/>
        <v>0</v>
      </c>
      <c r="Y148" s="576">
        <f t="shared" si="13"/>
        <v>0</v>
      </c>
    </row>
    <row r="149" spans="1:25" ht="63.75" customHeight="1" x14ac:dyDescent="0.3">
      <c r="A149" s="335">
        <f>+'Unit Data from Audit Worksheet'!A166</f>
        <v>384</v>
      </c>
      <c r="B149" s="335" t="str">
        <f>+'Unit Data from Audit Worksheet'!C166</f>
        <v>Electric Fund Net Position Statement</v>
      </c>
      <c r="C149" s="335" t="str">
        <f>+'Unit Data from Audit Worksheet'!D166</f>
        <v>Unearned revenue (arising from cash receipts) that were included in Current Liabilities in account 639 above.
Enter as a positive</v>
      </c>
      <c r="D149" s="144"/>
      <c r="E149" s="355">
        <f>+'Unit Data from Audit Worksheet'!F166</f>
        <v>0</v>
      </c>
      <c r="F149" s="348">
        <f t="shared" si="18"/>
        <v>0</v>
      </c>
      <c r="G149" s="350"/>
      <c r="H149" s="347">
        <f>'Unit Data from Audit Worksheet'!I166</f>
        <v>0</v>
      </c>
      <c r="I149" s="38"/>
      <c r="J149" s="346">
        <v>384</v>
      </c>
      <c r="K149" s="58" t="s">
        <v>124</v>
      </c>
      <c r="L149" s="570">
        <f t="shared" si="17"/>
        <v>0</v>
      </c>
      <c r="P149" s="317"/>
      <c r="W149" s="3" t="b">
        <f t="shared" si="15"/>
        <v>1</v>
      </c>
      <c r="X149" s="567">
        <f t="shared" si="12"/>
        <v>0</v>
      </c>
      <c r="Y149" s="567">
        <f t="shared" si="13"/>
        <v>0</v>
      </c>
    </row>
    <row r="150" spans="1:25" ht="86.4" x14ac:dyDescent="0.3">
      <c r="A150" s="335">
        <f>+'Unit Data from Audit Worksheet'!A167</f>
        <v>361</v>
      </c>
      <c r="B150" s="335" t="str">
        <f>+'Unit Data from Audit Worksheet'!C167</f>
        <v>Electric Fund Net Position Statement</v>
      </c>
      <c r="C150" s="335" t="str">
        <f>+'Unit Data from Audit Worksheet'!D167</f>
        <v>Total net position, unrestricted - Amount of negative unrestricted net position should be entered as a negative amount and the amount of positive unrestricted net position should be entered as a positive amount.</v>
      </c>
      <c r="D150" s="144"/>
      <c r="E150" s="355">
        <f>+'Unit Data from Audit Worksheet'!F167</f>
        <v>0</v>
      </c>
      <c r="F150" s="348"/>
      <c r="G150" s="350"/>
      <c r="H150" s="347">
        <f>'Unit Data from Audit Worksheet'!I167</f>
        <v>0</v>
      </c>
      <c r="I150" s="38"/>
      <c r="J150" s="346">
        <v>361</v>
      </c>
      <c r="K150" s="345" t="s">
        <v>106</v>
      </c>
      <c r="L150" s="570">
        <f t="shared" si="17"/>
        <v>0</v>
      </c>
      <c r="P150" s="317"/>
      <c r="W150" s="3" t="b">
        <f t="shared" si="15"/>
        <v>1</v>
      </c>
      <c r="X150" s="567">
        <f t="shared" si="12"/>
        <v>0</v>
      </c>
      <c r="Y150" s="567">
        <f t="shared" si="13"/>
        <v>0</v>
      </c>
    </row>
    <row r="151" spans="1:25" ht="46.5" customHeight="1" x14ac:dyDescent="0.3">
      <c r="A151" s="335">
        <f>'Unit Data from Audit Worksheet'!A168</f>
        <v>362</v>
      </c>
      <c r="B151" s="349" t="str">
        <f>'Unit Data from Audit Worksheet'!C168</f>
        <v>Electric Fund Net Position Statement</v>
      </c>
      <c r="C151" s="334" t="str">
        <f>'Unit Data from Audit Worksheet'!D168</f>
        <v>Total net position</v>
      </c>
      <c r="D151" s="144"/>
      <c r="E151" s="355">
        <f>'Unit Data from Audit Worksheet'!F168</f>
        <v>0</v>
      </c>
      <c r="F151" s="348">
        <f>IF(L140-L141-L151=0,,"Error: Total assets less total liabilities do not equal net position acct 382-360-362=0")</f>
        <v>0</v>
      </c>
      <c r="G151" s="91">
        <f>+L140-L141-L151</f>
        <v>0</v>
      </c>
      <c r="H151" s="347">
        <f>'Unit Data from Audit Worksheet'!I168</f>
        <v>0</v>
      </c>
      <c r="I151" s="38"/>
      <c r="J151" s="346">
        <v>362</v>
      </c>
      <c r="K151" s="345" t="s">
        <v>107</v>
      </c>
      <c r="L151" s="570">
        <f t="shared" si="17"/>
        <v>0</v>
      </c>
      <c r="O151" s="578" t="e">
        <f>'Unit Data from Audit Worksheet'!E168</f>
        <v>#N/A</v>
      </c>
      <c r="P151" s="317"/>
      <c r="Q151" s="560">
        <f>IF(+L140-L141-L151=0,0,1)</f>
        <v>0</v>
      </c>
      <c r="W151" s="3" t="b">
        <f t="shared" si="15"/>
        <v>1</v>
      </c>
      <c r="X151" s="567">
        <f t="shared" si="12"/>
        <v>0</v>
      </c>
      <c r="Y151" s="567">
        <f t="shared" si="13"/>
        <v>0</v>
      </c>
    </row>
    <row r="152" spans="1:25" ht="61.5" customHeight="1" x14ac:dyDescent="0.3">
      <c r="A152" s="335">
        <f>'Unit Data from Audit Worksheet'!A171</f>
        <v>88</v>
      </c>
      <c r="B152" s="349" t="str">
        <f>'Unit Data from Audit Worksheet'!C171</f>
        <v>Water Sewer Revenue, Expenses &amp; Changes in Fund Net Position</v>
      </c>
      <c r="C152" s="334" t="str">
        <f>'Unit Data from Audit Worksheet'!D171</f>
        <v>Charges for services. 
Exclude tap, capacity fees and other misc. income .</v>
      </c>
      <c r="D152" s="144"/>
      <c r="E152" s="355">
        <f>'Unit Data from Audit Worksheet'!F171</f>
        <v>0</v>
      </c>
      <c r="F152" s="348"/>
      <c r="G152" s="350"/>
      <c r="H152" s="347">
        <f>'Unit Data from Audit Worksheet'!I171</f>
        <v>0</v>
      </c>
      <c r="I152" s="38"/>
      <c r="J152" s="346">
        <v>88</v>
      </c>
      <c r="K152" s="345" t="s">
        <v>226</v>
      </c>
      <c r="L152" s="570">
        <f t="shared" si="17"/>
        <v>0</v>
      </c>
      <c r="P152" s="317"/>
      <c r="Q152" s="351"/>
      <c r="W152" s="3" t="b">
        <f t="shared" si="15"/>
        <v>1</v>
      </c>
      <c r="X152" s="567">
        <f t="shared" si="12"/>
        <v>0</v>
      </c>
      <c r="Y152" s="567">
        <f t="shared" si="13"/>
        <v>0</v>
      </c>
    </row>
    <row r="153" spans="1:25" ht="72" customHeight="1" x14ac:dyDescent="0.3">
      <c r="A153" s="335">
        <f>'Unit Data from Audit Worksheet'!A172</f>
        <v>84</v>
      </c>
      <c r="B153" s="349" t="str">
        <f>'Unit Data from Audit Worksheet'!C172</f>
        <v>Water Sewer Revenue, Expenses &amp; Changes in Fund Net Position</v>
      </c>
      <c r="C153" s="334" t="str">
        <f>'Unit Data from Audit Worksheet'!D172</f>
        <v>Total Operating revenues</v>
      </c>
      <c r="D153" s="144"/>
      <c r="E153" s="355">
        <f>'Unit Data from Audit Worksheet'!F172</f>
        <v>0</v>
      </c>
      <c r="F153" s="348" t="str">
        <f>IF(L152&gt;L153,"Error: Charges for services exceed total operating revenues. Acct # 88&gt;84"," ")</f>
        <v xml:space="preserve"> </v>
      </c>
      <c r="G153" s="350" t="str">
        <f>IF(Q153=1," Included in error count"," ")</f>
        <v xml:space="preserve"> </v>
      </c>
      <c r="H153" s="347">
        <f>'Unit Data from Audit Worksheet'!I172</f>
        <v>0</v>
      </c>
      <c r="I153" s="38"/>
      <c r="J153" s="346">
        <v>84</v>
      </c>
      <c r="K153" s="345" t="s">
        <v>227</v>
      </c>
      <c r="L153" s="570">
        <f t="shared" si="17"/>
        <v>0</v>
      </c>
      <c r="P153" s="317"/>
      <c r="Q153" s="560">
        <f>IF(L152&gt;L153,1,0)</f>
        <v>0</v>
      </c>
      <c r="W153" s="3" t="b">
        <f t="shared" si="15"/>
        <v>1</v>
      </c>
      <c r="X153" s="567">
        <f t="shared" si="12"/>
        <v>0</v>
      </c>
      <c r="Y153" s="567">
        <f t="shared" si="13"/>
        <v>0</v>
      </c>
    </row>
    <row r="154" spans="1:25" ht="72" customHeight="1" x14ac:dyDescent="0.3">
      <c r="A154" s="335">
        <f>'Unit Data from Audit Worksheet'!A173</f>
        <v>49</v>
      </c>
      <c r="B154" s="349" t="str">
        <f>'Unit Data from Audit Worksheet'!C173</f>
        <v>Water Sewer Revenue, Expenses &amp; Changes in Fund Net Position</v>
      </c>
      <c r="C154" s="334" t="str">
        <f>'Unit Data from Audit Worksheet'!D173</f>
        <v>Depreciation and amortization expense</v>
      </c>
      <c r="D154" s="144"/>
      <c r="E154" s="355">
        <f>'Unit Data from Audit Worksheet'!F173</f>
        <v>0</v>
      </c>
      <c r="F154" s="348">
        <f>IF(L154&lt;0,"Error: Number is normally positive.",)</f>
        <v>0</v>
      </c>
      <c r="G154" s="350"/>
      <c r="H154" s="347">
        <f>'Unit Data from Audit Worksheet'!I173</f>
        <v>0</v>
      </c>
      <c r="I154" s="38"/>
      <c r="J154" s="346">
        <v>49</v>
      </c>
      <c r="K154" s="345" t="s">
        <v>228</v>
      </c>
      <c r="L154" s="570">
        <f t="shared" si="17"/>
        <v>0</v>
      </c>
      <c r="O154" s="578"/>
      <c r="P154" s="317"/>
      <c r="W154" s="3" t="b">
        <f t="shared" si="15"/>
        <v>1</v>
      </c>
      <c r="X154" s="567">
        <f t="shared" si="12"/>
        <v>0</v>
      </c>
      <c r="Y154" s="567">
        <f t="shared" si="13"/>
        <v>0</v>
      </c>
    </row>
    <row r="155" spans="1:25" ht="48" customHeight="1" x14ac:dyDescent="0.3">
      <c r="A155" s="335">
        <f>'Unit Data from Audit Worksheet'!A174</f>
        <v>85</v>
      </c>
      <c r="B155" s="349" t="str">
        <f>'Unit Data from Audit Worksheet'!C174</f>
        <v>Water Sewer Revenue, Expenses &amp; Changes in Fund Net Position</v>
      </c>
      <c r="C155" s="334" t="str">
        <f>'Unit Data from Audit Worksheet'!D174</f>
        <v>Total Operating expenses</v>
      </c>
      <c r="D155" s="144"/>
      <c r="E155" s="355">
        <f>'Unit Data from Audit Worksheet'!F174</f>
        <v>0</v>
      </c>
      <c r="F155" s="348"/>
      <c r="G155" s="350"/>
      <c r="H155" s="347">
        <f>'Unit Data from Audit Worksheet'!I174</f>
        <v>0</v>
      </c>
      <c r="I155" s="38"/>
      <c r="J155" s="346">
        <v>85</v>
      </c>
      <c r="K155" s="345" t="s">
        <v>229</v>
      </c>
      <c r="L155" s="570">
        <f t="shared" si="17"/>
        <v>0</v>
      </c>
      <c r="P155" s="317"/>
      <c r="W155" s="3" t="b">
        <f t="shared" si="15"/>
        <v>1</v>
      </c>
      <c r="X155" s="567">
        <f t="shared" si="12"/>
        <v>0</v>
      </c>
      <c r="Y155" s="567">
        <f t="shared" si="13"/>
        <v>0</v>
      </c>
    </row>
    <row r="156" spans="1:25" ht="48" customHeight="1" x14ac:dyDescent="0.3">
      <c r="A156" s="335">
        <f>'Unit Data from Audit Worksheet'!A175</f>
        <v>89</v>
      </c>
      <c r="B156" s="349" t="str">
        <f>'Unit Data from Audit Worksheet'!C175</f>
        <v>Water Sewer Revenue, Expenses &amp; Changes in Fund Net Position</v>
      </c>
      <c r="C156" s="334" t="str">
        <f>'Unit Data from Audit Worksheet'!D175</f>
        <v>Interest expense</v>
      </c>
      <c r="D156" s="144"/>
      <c r="E156" s="355">
        <f>'Unit Data from Audit Worksheet'!F175</f>
        <v>0</v>
      </c>
      <c r="F156" s="348"/>
      <c r="G156" s="350"/>
      <c r="H156" s="347">
        <f>'Unit Data from Audit Worksheet'!I175</f>
        <v>0</v>
      </c>
      <c r="I156" s="38"/>
      <c r="J156" s="346">
        <v>89</v>
      </c>
      <c r="K156" s="345" t="s">
        <v>230</v>
      </c>
      <c r="L156" s="570">
        <f t="shared" si="17"/>
        <v>0</v>
      </c>
      <c r="P156" s="317"/>
      <c r="W156" s="3" t="b">
        <f t="shared" si="15"/>
        <v>1</v>
      </c>
      <c r="X156" s="567">
        <f t="shared" si="12"/>
        <v>0</v>
      </c>
      <c r="Y156" s="567">
        <f t="shared" si="13"/>
        <v>0</v>
      </c>
    </row>
    <row r="157" spans="1:25" ht="48" customHeight="1" x14ac:dyDescent="0.3">
      <c r="A157" s="335">
        <f>'Unit Data from Audit Worksheet'!A176</f>
        <v>350</v>
      </c>
      <c r="B157" s="349" t="str">
        <f>'Unit Data from Audit Worksheet'!C176</f>
        <v>Water Sewer Revenue, Expenses &amp; Changes in Fund Net Position</v>
      </c>
      <c r="C157" s="334" t="str">
        <f>'Unit Data from Audit Worksheet'!D176</f>
        <v>Total all non-operating revenues  
Exclude Capital contributions.</v>
      </c>
      <c r="D157" s="144"/>
      <c r="E157" s="355">
        <f>'Unit Data from Audit Worksheet'!F176</f>
        <v>0</v>
      </c>
      <c r="F157" s="348"/>
      <c r="G157" s="350"/>
      <c r="H157" s="347">
        <f>'Unit Data from Audit Worksheet'!I176</f>
        <v>0</v>
      </c>
      <c r="I157" s="38"/>
      <c r="J157" s="346">
        <v>350</v>
      </c>
      <c r="K157" s="345" t="s">
        <v>231</v>
      </c>
      <c r="L157" s="570">
        <f t="shared" si="17"/>
        <v>0</v>
      </c>
      <c r="P157" s="317"/>
      <c r="W157" s="3" t="b">
        <f t="shared" si="15"/>
        <v>1</v>
      </c>
      <c r="X157" s="567">
        <f t="shared" si="12"/>
        <v>0</v>
      </c>
      <c r="Y157" s="567">
        <f t="shared" si="13"/>
        <v>0</v>
      </c>
    </row>
    <row r="158" spans="1:25" ht="48" customHeight="1" x14ac:dyDescent="0.3">
      <c r="A158" s="335">
        <f>'Unit Data from Audit Worksheet'!A177</f>
        <v>351</v>
      </c>
      <c r="B158" s="349" t="str">
        <f>'Unit Data from Audit Worksheet'!C177</f>
        <v>Water Sewer Revenue, Expenses &amp; Changes in Fund Net Position</v>
      </c>
      <c r="C158" s="334" t="str">
        <f>'Unit Data from Audit Worksheet'!D177</f>
        <v>Total all non-operating expenses.  
Include any negative special, extraordinary, or capital contribution.</v>
      </c>
      <c r="D158" s="144"/>
      <c r="E158" s="355">
        <f>'Unit Data from Audit Worksheet'!F177</f>
        <v>0</v>
      </c>
      <c r="F158" s="348"/>
      <c r="G158" s="350"/>
      <c r="H158" s="347">
        <f>'Unit Data from Audit Worksheet'!I177</f>
        <v>0</v>
      </c>
      <c r="I158" s="38"/>
      <c r="J158" s="346">
        <v>351</v>
      </c>
      <c r="K158" s="345" t="s">
        <v>232</v>
      </c>
      <c r="L158" s="570">
        <f t="shared" si="17"/>
        <v>0</v>
      </c>
      <c r="P158" s="317"/>
      <c r="W158" s="3" t="b">
        <f t="shared" si="15"/>
        <v>1</v>
      </c>
      <c r="X158" s="567">
        <f t="shared" si="12"/>
        <v>0</v>
      </c>
      <c r="Y158" s="567">
        <f t="shared" si="13"/>
        <v>0</v>
      </c>
    </row>
    <row r="159" spans="1:25" ht="57.6" x14ac:dyDescent="0.3">
      <c r="A159" s="335">
        <f>'Unit Data from Audit Worksheet'!A178</f>
        <v>191</v>
      </c>
      <c r="B159" s="349" t="str">
        <f>'Unit Data from Audit Worksheet'!C178</f>
        <v>Water Sewer Revenue, Expenses &amp; Changes in Fund Net Position</v>
      </c>
      <c r="C159" s="334" t="str">
        <f>'Unit Data from Audit Worksheet'!D178</f>
        <v>Capital contributions. Only include positive capital contributions.  Negative capital contributions should be included with 'Total all non-operating expenses.'</v>
      </c>
      <c r="D159" s="144"/>
      <c r="E159" s="355">
        <f>'Unit Data from Audit Worksheet'!F178</f>
        <v>0</v>
      </c>
      <c r="F159" s="348">
        <f>IF(L159&lt;0,"Error: Enter as a positive.",)</f>
        <v>0</v>
      </c>
      <c r="G159" s="350"/>
      <c r="H159" s="347">
        <f>'Unit Data from Audit Worksheet'!I178</f>
        <v>0</v>
      </c>
      <c r="I159" s="38"/>
      <c r="J159" s="346">
        <v>191</v>
      </c>
      <c r="K159" s="345" t="s">
        <v>233</v>
      </c>
      <c r="L159" s="570">
        <f t="shared" si="17"/>
        <v>0</v>
      </c>
      <c r="P159" s="317"/>
      <c r="W159" s="3" t="b">
        <f t="shared" si="15"/>
        <v>1</v>
      </c>
      <c r="X159" s="567">
        <f t="shared" si="12"/>
        <v>0</v>
      </c>
      <c r="Y159" s="567">
        <f t="shared" si="13"/>
        <v>0</v>
      </c>
    </row>
    <row r="160" spans="1:25" ht="47.25" customHeight="1" x14ac:dyDescent="0.3">
      <c r="A160" s="335">
        <f>'Unit Data from Audit Worksheet'!A179</f>
        <v>352</v>
      </c>
      <c r="B160" s="349" t="str">
        <f>'Unit Data from Audit Worksheet'!C179</f>
        <v>Water Sewer Revenue, Expenses &amp; Changes in Fund Net Position</v>
      </c>
      <c r="C160" s="334" t="str">
        <f>'Unit Data from Audit Worksheet'!D179</f>
        <v>Total Transfers in - all funds (operating and capital)</v>
      </c>
      <c r="D160" s="144"/>
      <c r="E160" s="355">
        <f>'Unit Data from Audit Worksheet'!F179</f>
        <v>0</v>
      </c>
      <c r="F160" s="348"/>
      <c r="G160" s="350"/>
      <c r="H160" s="347">
        <f>'Unit Data from Audit Worksheet'!I179</f>
        <v>0</v>
      </c>
      <c r="I160" s="38"/>
      <c r="J160" s="346">
        <v>352</v>
      </c>
      <c r="K160" s="345" t="s">
        <v>234</v>
      </c>
      <c r="L160" s="570">
        <f t="shared" si="17"/>
        <v>0</v>
      </c>
      <c r="P160" s="317"/>
      <c r="W160" s="3" t="b">
        <f t="shared" si="15"/>
        <v>1</v>
      </c>
      <c r="X160" s="567">
        <f t="shared" si="12"/>
        <v>0</v>
      </c>
      <c r="Y160" s="567">
        <f t="shared" si="13"/>
        <v>0</v>
      </c>
    </row>
    <row r="161" spans="1:25" ht="70.5" customHeight="1" x14ac:dyDescent="0.3">
      <c r="A161" s="586">
        <f>'Unit Data from Audit Worksheet'!A180</f>
        <v>986</v>
      </c>
      <c r="B161" s="353" t="str">
        <f>'Unit Data from Audit Worksheet'!C180</f>
        <v>Water Sewer Revenue, Expenses &amp; Changes in Fund Net Position</v>
      </c>
      <c r="C161" s="587" t="str">
        <f>'Unit Data from Audit Worksheet'!D180</f>
        <v>Of the transfers-in above in acct # 352, list amount of transfers-in that were used to support Water Sewer operations  (exclude capital transfers)</v>
      </c>
      <c r="D161" s="144"/>
      <c r="E161" s="355">
        <f>'Unit Data from Audit Worksheet'!F180</f>
        <v>0</v>
      </c>
      <c r="F161" s="348"/>
      <c r="G161" s="350"/>
      <c r="H161" s="347"/>
      <c r="I161" s="38"/>
      <c r="J161" s="364">
        <v>986</v>
      </c>
      <c r="K161" s="587" t="s">
        <v>764</v>
      </c>
      <c r="L161" s="588">
        <f t="shared" si="17"/>
        <v>0</v>
      </c>
      <c r="P161" s="317"/>
      <c r="W161" s="3" t="b">
        <f t="shared" si="15"/>
        <v>1</v>
      </c>
      <c r="X161" s="567"/>
      <c r="Y161" s="567"/>
    </row>
    <row r="162" spans="1:25" ht="47.25" customHeight="1" x14ac:dyDescent="0.3">
      <c r="A162" s="335">
        <f>'Unit Data from Audit Worksheet'!A181</f>
        <v>353</v>
      </c>
      <c r="B162" s="349" t="str">
        <f>'Unit Data from Audit Worksheet'!C181</f>
        <v>Water Sewer Revenue, Expenses &amp; Changes in Fund Net Position</v>
      </c>
      <c r="C162" s="334" t="str">
        <f>'Unit Data from Audit Worksheet'!D181</f>
        <v>Total Transfers out</v>
      </c>
      <c r="D162" s="144"/>
      <c r="E162" s="355">
        <f>'Unit Data from Audit Worksheet'!F181</f>
        <v>0</v>
      </c>
      <c r="F162" s="348">
        <f>IF(L162&lt;0,"Error: Enter as a positive.",)</f>
        <v>0</v>
      </c>
      <c r="G162" s="350"/>
      <c r="H162" s="347">
        <f>'Unit Data from Audit Worksheet'!I181</f>
        <v>0</v>
      </c>
      <c r="I162" s="38"/>
      <c r="J162" s="40">
        <v>353</v>
      </c>
      <c r="K162" s="345" t="s">
        <v>235</v>
      </c>
      <c r="L162" s="570">
        <f t="shared" si="17"/>
        <v>0</v>
      </c>
      <c r="P162" s="321"/>
      <c r="W162" s="3" t="b">
        <f t="shared" si="15"/>
        <v>1</v>
      </c>
      <c r="X162" s="567">
        <f t="shared" si="12"/>
        <v>0</v>
      </c>
      <c r="Y162" s="567">
        <f t="shared" si="13"/>
        <v>0</v>
      </c>
    </row>
    <row r="163" spans="1:25" ht="72.75" customHeight="1" x14ac:dyDescent="0.3">
      <c r="A163" s="335">
        <f>'Unit Data from Audit Worksheet'!A182</f>
        <v>50</v>
      </c>
      <c r="B163" s="349" t="str">
        <f>'Unit Data from Audit Worksheet'!C182</f>
        <v>Water Sewer Revenue, Expenses &amp; Changes in Fund Net Position</v>
      </c>
      <c r="C163" s="334" t="str">
        <f>'Unit Data from Audit Worksheet'!D182</f>
        <v>Change in net position - Increase in net position is recorded as a positive and a (Decrease) in net position is recorded as a negative.</v>
      </c>
      <c r="D163" s="144"/>
      <c r="E163" s="149">
        <f>'Unit Data from Audit Worksheet'!F182</f>
        <v>0</v>
      </c>
      <c r="F163" s="348">
        <f>IF(L153-L155+L157-L158+L160+L159-L162-L163=0,,"Error:Total revenues less total expenses do not equal total change in net position. Acct # 84-85+350-351+191+352-353-50")</f>
        <v>0</v>
      </c>
      <c r="G163" s="91">
        <f>+L153-L155+L157-L158+L160+L159-L162-L163</f>
        <v>0</v>
      </c>
      <c r="H163" s="347">
        <f>'Unit Data from Audit Worksheet'!I182</f>
        <v>0</v>
      </c>
      <c r="I163" s="38"/>
      <c r="J163" s="346">
        <v>50</v>
      </c>
      <c r="K163" s="345" t="s">
        <v>100</v>
      </c>
      <c r="L163" s="570">
        <f t="shared" si="17"/>
        <v>0</v>
      </c>
      <c r="P163" s="317"/>
      <c r="Q163" s="560">
        <f>IF(G163&lt;&gt;0,1,0)</f>
        <v>0</v>
      </c>
      <c r="W163" s="3" t="b">
        <f t="shared" si="15"/>
        <v>1</v>
      </c>
      <c r="X163" s="567">
        <f t="shared" si="12"/>
        <v>0</v>
      </c>
      <c r="Y163" s="567">
        <f t="shared" si="13"/>
        <v>0</v>
      </c>
    </row>
    <row r="164" spans="1:25" ht="144" customHeight="1" x14ac:dyDescent="0.3">
      <c r="A164" s="335">
        <f>'Unit Data from Audit Worksheet'!A183</f>
        <v>377</v>
      </c>
      <c r="B164" s="349" t="str">
        <f>'Unit Data from Audit Worksheet'!C183</f>
        <v>Water Sewer Revenue, Expenses &amp; Changes in Fund Net Position</v>
      </c>
      <c r="C164" s="334"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4"/>
      <c r="E164" s="149">
        <f>'Unit Data from Audit Worksheet'!F183</f>
        <v>0</v>
      </c>
      <c r="F164" s="87" t="e">
        <f>IF(L133-L163-L164=O133,,"Error:Beginning Balance does not agree with out records.Acct # 83-50-377 = PY83")</f>
        <v>#N/A</v>
      </c>
      <c r="G164" s="91" t="e">
        <f>+L133-L163-L164-O133</f>
        <v>#N/A</v>
      </c>
      <c r="H164" s="347">
        <f>'Unit Data from Audit Worksheet'!I183</f>
        <v>0</v>
      </c>
      <c r="I164" s="38"/>
      <c r="J164" s="346">
        <v>377</v>
      </c>
      <c r="K164" s="345" t="s">
        <v>109</v>
      </c>
      <c r="L164" s="570">
        <f t="shared" si="17"/>
        <v>0</v>
      </c>
      <c r="P164" s="317"/>
      <c r="Q164" s="560" t="e">
        <f>IF(G164&lt;&gt;0,1,0)</f>
        <v>#N/A</v>
      </c>
      <c r="W164" s="3" t="b">
        <f t="shared" si="15"/>
        <v>1</v>
      </c>
      <c r="X164" s="567">
        <f t="shared" si="12"/>
        <v>0</v>
      </c>
      <c r="Y164" s="567">
        <f t="shared" si="13"/>
        <v>0</v>
      </c>
    </row>
    <row r="165" spans="1:25" ht="63" customHeight="1" x14ac:dyDescent="0.3">
      <c r="A165" s="595">
        <f>'Unit Data from Audit Worksheet'!A184</f>
        <v>537</v>
      </c>
      <c r="B165" s="349" t="str">
        <f>'Unit Data from Audit Worksheet'!C184</f>
        <v>Water Sewer Revenue, Expenses &amp; Changes in Fund Net Position</v>
      </c>
      <c r="C165" s="334" t="str">
        <f>'Unit Data from Audit Worksheet'!D184</f>
        <v>Did unit raise Water Sewer rates during the audited fiscal period? - answer Yes or No</v>
      </c>
      <c r="D165" s="139"/>
      <c r="E165" s="355">
        <f>'Unit Data from Audit Worksheet'!F184</f>
        <v>0</v>
      </c>
      <c r="F165" s="348" t="s">
        <v>333</v>
      </c>
      <c r="G165" s="350"/>
      <c r="H165" s="347">
        <f>'Unit Data from Audit Worksheet'!I184</f>
        <v>0</v>
      </c>
      <c r="I165" s="38"/>
      <c r="J165" s="67">
        <v>537</v>
      </c>
      <c r="K165" s="65" t="s">
        <v>291</v>
      </c>
      <c r="L165" s="596">
        <f>IF(E165="Yes",1,IF(E165="No",2,0))</f>
        <v>0</v>
      </c>
      <c r="N165" s="61" t="s">
        <v>323</v>
      </c>
      <c r="P165" s="322"/>
      <c r="W165" s="3" t="b">
        <f t="shared" ref="W165:W196" si="19">EXACT(A165,J165)</f>
        <v>1</v>
      </c>
      <c r="X165" s="567">
        <f t="shared" si="12"/>
        <v>0</v>
      </c>
      <c r="Y165" s="567">
        <f t="shared" si="13"/>
        <v>0</v>
      </c>
    </row>
    <row r="166" spans="1:25" ht="63.75" customHeight="1" x14ac:dyDescent="0.3">
      <c r="A166" s="595">
        <f>'Unit Data from Audit Worksheet'!A185</f>
        <v>538</v>
      </c>
      <c r="B166" s="349" t="str">
        <f>'Unit Data from Audit Worksheet'!C185</f>
        <v>Water Sewer Revenue, Expenses &amp; Changes in Fund Net Position</v>
      </c>
      <c r="C166" s="334" t="str">
        <f>'Unit Data from Audit Worksheet'!D185</f>
        <v>Did unit raise Water Sewer rates during the budget year following the audited fiscal year? - answer Yes or No</v>
      </c>
      <c r="D166" s="139"/>
      <c r="E166" s="355">
        <f>'Unit Data from Audit Worksheet'!F185</f>
        <v>0</v>
      </c>
      <c r="F166" s="348" t="s">
        <v>333</v>
      </c>
      <c r="G166" s="350"/>
      <c r="H166" s="347">
        <f>'Unit Data from Audit Worksheet'!I185</f>
        <v>0</v>
      </c>
      <c r="I166" s="38"/>
      <c r="J166" s="67">
        <v>538</v>
      </c>
      <c r="K166" s="65" t="s">
        <v>290</v>
      </c>
      <c r="L166" s="596">
        <f>IF(E166="Yes",1,IF(E166="No",2,0))</f>
        <v>0</v>
      </c>
      <c r="N166" s="61" t="s">
        <v>323</v>
      </c>
      <c r="P166" s="322"/>
      <c r="W166" s="3" t="b">
        <f t="shared" si="19"/>
        <v>1</v>
      </c>
      <c r="X166" s="567">
        <f t="shared" si="12"/>
        <v>0</v>
      </c>
      <c r="Y166" s="567">
        <f t="shared" si="13"/>
        <v>0</v>
      </c>
    </row>
    <row r="167" spans="1:25" ht="47.25" customHeight="1" x14ac:dyDescent="0.3">
      <c r="A167" s="335">
        <f>'Unit Data from Audit Worksheet'!A187</f>
        <v>97</v>
      </c>
      <c r="B167" s="349" t="str">
        <f>'Unit Data from Audit Worksheet'!C187</f>
        <v>Electric Fund Revenue, Expenses &amp; Changes in Fund Net Position</v>
      </c>
      <c r="C167" s="334" t="str">
        <f>'Unit Data from Audit Worksheet'!D187</f>
        <v>Charges for services</v>
      </c>
      <c r="D167" s="354"/>
      <c r="E167" s="355">
        <f>'Unit Data from Audit Worksheet'!F187</f>
        <v>0</v>
      </c>
      <c r="F167" s="348">
        <f>IF(L167&lt;0,"Error: Enter as a positive.",)</f>
        <v>0</v>
      </c>
      <c r="G167" s="350"/>
      <c r="H167" s="347">
        <f>'Unit Data from Audit Worksheet'!I187</f>
        <v>0</v>
      </c>
      <c r="I167" s="38"/>
      <c r="J167" s="346">
        <v>97</v>
      </c>
      <c r="K167" s="345" t="s">
        <v>236</v>
      </c>
      <c r="L167" s="570">
        <f t="shared" ref="L167:L234" si="20">IF(D167="",E167,D167)</f>
        <v>0</v>
      </c>
      <c r="P167" s="317"/>
      <c r="W167" s="3" t="b">
        <f t="shared" si="19"/>
        <v>1</v>
      </c>
      <c r="X167" s="567">
        <f t="shared" si="12"/>
        <v>0</v>
      </c>
      <c r="Y167" s="567">
        <f t="shared" si="13"/>
        <v>0</v>
      </c>
    </row>
    <row r="168" spans="1:25" ht="45.75" customHeight="1" x14ac:dyDescent="0.3">
      <c r="A168" s="335">
        <f>'Unit Data from Audit Worksheet'!A188</f>
        <v>93</v>
      </c>
      <c r="B168" s="349" t="str">
        <f>'Unit Data from Audit Worksheet'!C188</f>
        <v>Electric Fund Revenue, Expenses &amp; Changes in Fund Net Position</v>
      </c>
      <c r="C168" s="334" t="str">
        <f>'Unit Data from Audit Worksheet'!D188</f>
        <v>Total Operating revenues</v>
      </c>
      <c r="D168" s="354"/>
      <c r="E168" s="355">
        <f>'Unit Data from Audit Worksheet'!F188</f>
        <v>0</v>
      </c>
      <c r="F168" s="348" t="str">
        <f>IF(L167&gt;L168,"Error: Charges for services exceeds total operating revenues Acct 97&gt;=93"," ")</f>
        <v xml:space="preserve"> </v>
      </c>
      <c r="G168" s="350" t="str">
        <f>IF(Q168=1," Included in error count"," ")</f>
        <v xml:space="preserve"> </v>
      </c>
      <c r="H168" s="347">
        <f>'Unit Data from Audit Worksheet'!I188</f>
        <v>0</v>
      </c>
      <c r="I168" s="38"/>
      <c r="J168" s="346">
        <v>93</v>
      </c>
      <c r="K168" s="345" t="s">
        <v>237</v>
      </c>
      <c r="L168" s="570">
        <f t="shared" si="20"/>
        <v>0</v>
      </c>
      <c r="P168" s="317"/>
      <c r="Q168" s="560">
        <f>IF(L167&gt;L168,1,0)</f>
        <v>0</v>
      </c>
      <c r="W168" s="3" t="b">
        <f t="shared" si="19"/>
        <v>1</v>
      </c>
      <c r="X168" s="567">
        <f t="shared" si="12"/>
        <v>0</v>
      </c>
      <c r="Y168" s="567">
        <f t="shared" si="13"/>
        <v>0</v>
      </c>
    </row>
    <row r="169" spans="1:25" ht="45.75" customHeight="1" x14ac:dyDescent="0.3">
      <c r="A169" s="335">
        <f>'Unit Data from Audit Worksheet'!A189</f>
        <v>99</v>
      </c>
      <c r="B169" s="349" t="str">
        <f>'Unit Data from Audit Worksheet'!C189</f>
        <v>Electric Fund Revenue, Expenses &amp; Changes in Fund Net Position</v>
      </c>
      <c r="C169" s="334" t="str">
        <f>'Unit Data from Audit Worksheet'!D189</f>
        <v>Electrical power purchases</v>
      </c>
      <c r="D169" s="354"/>
      <c r="E169" s="355">
        <f>'Unit Data from Audit Worksheet'!F189</f>
        <v>0</v>
      </c>
      <c r="F169" s="348">
        <f>IF(L169&lt;0,"Error: Enter as a positive.",)</f>
        <v>0</v>
      </c>
      <c r="G169" s="350"/>
      <c r="H169" s="347">
        <f>'Unit Data from Audit Worksheet'!I189</f>
        <v>0</v>
      </c>
      <c r="I169" s="38"/>
      <c r="J169" s="346">
        <v>99</v>
      </c>
      <c r="K169" s="345" t="s">
        <v>238</v>
      </c>
      <c r="L169" s="570">
        <f t="shared" si="20"/>
        <v>0</v>
      </c>
      <c r="P169" s="317"/>
      <c r="W169" s="3" t="b">
        <f t="shared" si="19"/>
        <v>1</v>
      </c>
      <c r="X169" s="567">
        <f t="shared" si="12"/>
        <v>0</v>
      </c>
      <c r="Y169" s="567">
        <f t="shared" si="13"/>
        <v>0</v>
      </c>
    </row>
    <row r="170" spans="1:25" ht="45.75" customHeight="1" x14ac:dyDescent="0.3">
      <c r="A170" s="335">
        <f>'Unit Data from Audit Worksheet'!A190</f>
        <v>52</v>
      </c>
      <c r="B170" s="349" t="str">
        <f>'Unit Data from Audit Worksheet'!C190</f>
        <v>Electric Fund Revenue, Expenses &amp; Changes in Fund Net Position</v>
      </c>
      <c r="C170" s="334" t="str">
        <f>'Unit Data from Audit Worksheet'!D190</f>
        <v>Depreciation and amortization expense</v>
      </c>
      <c r="D170" s="354"/>
      <c r="E170" s="355">
        <f>'Unit Data from Audit Worksheet'!F190</f>
        <v>0</v>
      </c>
      <c r="F170" s="348">
        <f>IF(L170&lt;0,"Error: Enter as a positive.",)</f>
        <v>0</v>
      </c>
      <c r="G170" s="350"/>
      <c r="H170" s="347">
        <f>'Unit Data from Audit Worksheet'!I190</f>
        <v>0</v>
      </c>
      <c r="I170" s="38"/>
      <c r="J170" s="346">
        <v>52</v>
      </c>
      <c r="K170" s="345" t="s">
        <v>239</v>
      </c>
      <c r="L170" s="570">
        <f t="shared" si="20"/>
        <v>0</v>
      </c>
      <c r="P170" s="317"/>
      <c r="W170" s="3" t="b">
        <f t="shared" si="19"/>
        <v>1</v>
      </c>
      <c r="X170" s="567">
        <f t="shared" si="12"/>
        <v>0</v>
      </c>
      <c r="Y170" s="567">
        <f t="shared" si="13"/>
        <v>0</v>
      </c>
    </row>
    <row r="171" spans="1:25" ht="45.75" customHeight="1" x14ac:dyDescent="0.3">
      <c r="A171" s="335">
        <f>'Unit Data from Audit Worksheet'!A191</f>
        <v>94</v>
      </c>
      <c r="B171" s="349" t="str">
        <f>'Unit Data from Audit Worksheet'!C191</f>
        <v>Electric Fund Revenue, Expenses &amp; Changes in Fund Net Position</v>
      </c>
      <c r="C171" s="334" t="str">
        <f>'Unit Data from Audit Worksheet'!D191</f>
        <v>Total Operating expenses</v>
      </c>
      <c r="D171" s="354"/>
      <c r="E171" s="355">
        <f>'Unit Data from Audit Worksheet'!F191</f>
        <v>0</v>
      </c>
      <c r="F171" s="348">
        <f>IF(L171&lt;0,"Error: Enter as a positive.",)</f>
        <v>0</v>
      </c>
      <c r="G171" s="350"/>
      <c r="H171" s="347">
        <f>'Unit Data from Audit Worksheet'!I191</f>
        <v>0</v>
      </c>
      <c r="I171" s="38"/>
      <c r="J171" s="346">
        <v>94</v>
      </c>
      <c r="K171" s="345" t="s">
        <v>240</v>
      </c>
      <c r="L171" s="570">
        <f t="shared" si="20"/>
        <v>0</v>
      </c>
      <c r="P171" s="317"/>
      <c r="W171" s="3" t="b">
        <f t="shared" si="19"/>
        <v>1</v>
      </c>
      <c r="X171" s="567">
        <f t="shared" si="12"/>
        <v>0</v>
      </c>
      <c r="Y171" s="567">
        <f t="shared" si="13"/>
        <v>0</v>
      </c>
    </row>
    <row r="172" spans="1:25" ht="46.5" customHeight="1" x14ac:dyDescent="0.3">
      <c r="A172" s="335">
        <f>'Unit Data from Audit Worksheet'!A192</f>
        <v>98</v>
      </c>
      <c r="B172" s="349" t="str">
        <f>'Unit Data from Audit Worksheet'!C192</f>
        <v>Electric Fund Revenue, Expenses &amp; Changes in Fund Net Position</v>
      </c>
      <c r="C172" s="334" t="str">
        <f>'Unit Data from Audit Worksheet'!D192</f>
        <v>Interest expense</v>
      </c>
      <c r="D172" s="354"/>
      <c r="E172" s="355">
        <f>'Unit Data from Audit Worksheet'!F192</f>
        <v>0</v>
      </c>
      <c r="F172" s="348">
        <f>IF(L172&lt;0,"Error: Enter as a positive.",)</f>
        <v>0</v>
      </c>
      <c r="G172" s="350"/>
      <c r="H172" s="347">
        <f>'Unit Data from Audit Worksheet'!I192</f>
        <v>0</v>
      </c>
      <c r="I172" s="38"/>
      <c r="J172" s="346">
        <v>98</v>
      </c>
      <c r="K172" s="345" t="s">
        <v>241</v>
      </c>
      <c r="L172" s="570">
        <f t="shared" si="20"/>
        <v>0</v>
      </c>
      <c r="P172" s="317"/>
      <c r="W172" s="3" t="b">
        <f t="shared" si="19"/>
        <v>1</v>
      </c>
      <c r="X172" s="567">
        <f t="shared" si="12"/>
        <v>0</v>
      </c>
      <c r="Y172" s="567">
        <f t="shared" si="13"/>
        <v>0</v>
      </c>
    </row>
    <row r="173" spans="1:25" ht="51" customHeight="1" x14ac:dyDescent="0.3">
      <c r="A173" s="335">
        <f>'Unit Data from Audit Worksheet'!A193</f>
        <v>363</v>
      </c>
      <c r="B173" s="349" t="str">
        <f>'Unit Data from Audit Worksheet'!C193</f>
        <v>Electric Fund Revenue, Expenses &amp; Changes in Fund Net Position</v>
      </c>
      <c r="C173" s="334" t="str">
        <f>'Unit Data from Audit Worksheet'!D193</f>
        <v>Total all the non-operating revenues  
Exclude Capital Contributions.</v>
      </c>
      <c r="D173" s="354"/>
      <c r="E173" s="355">
        <f>'Unit Data from Audit Worksheet'!F193</f>
        <v>0</v>
      </c>
      <c r="F173" s="348"/>
      <c r="G173" s="350"/>
      <c r="H173" s="347">
        <f>'Unit Data from Audit Worksheet'!I193</f>
        <v>0</v>
      </c>
      <c r="I173" s="38"/>
      <c r="J173" s="346">
        <v>363</v>
      </c>
      <c r="K173" s="345" t="s">
        <v>242</v>
      </c>
      <c r="L173" s="570">
        <f t="shared" si="20"/>
        <v>0</v>
      </c>
      <c r="P173" s="317"/>
      <c r="W173" s="3" t="b">
        <f t="shared" si="19"/>
        <v>1</v>
      </c>
      <c r="X173" s="567">
        <f t="shared" si="12"/>
        <v>0</v>
      </c>
      <c r="Y173" s="567">
        <f t="shared" si="13"/>
        <v>0</v>
      </c>
    </row>
    <row r="174" spans="1:25" ht="60" customHeight="1" x14ac:dyDescent="0.3">
      <c r="A174" s="335">
        <f>'Unit Data from Audit Worksheet'!A194</f>
        <v>364</v>
      </c>
      <c r="B174" s="349" t="str">
        <f>'Unit Data from Audit Worksheet'!C194</f>
        <v>Electric Fund Revenue, Expenses &amp; Changes in Fund Net Position</v>
      </c>
      <c r="C174" s="334" t="str">
        <f>'Unit Data from Audit Worksheet'!D194</f>
        <v>Total all non-operating expenses.  
Include negative special, extraordinary, or capital contribution.</v>
      </c>
      <c r="D174" s="354"/>
      <c r="E174" s="355">
        <f>'Unit Data from Audit Worksheet'!F194</f>
        <v>0</v>
      </c>
      <c r="F174" s="348">
        <f>IF(L174&lt;0,"Error: Enter as a positive.",)</f>
        <v>0</v>
      </c>
      <c r="G174" s="350"/>
      <c r="H174" s="347">
        <f>'Unit Data from Audit Worksheet'!I194</f>
        <v>0</v>
      </c>
      <c r="I174" s="38"/>
      <c r="J174" s="346">
        <v>364</v>
      </c>
      <c r="K174" s="345" t="s">
        <v>243</v>
      </c>
      <c r="L174" s="570">
        <f t="shared" si="20"/>
        <v>0</v>
      </c>
      <c r="P174" s="317"/>
      <c r="W174" s="3" t="b">
        <f t="shared" si="19"/>
        <v>1</v>
      </c>
      <c r="X174" s="567">
        <f t="shared" si="12"/>
        <v>0</v>
      </c>
      <c r="Y174" s="567">
        <f t="shared" si="13"/>
        <v>0</v>
      </c>
    </row>
    <row r="175" spans="1:25" ht="89.25" customHeight="1" x14ac:dyDescent="0.3">
      <c r="A175" s="335">
        <f>'Unit Data from Audit Worksheet'!A195</f>
        <v>192</v>
      </c>
      <c r="B175" s="349" t="str">
        <f>'Unit Data from Audit Worksheet'!C195</f>
        <v>Electric Fund Revenue, Expenses &amp; Changes in Fund Net Position</v>
      </c>
      <c r="C175" s="334" t="str">
        <f>'Unit Data from Audit Worksheet'!D195</f>
        <v>Capital Contributions.  
Include only positive capital Contributions.  Negative capital contributions should be included with 'Total all non-operating expenses.'</v>
      </c>
      <c r="D175" s="354"/>
      <c r="E175" s="355">
        <f>'Unit Data from Audit Worksheet'!F195</f>
        <v>0</v>
      </c>
      <c r="F175" s="348">
        <f>IF(L175&lt;0,"Error: Enter as a positive.",)</f>
        <v>0</v>
      </c>
      <c r="G175" s="350"/>
      <c r="H175" s="347">
        <f>'Unit Data from Audit Worksheet'!I195</f>
        <v>0</v>
      </c>
      <c r="I175" s="38"/>
      <c r="J175" s="346">
        <v>192</v>
      </c>
      <c r="K175" s="345" t="s">
        <v>244</v>
      </c>
      <c r="L175" s="570">
        <f t="shared" si="20"/>
        <v>0</v>
      </c>
      <c r="P175" s="317"/>
      <c r="W175" s="3" t="b">
        <f t="shared" si="19"/>
        <v>1</v>
      </c>
      <c r="X175" s="567">
        <f t="shared" si="12"/>
        <v>0</v>
      </c>
      <c r="Y175" s="567">
        <f t="shared" si="13"/>
        <v>0</v>
      </c>
    </row>
    <row r="176" spans="1:25" ht="42.75" customHeight="1" x14ac:dyDescent="0.3">
      <c r="A176" s="335">
        <f>'Unit Data from Audit Worksheet'!A196</f>
        <v>365</v>
      </c>
      <c r="B176" s="349" t="str">
        <f>'Unit Data from Audit Worksheet'!C196</f>
        <v>Electric Fund Revenue, Expenses &amp; Changes in Fund Net Position</v>
      </c>
      <c r="C176" s="334" t="str">
        <f>'Unit Data from Audit Worksheet'!D196</f>
        <v>Total Transfers In (From all Funds)</v>
      </c>
      <c r="D176" s="354"/>
      <c r="E176" s="355">
        <f>'Unit Data from Audit Worksheet'!F196</f>
        <v>0</v>
      </c>
      <c r="F176" s="348"/>
      <c r="G176" s="350"/>
      <c r="H176" s="347">
        <f>'Unit Data from Audit Worksheet'!I196</f>
        <v>0</v>
      </c>
      <c r="I176" s="38"/>
      <c r="J176" s="346">
        <v>365</v>
      </c>
      <c r="K176" s="345" t="s">
        <v>245</v>
      </c>
      <c r="L176" s="570">
        <f t="shared" si="20"/>
        <v>0</v>
      </c>
      <c r="P176" s="317"/>
      <c r="W176" s="3" t="b">
        <f t="shared" si="19"/>
        <v>1</v>
      </c>
      <c r="X176" s="567">
        <f t="shared" si="12"/>
        <v>0</v>
      </c>
      <c r="Y176" s="567">
        <f t="shared" si="13"/>
        <v>0</v>
      </c>
    </row>
    <row r="177" spans="1:25" ht="42.75" customHeight="1" x14ac:dyDescent="0.3">
      <c r="A177" s="335">
        <f>'Unit Data from Audit Worksheet'!A197</f>
        <v>366</v>
      </c>
      <c r="B177" s="349" t="str">
        <f>'Unit Data from Audit Worksheet'!C197</f>
        <v>Electric Fund Revenue, Expenses &amp; Changes in Fund Net Position</v>
      </c>
      <c r="C177" s="334" t="str">
        <f>'Unit Data from Audit Worksheet'!D197</f>
        <v>Total Transfers Out (To all funds)</v>
      </c>
      <c r="D177" s="354"/>
      <c r="E177" s="355">
        <f>'Unit Data from Audit Worksheet'!F197</f>
        <v>0</v>
      </c>
      <c r="F177" s="348">
        <f>IF(L177&lt;0,"Error: Enter as a positive.",)</f>
        <v>0</v>
      </c>
      <c r="G177" s="350"/>
      <c r="H177" s="347">
        <f>'Unit Data from Audit Worksheet'!I197</f>
        <v>0</v>
      </c>
      <c r="I177" s="38"/>
      <c r="J177" s="346">
        <v>366</v>
      </c>
      <c r="K177" s="345" t="s">
        <v>315</v>
      </c>
      <c r="L177" s="570">
        <f t="shared" si="20"/>
        <v>0</v>
      </c>
      <c r="P177" s="317"/>
      <c r="W177" s="3" t="b">
        <f t="shared" si="19"/>
        <v>1</v>
      </c>
      <c r="X177" s="567">
        <f t="shared" si="12"/>
        <v>0</v>
      </c>
      <c r="Y177" s="567">
        <f t="shared" si="13"/>
        <v>0</v>
      </c>
    </row>
    <row r="178" spans="1:25" s="18" customFormat="1" ht="76.5" customHeight="1" x14ac:dyDescent="0.3">
      <c r="A178" s="335">
        <f>'Unit Data from Audit Worksheet'!A198</f>
        <v>53</v>
      </c>
      <c r="B178" s="349" t="str">
        <f>'Unit Data from Audit Worksheet'!C198</f>
        <v>Electric Fund Revenue, Expenses &amp; Changes in Fund Net Position</v>
      </c>
      <c r="C178" s="334" t="str">
        <f>'Unit Data from Audit Worksheet'!D198</f>
        <v>Change in net position - Increase in net position is recorded as a positive and a (decrease) in net position is recorded as a negative.</v>
      </c>
      <c r="D178" s="354"/>
      <c r="E178" s="355">
        <f>'Unit Data from Audit Worksheet'!F198</f>
        <v>0</v>
      </c>
      <c r="F178" s="348">
        <f>IF(L168-L171+L173-L174+L175+L176-L177-L178=0,,"Error: Total revenues less total exp. does not equal change in net position Acct 93-94+363-364+192+365-366-53=0")</f>
        <v>0</v>
      </c>
      <c r="G178" s="91">
        <f>+L168-L171+L173-L174+L175+L176-L177-L178</f>
        <v>0</v>
      </c>
      <c r="H178" s="347">
        <f>'Unit Data from Audit Worksheet'!I198</f>
        <v>0</v>
      </c>
      <c r="I178" s="38"/>
      <c r="J178" s="346">
        <v>53</v>
      </c>
      <c r="K178" s="345" t="s">
        <v>101</v>
      </c>
      <c r="L178" s="570">
        <f t="shared" si="20"/>
        <v>0</v>
      </c>
      <c r="P178" s="317"/>
      <c r="Q178" s="560">
        <f>IF(G178&lt;&gt;0,1,0)</f>
        <v>0</v>
      </c>
      <c r="R178" s="3"/>
      <c r="W178" s="3" t="b">
        <f t="shared" si="19"/>
        <v>1</v>
      </c>
      <c r="X178" s="567">
        <f t="shared" si="12"/>
        <v>0</v>
      </c>
      <c r="Y178" s="567">
        <f t="shared" si="13"/>
        <v>0</v>
      </c>
    </row>
    <row r="179" spans="1:25" ht="140.25" customHeight="1" x14ac:dyDescent="0.3">
      <c r="A179" s="335">
        <f>'Unit Data from Audit Worksheet'!A199</f>
        <v>378</v>
      </c>
      <c r="B179" s="349" t="str">
        <f>'Unit Data from Audit Worksheet'!C199</f>
        <v>Electric Fund Revenue, Expenses &amp; Changes in Fund Net Position</v>
      </c>
      <c r="C179" s="334"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54"/>
      <c r="E179" s="355">
        <f>+'Unit Data from Audit Worksheet'!F199</f>
        <v>0</v>
      </c>
      <c r="F179" s="348" t="e">
        <f>IF(L151-L178-L179=O151,,"Error: Beg. Bal does not agree with our records Acct 362-53-378= pr yr 362")</f>
        <v>#N/A</v>
      </c>
      <c r="G179" s="91" t="e">
        <f>L151-L178-L179-O151</f>
        <v>#N/A</v>
      </c>
      <c r="H179" s="347">
        <f>'Unit Data from Audit Worksheet'!I199</f>
        <v>0</v>
      </c>
      <c r="I179" s="38"/>
      <c r="J179" s="346">
        <v>378</v>
      </c>
      <c r="K179" s="345" t="s">
        <v>110</v>
      </c>
      <c r="L179" s="570">
        <f t="shared" si="20"/>
        <v>0</v>
      </c>
      <c r="P179" s="317"/>
      <c r="Q179" s="560" t="e">
        <f>IF(G179&lt;&gt;0,1,0)</f>
        <v>#N/A</v>
      </c>
      <c r="W179" s="3" t="b">
        <f t="shared" si="19"/>
        <v>1</v>
      </c>
      <c r="X179" s="567">
        <f t="shared" si="12"/>
        <v>0</v>
      </c>
      <c r="Y179" s="567">
        <f t="shared" si="13"/>
        <v>0</v>
      </c>
    </row>
    <row r="180" spans="1:25" ht="28.8" x14ac:dyDescent="0.3">
      <c r="A180" s="335">
        <f>'Unit Data from Audit Worksheet'!A204</f>
        <v>51</v>
      </c>
      <c r="B180" s="349" t="str">
        <f>'Unit Data from Audit Worksheet'!C204</f>
        <v>Water Sewer Cash Flow Statement</v>
      </c>
      <c r="C180" s="334" t="str">
        <f>'Unit Data from Audit Worksheet'!D204</f>
        <v>Total Cash flow from operating activities  - (Enter negative cash flows as negative)</v>
      </c>
      <c r="D180" s="354"/>
      <c r="E180" s="355">
        <f>'Unit Data from Audit Worksheet'!F204</f>
        <v>0</v>
      </c>
      <c r="F180" s="348"/>
      <c r="G180" s="350"/>
      <c r="H180" s="347">
        <f>'Unit Data from Audit Worksheet'!I204</f>
        <v>0</v>
      </c>
      <c r="I180" s="38"/>
      <c r="J180" s="346">
        <v>51</v>
      </c>
      <c r="K180" s="345" t="s">
        <v>246</v>
      </c>
      <c r="L180" s="570">
        <f t="shared" si="20"/>
        <v>0</v>
      </c>
      <c r="P180" s="317"/>
      <c r="W180" s="3" t="b">
        <f t="shared" si="19"/>
        <v>1</v>
      </c>
      <c r="X180" s="567">
        <f t="shared" si="12"/>
        <v>0</v>
      </c>
      <c r="Y180" s="567">
        <f t="shared" si="13"/>
        <v>0</v>
      </c>
    </row>
    <row r="181" spans="1:25" ht="64.5" customHeight="1" x14ac:dyDescent="0.3">
      <c r="A181" s="335">
        <f>'Unit Data from Audit Worksheet'!A205</f>
        <v>332</v>
      </c>
      <c r="B181" s="349" t="str">
        <f>'Unit Data from Audit Worksheet'!C205</f>
        <v>Water Sewer Cash Flow Statement</v>
      </c>
      <c r="C181" s="334" t="str">
        <f>'Unit Data from Audit Worksheet'!D205</f>
        <v>Total Capital outlay. 
Include acquisition and construction of capital assets.</v>
      </c>
      <c r="D181" s="354"/>
      <c r="E181" s="355">
        <f>'Unit Data from Audit Worksheet'!F205</f>
        <v>0</v>
      </c>
      <c r="F181" s="348">
        <f>IF(L181&lt;0,"Error: Enter as a positive.",)</f>
        <v>0</v>
      </c>
      <c r="G181" s="350"/>
      <c r="H181" s="347">
        <f>'Unit Data from Audit Worksheet'!I205</f>
        <v>0</v>
      </c>
      <c r="I181" s="38"/>
      <c r="J181" s="346">
        <v>332</v>
      </c>
      <c r="K181" s="345" t="s">
        <v>248</v>
      </c>
      <c r="L181" s="570">
        <f t="shared" si="20"/>
        <v>0</v>
      </c>
      <c r="O181" s="578"/>
      <c r="P181" s="317"/>
      <c r="W181" s="3" t="b">
        <f t="shared" si="19"/>
        <v>1</v>
      </c>
      <c r="X181" s="567">
        <f t="shared" si="12"/>
        <v>0</v>
      </c>
      <c r="Y181" s="567">
        <f t="shared" si="13"/>
        <v>0</v>
      </c>
    </row>
    <row r="182" spans="1:25" ht="58.5" customHeight="1" x14ac:dyDescent="0.3">
      <c r="A182" s="335">
        <f>'Unit Data from Audit Worksheet'!A206</f>
        <v>331</v>
      </c>
      <c r="B182" s="349" t="str">
        <f>'Unit Data from Audit Worksheet'!C206</f>
        <v>Water Sewer Cash Flow Statement</v>
      </c>
      <c r="C182" s="334" t="str">
        <f>'Unit Data from Audit Worksheet'!D206</f>
        <v>Principal paid on long-term debt.  Amount should be reduced by principal payments for debt refunding.</v>
      </c>
      <c r="D182" s="354"/>
      <c r="E182" s="355">
        <f>'Unit Data from Audit Worksheet'!F206</f>
        <v>0</v>
      </c>
      <c r="F182" s="348">
        <f>IF(L182&lt;0,"Error: Enter as a positive.",)</f>
        <v>0</v>
      </c>
      <c r="G182" s="350"/>
      <c r="H182" s="347">
        <f>'Unit Data from Audit Worksheet'!I206</f>
        <v>0</v>
      </c>
      <c r="I182" s="38"/>
      <c r="J182" s="346">
        <v>331</v>
      </c>
      <c r="K182" s="345" t="s">
        <v>247</v>
      </c>
      <c r="L182" s="570">
        <f t="shared" si="20"/>
        <v>0</v>
      </c>
      <c r="O182" s="578"/>
      <c r="P182" s="317"/>
      <c r="W182" s="3" t="b">
        <f t="shared" si="19"/>
        <v>1</v>
      </c>
      <c r="X182" s="567">
        <f t="shared" ref="X182:X276" si="21">E182-L182</f>
        <v>0</v>
      </c>
      <c r="Y182" s="567">
        <f t="shared" ref="Y182:Y276" si="22">D182-L182</f>
        <v>0</v>
      </c>
    </row>
    <row r="183" spans="1:25" ht="51.75" customHeight="1" x14ac:dyDescent="0.3">
      <c r="A183" s="335">
        <f>'Unit Data from Audit Worksheet'!A208</f>
        <v>55</v>
      </c>
      <c r="B183" s="349" t="str">
        <f>'Unit Data from Audit Worksheet'!C208</f>
        <v>Electric Fund Cash Flow Statement</v>
      </c>
      <c r="C183" s="334" t="str">
        <f>'Unit Data from Audit Worksheet'!D208</f>
        <v>Cash flow from operating activities - (enter negative cash flows as negative)</v>
      </c>
      <c r="D183" s="354"/>
      <c r="E183" s="355">
        <f>'Unit Data from Audit Worksheet'!F208</f>
        <v>0</v>
      </c>
      <c r="F183" s="348"/>
      <c r="G183" s="350"/>
      <c r="H183" s="347">
        <f>'Unit Data from Audit Worksheet'!I208</f>
        <v>0</v>
      </c>
      <c r="I183" s="38"/>
      <c r="J183" s="346">
        <v>55</v>
      </c>
      <c r="K183" s="345" t="s">
        <v>249</v>
      </c>
      <c r="L183" s="570">
        <f t="shared" si="20"/>
        <v>0</v>
      </c>
      <c r="P183" s="317"/>
      <c r="W183" s="3" t="b">
        <f t="shared" si="19"/>
        <v>1</v>
      </c>
      <c r="X183" s="567">
        <f t="shared" si="21"/>
        <v>0</v>
      </c>
      <c r="Y183" s="567">
        <f t="shared" si="22"/>
        <v>0</v>
      </c>
    </row>
    <row r="184" spans="1:25" ht="58.5" customHeight="1" x14ac:dyDescent="0.3">
      <c r="A184" s="335">
        <f>'Unit Data from Audit Worksheet'!A209</f>
        <v>101</v>
      </c>
      <c r="B184" s="349" t="str">
        <f>'Unit Data from Audit Worksheet'!C209</f>
        <v>Electric Fund Cash Flow Statement</v>
      </c>
      <c r="C184" s="334" t="str">
        <f>'Unit Data from Audit Worksheet'!D209</f>
        <v>Total Capital outlay.  
Include acquisition and construction of capital assets.</v>
      </c>
      <c r="D184" s="354"/>
      <c r="E184" s="355">
        <f>'Unit Data from Audit Worksheet'!F209</f>
        <v>0</v>
      </c>
      <c r="F184" s="348">
        <f>IF(L184&lt;0,"Error: Enter as a positive.",)</f>
        <v>0</v>
      </c>
      <c r="G184" s="350"/>
      <c r="H184" s="347">
        <f>'Unit Data from Audit Worksheet'!I209</f>
        <v>0</v>
      </c>
      <c r="I184" s="38"/>
      <c r="J184" s="346">
        <v>101</v>
      </c>
      <c r="K184" s="345" t="s">
        <v>250</v>
      </c>
      <c r="L184" s="570">
        <f t="shared" si="20"/>
        <v>0</v>
      </c>
      <c r="P184" s="317"/>
      <c r="W184" s="3" t="b">
        <f t="shared" si="19"/>
        <v>1</v>
      </c>
      <c r="X184" s="567">
        <f t="shared" si="21"/>
        <v>0</v>
      </c>
      <c r="Y184" s="567">
        <f t="shared" si="22"/>
        <v>0</v>
      </c>
    </row>
    <row r="185" spans="1:25" ht="60.75" customHeight="1" x14ac:dyDescent="0.3">
      <c r="A185" s="335">
        <f>'Unit Data from Audit Worksheet'!A210</f>
        <v>100</v>
      </c>
      <c r="B185" s="349" t="str">
        <f>'Unit Data from Audit Worksheet'!C210</f>
        <v>Electric Fund Cash Flow Statement</v>
      </c>
      <c r="C185" s="334" t="str">
        <f>'Unit Data from Audit Worksheet'!D210</f>
        <v>Principal paid on long-term debt.  Amount should be reduced by principal payments for debt refunding.</v>
      </c>
      <c r="D185" s="354"/>
      <c r="E185" s="355">
        <f>'Unit Data from Audit Worksheet'!F210</f>
        <v>0</v>
      </c>
      <c r="F185" s="348">
        <f>IF(L185&lt;0,"Error: Enter as a positive.",)</f>
        <v>0</v>
      </c>
      <c r="G185" s="350"/>
      <c r="H185" s="347">
        <f>'Unit Data from Audit Worksheet'!I210</f>
        <v>0</v>
      </c>
      <c r="I185" s="38"/>
      <c r="J185" s="346">
        <v>100</v>
      </c>
      <c r="K185" s="345" t="s">
        <v>251</v>
      </c>
      <c r="L185" s="570">
        <f t="shared" si="20"/>
        <v>0</v>
      </c>
      <c r="P185" s="317"/>
      <c r="W185" s="3" t="b">
        <f t="shared" si="19"/>
        <v>1</v>
      </c>
      <c r="X185" s="567">
        <f t="shared" si="21"/>
        <v>0</v>
      </c>
      <c r="Y185" s="567">
        <f t="shared" si="22"/>
        <v>0</v>
      </c>
    </row>
    <row r="186" spans="1:25" ht="71.25" customHeight="1" x14ac:dyDescent="0.3">
      <c r="A186" s="335">
        <f>'Unit Data from Audit Worksheet'!A212</f>
        <v>512</v>
      </c>
      <c r="B186" s="349" t="str">
        <f>'Unit Data from Audit Worksheet'!C212</f>
        <v>Fiduciary Statements</v>
      </c>
      <c r="C186" s="334" t="str">
        <f>'Unit Data from Audit Worksheet'!D212</f>
        <v>Cash and investments.  
Include:  unrestricted and restricted.  
                   cash and investments held 
                   by a third party</v>
      </c>
      <c r="D186" s="354"/>
      <c r="E186" s="355">
        <f>'Unit Data from Audit Worksheet'!F212</f>
        <v>0</v>
      </c>
      <c r="F186" s="348">
        <f>IF(L186&lt;0,"Error: Number is normally positive.",)</f>
        <v>0</v>
      </c>
      <c r="G186" s="350"/>
      <c r="H186" s="347">
        <f>'Unit Data from Audit Worksheet'!I212</f>
        <v>0</v>
      </c>
      <c r="I186" s="38"/>
      <c r="J186" s="346">
        <v>512</v>
      </c>
      <c r="K186" s="345" t="s">
        <v>252</v>
      </c>
      <c r="L186" s="570">
        <f t="shared" si="20"/>
        <v>0</v>
      </c>
      <c r="P186" s="317"/>
      <c r="W186" s="3" t="b">
        <f t="shared" si="19"/>
        <v>1</v>
      </c>
      <c r="X186" s="567">
        <f t="shared" si="21"/>
        <v>0</v>
      </c>
      <c r="Y186" s="567">
        <f t="shared" si="22"/>
        <v>0</v>
      </c>
    </row>
    <row r="187" spans="1:25" ht="62.25" customHeight="1" x14ac:dyDescent="0.3">
      <c r="A187" s="335">
        <f>'Unit Data from Audit Worksheet'!A214</f>
        <v>656</v>
      </c>
      <c r="B187" s="349">
        <f>'Unit Data from Audit Worksheet'!C214</f>
        <v>0</v>
      </c>
      <c r="C187" s="334" t="str">
        <f>'Unit Data from Audit Worksheet'!D214</f>
        <v>Do you use prepared food/occupancy tax revenue stream to support debt?  Select "1" for Yes and "2" for No</v>
      </c>
      <c r="D187" s="139"/>
      <c r="E187" s="355">
        <f>'Unit Data from Audit Worksheet'!F214</f>
        <v>0</v>
      </c>
      <c r="F187" s="348"/>
      <c r="G187" s="350"/>
      <c r="H187" s="347"/>
      <c r="I187" s="38"/>
      <c r="J187" s="346">
        <v>656</v>
      </c>
      <c r="K187" s="352" t="s">
        <v>510</v>
      </c>
      <c r="L187" s="596">
        <f>E187</f>
        <v>0</v>
      </c>
      <c r="M187" s="18"/>
      <c r="N187" s="18"/>
      <c r="O187" s="18"/>
      <c r="P187" s="317"/>
      <c r="W187" s="3" t="b">
        <f t="shared" si="19"/>
        <v>1</v>
      </c>
      <c r="X187" s="567">
        <f t="shared" si="21"/>
        <v>0</v>
      </c>
      <c r="Y187" s="567">
        <f t="shared" si="22"/>
        <v>0</v>
      </c>
    </row>
    <row r="188" spans="1:25" s="18" customFormat="1" ht="102.75" customHeight="1" x14ac:dyDescent="0.3">
      <c r="A188" s="335">
        <f>'Unit Data from Audit Worksheet'!A216</f>
        <v>535</v>
      </c>
      <c r="B188" s="349" t="str">
        <f>'Unit Data from Audit Worksheet'!C216</f>
        <v>Cash and Investment Note</v>
      </c>
      <c r="C188" s="334" t="str">
        <f>'Unit Data from Audit Worksheet'!D216</f>
        <v>Cash and Investment - Please list the book value of any unspent debt proceeds (bonds, installment, etc.) in any funds as of June 30.  This information may be on the face of your statements or in the notes</v>
      </c>
      <c r="D188" s="354"/>
      <c r="E188" s="355">
        <f>'Unit Data from Audit Worksheet'!F216</f>
        <v>0</v>
      </c>
      <c r="F188" s="87" t="str">
        <f>IF(L188&gt;1,,"Reminder: Please make sure you have entered all cash and investments from bond proceeds, if applicable")</f>
        <v>Reminder: Please make sure you have entered all cash and investments from bond proceeds, if applicable</v>
      </c>
      <c r="G188" s="350"/>
      <c r="H188" s="347">
        <f>'Unit Data from Audit Worksheet'!I216</f>
        <v>0</v>
      </c>
      <c r="I188" s="38"/>
      <c r="J188" s="346">
        <v>535</v>
      </c>
      <c r="K188" s="62" t="s">
        <v>253</v>
      </c>
      <c r="L188" s="570">
        <f t="shared" si="20"/>
        <v>0</v>
      </c>
      <c r="P188" s="317"/>
      <c r="Q188" s="560"/>
      <c r="R188" s="3"/>
      <c r="W188" s="3" t="b">
        <f t="shared" si="19"/>
        <v>1</v>
      </c>
      <c r="X188" s="567">
        <f t="shared" si="21"/>
        <v>0</v>
      </c>
      <c r="Y188" s="567">
        <f t="shared" si="22"/>
        <v>0</v>
      </c>
    </row>
    <row r="189" spans="1:25" ht="45.75" customHeight="1" x14ac:dyDescent="0.3">
      <c r="A189" s="335">
        <f>'Unit Data from Audit Worksheet'!A220</f>
        <v>334</v>
      </c>
      <c r="B189" s="349" t="str">
        <f>'Unit Data from Audit Worksheet'!C220</f>
        <v>Gov.-Capital Assets Schedule in the Notes</v>
      </c>
      <c r="C189" s="334" t="str">
        <f>'Unit Data from Audit Worksheet'!D220</f>
        <v>Gross value.  
Exclude non-depreciable.</v>
      </c>
      <c r="D189" s="354"/>
      <c r="E189" s="355">
        <f>'Unit Data from Audit Worksheet'!F220</f>
        <v>0</v>
      </c>
      <c r="F189" s="87"/>
      <c r="G189" s="350"/>
      <c r="H189" s="347">
        <f>'Unit Data from Audit Worksheet'!I220</f>
        <v>0</v>
      </c>
      <c r="I189" s="38"/>
      <c r="J189" s="346">
        <v>334</v>
      </c>
      <c r="K189" s="62" t="s">
        <v>272</v>
      </c>
      <c r="L189" s="570">
        <f t="shared" si="20"/>
        <v>0</v>
      </c>
      <c r="P189" s="317"/>
      <c r="W189" s="3" t="b">
        <f t="shared" si="19"/>
        <v>1</v>
      </c>
      <c r="X189" s="567">
        <f t="shared" si="21"/>
        <v>0</v>
      </c>
      <c r="Y189" s="567">
        <f t="shared" si="22"/>
        <v>0</v>
      </c>
    </row>
    <row r="190" spans="1:25" ht="57" customHeight="1" x14ac:dyDescent="0.3">
      <c r="A190" s="335">
        <f>'Unit Data from Audit Worksheet'!A221</f>
        <v>373</v>
      </c>
      <c r="B190" s="349" t="str">
        <f>'Unit Data from Audit Worksheet'!C221</f>
        <v>Gov.-Capital Assets Schedule in the Notes</v>
      </c>
      <c r="C190" s="334" t="str">
        <f>'Unit Data from Audit Worksheet'!D221</f>
        <v>Accumulated depreciation</v>
      </c>
      <c r="D190" s="354"/>
      <c r="E190" s="355">
        <f>'Unit Data from Audit Worksheet'!F221</f>
        <v>0</v>
      </c>
      <c r="F190" s="87"/>
      <c r="G190" s="350"/>
      <c r="H190" s="347">
        <f>'Unit Data from Audit Worksheet'!I221</f>
        <v>0</v>
      </c>
      <c r="I190" s="38"/>
      <c r="J190" s="346">
        <v>373</v>
      </c>
      <c r="K190" s="58" t="s">
        <v>326</v>
      </c>
      <c r="L190" s="570">
        <f t="shared" si="20"/>
        <v>0</v>
      </c>
      <c r="P190" s="317"/>
      <c r="W190" s="3" t="b">
        <f t="shared" si="19"/>
        <v>1</v>
      </c>
      <c r="X190" s="567">
        <f t="shared" si="21"/>
        <v>0</v>
      </c>
      <c r="Y190" s="567">
        <f t="shared" si="22"/>
        <v>0</v>
      </c>
    </row>
    <row r="191" spans="1:25" ht="102.75" customHeight="1" x14ac:dyDescent="0.3">
      <c r="A191" s="586">
        <f>'Unit Data from Audit Worksheet'!A222</f>
        <v>987</v>
      </c>
      <c r="B191" s="353">
        <f>'Unit Data from Audit Worksheet'!C222</f>
        <v>0</v>
      </c>
      <c r="C191" s="587" t="str">
        <f>'Unit Data from Audit Worksheet'!D222</f>
        <v xml:space="preserve">Estimated cost not yet budgeted of any mandate placed on unit by DEQ, a court order or some similar requirement (that has no realistic appeal path). </v>
      </c>
      <c r="D191" s="354"/>
      <c r="E191" s="355">
        <f>'Unit Data from Audit Worksheet'!F222</f>
        <v>0</v>
      </c>
      <c r="F191" s="87"/>
      <c r="G191" s="350"/>
      <c r="H191" s="347">
        <f>'Unit Data from Audit Worksheet'!I222</f>
        <v>0</v>
      </c>
      <c r="I191" s="38"/>
      <c r="J191" s="364">
        <v>987</v>
      </c>
      <c r="K191" s="597" t="s">
        <v>983</v>
      </c>
      <c r="L191" s="588">
        <f t="shared" si="20"/>
        <v>0</v>
      </c>
      <c r="P191" s="317"/>
      <c r="W191" s="3" t="b">
        <f t="shared" si="19"/>
        <v>1</v>
      </c>
      <c r="X191" s="567"/>
      <c r="Y191" s="567"/>
    </row>
    <row r="192" spans="1:25" ht="69" customHeight="1" x14ac:dyDescent="0.3">
      <c r="A192" s="586">
        <f>'Unit Data from Audit Worksheet'!A223</f>
        <v>988</v>
      </c>
      <c r="B192" s="353">
        <f>'Unit Data from Audit Worksheet'!C223</f>
        <v>0</v>
      </c>
      <c r="C192" s="587" t="str">
        <f>'Unit Data from Audit Worksheet'!D223</f>
        <v>Do you operate a landfill that will be closing  or have a significant portion closing within the next 5 years?  Select "1" for Yes and "2" for No</v>
      </c>
      <c r="D192" s="354"/>
      <c r="E192" s="355">
        <f>'Unit Data from Audit Worksheet'!F223</f>
        <v>0</v>
      </c>
      <c r="F192" s="87"/>
      <c r="G192" s="350"/>
      <c r="H192" s="347">
        <f>'Unit Data from Audit Worksheet'!I223</f>
        <v>0</v>
      </c>
      <c r="I192" s="38"/>
      <c r="J192" s="364">
        <v>988</v>
      </c>
      <c r="K192" s="597" t="s">
        <v>1435</v>
      </c>
      <c r="L192" s="588">
        <f t="shared" si="20"/>
        <v>0</v>
      </c>
      <c r="P192" s="317"/>
      <c r="W192" s="3" t="b">
        <f t="shared" si="19"/>
        <v>1</v>
      </c>
      <c r="X192" s="567"/>
      <c r="Y192" s="567"/>
    </row>
    <row r="193" spans="1:25" ht="95.25" customHeight="1" x14ac:dyDescent="0.3">
      <c r="A193" s="586">
        <f>'Unit Data from Audit Worksheet'!A224</f>
        <v>989</v>
      </c>
      <c r="B193" s="353">
        <f>'Unit Data from Audit Worksheet'!C224</f>
        <v>0</v>
      </c>
      <c r="C193" s="587" t="str">
        <f>'Unit Data from Audit Worksheet'!D224</f>
        <v>If you answered "yes" to question #988 above, will you have the closure/postclosure cost fully funded by the date of closure?  Select "1" for Yes,  "2" for No, or "3" for N/A.</v>
      </c>
      <c r="D193" s="354"/>
      <c r="E193" s="355">
        <f>'Unit Data from Audit Worksheet'!F224</f>
        <v>0</v>
      </c>
      <c r="F193" s="87"/>
      <c r="G193" s="350"/>
      <c r="H193" s="347">
        <f>'Unit Data from Audit Worksheet'!I224</f>
        <v>0</v>
      </c>
      <c r="I193" s="38"/>
      <c r="J193" s="364">
        <v>989</v>
      </c>
      <c r="K193" s="597" t="s">
        <v>1246</v>
      </c>
      <c r="L193" s="588">
        <f t="shared" si="20"/>
        <v>0</v>
      </c>
      <c r="P193" s="317"/>
      <c r="W193" s="3" t="b">
        <f t="shared" si="19"/>
        <v>1</v>
      </c>
      <c r="X193" s="567"/>
      <c r="Y193" s="567"/>
    </row>
    <row r="194" spans="1:25" ht="57" customHeight="1" x14ac:dyDescent="0.3">
      <c r="A194" s="335">
        <f>'Unit Data from Audit Worksheet'!A228</f>
        <v>327</v>
      </c>
      <c r="B194" s="349" t="str">
        <f>'Unit Data from Audit Worksheet'!C228</f>
        <v>WS-Capital Assets Schedule in the Notes</v>
      </c>
      <c r="C194" s="334" t="str">
        <f>'Unit Data from Audit Worksheet'!D228</f>
        <v>Land and all other non depreciable capital assets 
Exclude construction in progress</v>
      </c>
      <c r="D194" s="354"/>
      <c r="E194" s="355">
        <f>'Unit Data from Audit Worksheet'!F228</f>
        <v>0</v>
      </c>
      <c r="F194" s="87"/>
      <c r="G194" s="350"/>
      <c r="H194" s="347">
        <f>'Unit Data from Audit Worksheet'!I228</f>
        <v>0</v>
      </c>
      <c r="I194" s="38"/>
      <c r="J194" s="346">
        <v>327</v>
      </c>
      <c r="K194" s="58" t="s">
        <v>327</v>
      </c>
      <c r="L194" s="570">
        <f t="shared" si="20"/>
        <v>0</v>
      </c>
      <c r="P194" s="317"/>
      <c r="W194" s="3" t="b">
        <f t="shared" si="19"/>
        <v>1</v>
      </c>
      <c r="X194" s="567">
        <f t="shared" si="21"/>
        <v>0</v>
      </c>
      <c r="Y194" s="567">
        <f t="shared" si="22"/>
        <v>0</v>
      </c>
    </row>
    <row r="195" spans="1:25" ht="57" customHeight="1" x14ac:dyDescent="0.3">
      <c r="A195" s="335">
        <f>'Unit Data from Audit Worksheet'!A229</f>
        <v>328</v>
      </c>
      <c r="B195" s="349" t="str">
        <f>'Unit Data from Audit Worksheet'!C229</f>
        <v>WS-Capital Assets Schedule in the Notes</v>
      </c>
      <c r="C195" s="334" t="str">
        <f>'Unit Data from Audit Worksheet'!D229</f>
        <v>Construction in progress</v>
      </c>
      <c r="D195" s="354"/>
      <c r="E195" s="355">
        <f>'Unit Data from Audit Worksheet'!F229</f>
        <v>0</v>
      </c>
      <c r="F195" s="87"/>
      <c r="G195" s="350"/>
      <c r="H195" s="347">
        <f>'Unit Data from Audit Worksheet'!I229</f>
        <v>0</v>
      </c>
      <c r="I195" s="38"/>
      <c r="J195" s="346">
        <v>328</v>
      </c>
      <c r="K195" s="58" t="s">
        <v>328</v>
      </c>
      <c r="L195" s="570">
        <f t="shared" si="20"/>
        <v>0</v>
      </c>
      <c r="P195" s="317"/>
      <c r="W195" s="3" t="b">
        <f t="shared" si="19"/>
        <v>1</v>
      </c>
      <c r="X195" s="567">
        <f t="shared" si="21"/>
        <v>0</v>
      </c>
      <c r="Y195" s="567">
        <f t="shared" si="22"/>
        <v>0</v>
      </c>
    </row>
    <row r="196" spans="1:25" ht="46.5" customHeight="1" x14ac:dyDescent="0.3">
      <c r="A196" s="335">
        <f>'Unit Data from Audit Worksheet'!A233</f>
        <v>515</v>
      </c>
      <c r="B196" s="349" t="str">
        <f>'Unit Data from Audit Worksheet'!C233</f>
        <v>WS Capital Assets Schedule-Gross Value</v>
      </c>
      <c r="C196" s="334" t="str">
        <f>'Unit Data from Audit Worksheet'!D233</f>
        <v>Buildings</v>
      </c>
      <c r="D196" s="354"/>
      <c r="E196" s="355">
        <f>'Unit Data from Audit Worksheet'!F233</f>
        <v>0</v>
      </c>
      <c r="F196" s="87"/>
      <c r="G196" s="350"/>
      <c r="H196" s="347">
        <f>'Unit Data from Audit Worksheet'!I233</f>
        <v>0</v>
      </c>
      <c r="I196" s="38"/>
      <c r="J196" s="346">
        <v>515</v>
      </c>
      <c r="K196" s="58" t="s">
        <v>273</v>
      </c>
      <c r="L196" s="570">
        <f t="shared" si="20"/>
        <v>0</v>
      </c>
      <c r="P196" s="317"/>
      <c r="W196" s="3" t="b">
        <f t="shared" si="19"/>
        <v>1</v>
      </c>
      <c r="X196" s="567">
        <f t="shared" si="21"/>
        <v>0</v>
      </c>
      <c r="Y196" s="567">
        <f t="shared" si="22"/>
        <v>0</v>
      </c>
    </row>
    <row r="197" spans="1:25" ht="46.5" customHeight="1" x14ac:dyDescent="0.3">
      <c r="A197" s="335">
        <f>'Unit Data from Audit Worksheet'!A234</f>
        <v>516</v>
      </c>
      <c r="B197" s="349" t="str">
        <f>'Unit Data from Audit Worksheet'!C234</f>
        <v>WS Capital Assets Schedule-Gross Value</v>
      </c>
      <c r="C197" s="334" t="str">
        <f>'Unit Data from Audit Worksheet'!D234</f>
        <v>Plant / distributions systems / water lines</v>
      </c>
      <c r="D197" s="354"/>
      <c r="E197" s="355">
        <f>'Unit Data from Audit Worksheet'!F234</f>
        <v>0</v>
      </c>
      <c r="F197" s="87"/>
      <c r="G197" s="350"/>
      <c r="H197" s="347">
        <f>'Unit Data from Audit Worksheet'!I234</f>
        <v>0</v>
      </c>
      <c r="I197" s="38"/>
      <c r="J197" s="346">
        <v>516</v>
      </c>
      <c r="K197" s="58" t="s">
        <v>274</v>
      </c>
      <c r="L197" s="570">
        <f t="shared" si="20"/>
        <v>0</v>
      </c>
      <c r="P197" s="317"/>
      <c r="W197" s="3" t="b">
        <f t="shared" ref="W197:W228" si="23">EXACT(A197,J197)</f>
        <v>1</v>
      </c>
      <c r="X197" s="567">
        <f t="shared" si="21"/>
        <v>0</v>
      </c>
      <c r="Y197" s="567">
        <f t="shared" si="22"/>
        <v>0</v>
      </c>
    </row>
    <row r="198" spans="1:25" ht="46.5" customHeight="1" x14ac:dyDescent="0.3">
      <c r="A198" s="335">
        <f>'Unit Data from Audit Worksheet'!A235</f>
        <v>517</v>
      </c>
      <c r="B198" s="349" t="str">
        <f>'Unit Data from Audit Worksheet'!C235</f>
        <v>WS Capital Assets Schedule-Gross Value</v>
      </c>
      <c r="C198" s="334" t="str">
        <f>'Unit Data from Audit Worksheet'!D235</f>
        <v>Infrastructure(other infrastructure)</v>
      </c>
      <c r="D198" s="354"/>
      <c r="E198" s="355">
        <f>'Unit Data from Audit Worksheet'!F235</f>
        <v>0</v>
      </c>
      <c r="F198" s="87"/>
      <c r="G198" s="350"/>
      <c r="H198" s="347">
        <f>'Unit Data from Audit Worksheet'!I235</f>
        <v>0</v>
      </c>
      <c r="I198" s="38"/>
      <c r="J198" s="346">
        <v>517</v>
      </c>
      <c r="K198" s="598" t="s">
        <v>275</v>
      </c>
      <c r="L198" s="570">
        <f t="shared" si="20"/>
        <v>0</v>
      </c>
      <c r="P198" s="317"/>
      <c r="W198" s="3" t="b">
        <f t="shared" si="23"/>
        <v>1</v>
      </c>
      <c r="X198" s="567">
        <f t="shared" si="21"/>
        <v>0</v>
      </c>
      <c r="Y198" s="567">
        <f t="shared" si="22"/>
        <v>0</v>
      </c>
    </row>
    <row r="199" spans="1:25" ht="46.5" customHeight="1" x14ac:dyDescent="0.3">
      <c r="A199" s="335">
        <f>'Unit Data from Audit Worksheet'!A236</f>
        <v>518</v>
      </c>
      <c r="B199" s="349" t="str">
        <f>'Unit Data from Audit Worksheet'!C236</f>
        <v>WS Capital Assets Schedule-Gross Value</v>
      </c>
      <c r="C199" s="334" t="str">
        <f>'Unit Data from Audit Worksheet'!D236</f>
        <v>All other depreciable capital assets</v>
      </c>
      <c r="D199" s="354"/>
      <c r="E199" s="355">
        <f>'Unit Data from Audit Worksheet'!F236</f>
        <v>0</v>
      </c>
      <c r="F199" s="87"/>
      <c r="G199" s="350"/>
      <c r="H199" s="347">
        <f>'Unit Data from Audit Worksheet'!I236</f>
        <v>0</v>
      </c>
      <c r="I199" s="38"/>
      <c r="J199" s="346">
        <v>518</v>
      </c>
      <c r="K199" s="598" t="s">
        <v>276</v>
      </c>
      <c r="L199" s="570">
        <f t="shared" si="20"/>
        <v>0</v>
      </c>
      <c r="P199" s="317"/>
      <c r="W199" s="3" t="b">
        <f t="shared" si="23"/>
        <v>1</v>
      </c>
      <c r="X199" s="567">
        <f t="shared" si="21"/>
        <v>0</v>
      </c>
      <c r="Y199" s="567">
        <f t="shared" si="22"/>
        <v>0</v>
      </c>
    </row>
    <row r="200" spans="1:25" ht="52.5" customHeight="1" x14ac:dyDescent="0.3">
      <c r="A200" s="335">
        <f>'Unit Data from Audit Worksheet'!A239</f>
        <v>519</v>
      </c>
      <c r="B200" s="349" t="str">
        <f>'Unit Data from Audit Worksheet'!C239</f>
        <v>WS Capital Assets Schedule-Annual Depreciation</v>
      </c>
      <c r="C200" s="334" t="str">
        <f>'Unit Data from Audit Worksheet'!D239</f>
        <v>Buildings annual depreciation</v>
      </c>
      <c r="D200" s="354"/>
      <c r="E200" s="355">
        <f>'Unit Data from Audit Worksheet'!F239</f>
        <v>0</v>
      </c>
      <c r="F200" s="87"/>
      <c r="G200" s="350"/>
      <c r="H200" s="347">
        <f>'Unit Data from Audit Worksheet'!I239</f>
        <v>0</v>
      </c>
      <c r="I200" s="38"/>
      <c r="J200" s="346">
        <v>519</v>
      </c>
      <c r="K200" s="598" t="s">
        <v>277</v>
      </c>
      <c r="L200" s="570">
        <f t="shared" si="20"/>
        <v>0</v>
      </c>
      <c r="P200" s="317"/>
      <c r="W200" s="3" t="b">
        <f t="shared" si="23"/>
        <v>1</v>
      </c>
      <c r="X200" s="567">
        <f t="shared" si="21"/>
        <v>0</v>
      </c>
      <c r="Y200" s="567">
        <f t="shared" si="22"/>
        <v>0</v>
      </c>
    </row>
    <row r="201" spans="1:25" ht="52.5" customHeight="1" x14ac:dyDescent="0.3">
      <c r="A201" s="335">
        <f>'Unit Data from Audit Worksheet'!A240</f>
        <v>520</v>
      </c>
      <c r="B201" s="349" t="str">
        <f>'Unit Data from Audit Worksheet'!C240</f>
        <v>WS Capital Assets Schedule-Annual Depreciation</v>
      </c>
      <c r="C201" s="334" t="str">
        <f>'Unit Data from Audit Worksheet'!D240</f>
        <v>Plant / distributions systems / water lines annual depreciation</v>
      </c>
      <c r="D201" s="354"/>
      <c r="E201" s="355">
        <f>'Unit Data from Audit Worksheet'!F240</f>
        <v>0</v>
      </c>
      <c r="F201" s="87"/>
      <c r="G201" s="350"/>
      <c r="H201" s="347">
        <f>'Unit Data from Audit Worksheet'!I240</f>
        <v>0</v>
      </c>
      <c r="I201" s="38"/>
      <c r="J201" s="346">
        <v>520</v>
      </c>
      <c r="K201" s="598" t="s">
        <v>278</v>
      </c>
      <c r="L201" s="570">
        <f t="shared" si="20"/>
        <v>0</v>
      </c>
      <c r="P201" s="317"/>
      <c r="W201" s="3" t="b">
        <f t="shared" si="23"/>
        <v>1</v>
      </c>
      <c r="X201" s="567">
        <f t="shared" si="21"/>
        <v>0</v>
      </c>
      <c r="Y201" s="567">
        <f t="shared" si="22"/>
        <v>0</v>
      </c>
    </row>
    <row r="202" spans="1:25" ht="52.5" customHeight="1" x14ac:dyDescent="0.3">
      <c r="A202" s="335">
        <f>'Unit Data from Audit Worksheet'!A241</f>
        <v>521</v>
      </c>
      <c r="B202" s="349" t="str">
        <f>'Unit Data from Audit Worksheet'!C241</f>
        <v>WS Capital Assets Schedule-Annual Depreciation</v>
      </c>
      <c r="C202" s="334" t="str">
        <f>'Unit Data from Audit Worksheet'!D241</f>
        <v>Infrastructure(other infrastructure) annual depreciation</v>
      </c>
      <c r="D202" s="354"/>
      <c r="E202" s="355">
        <f>'Unit Data from Audit Worksheet'!F241</f>
        <v>0</v>
      </c>
      <c r="F202" s="87"/>
      <c r="G202" s="350"/>
      <c r="H202" s="347">
        <f>'Unit Data from Audit Worksheet'!I241</f>
        <v>0</v>
      </c>
      <c r="I202" s="38"/>
      <c r="J202" s="346">
        <v>521</v>
      </c>
      <c r="K202" s="58" t="s">
        <v>279</v>
      </c>
      <c r="L202" s="570">
        <f t="shared" si="20"/>
        <v>0</v>
      </c>
      <c r="P202" s="317"/>
      <c r="W202" s="3" t="b">
        <f t="shared" si="23"/>
        <v>1</v>
      </c>
      <c r="X202" s="567">
        <f t="shared" si="21"/>
        <v>0</v>
      </c>
      <c r="Y202" s="567">
        <f t="shared" si="22"/>
        <v>0</v>
      </c>
    </row>
    <row r="203" spans="1:25" ht="42.75" customHeight="1" x14ac:dyDescent="0.3">
      <c r="A203" s="335">
        <f>'Unit Data from Audit Worksheet'!A242</f>
        <v>522</v>
      </c>
      <c r="B203" s="349" t="str">
        <f>'Unit Data from Audit Worksheet'!C242</f>
        <v>WS Capital Assets Schedule-Annual Depreciation</v>
      </c>
      <c r="C203" s="334" t="str">
        <f>'Unit Data from Audit Worksheet'!D242</f>
        <v>All other depreciable capital assets annual depreciation</v>
      </c>
      <c r="D203" s="354"/>
      <c r="E203" s="355">
        <f>'Unit Data from Audit Worksheet'!F242</f>
        <v>0</v>
      </c>
      <c r="F203" s="87"/>
      <c r="G203" s="350"/>
      <c r="H203" s="347">
        <f>'Unit Data from Audit Worksheet'!I242</f>
        <v>0</v>
      </c>
      <c r="I203" s="38"/>
      <c r="J203" s="346">
        <v>522</v>
      </c>
      <c r="K203" s="58" t="s">
        <v>280</v>
      </c>
      <c r="L203" s="570">
        <f t="shared" si="20"/>
        <v>0</v>
      </c>
      <c r="P203" s="317"/>
      <c r="W203" s="3" t="b">
        <f t="shared" si="23"/>
        <v>1</v>
      </c>
      <c r="X203" s="567">
        <f t="shared" si="21"/>
        <v>0</v>
      </c>
      <c r="Y203" s="567">
        <f t="shared" si="22"/>
        <v>0</v>
      </c>
    </row>
    <row r="204" spans="1:25" ht="42.75" customHeight="1" x14ac:dyDescent="0.3">
      <c r="A204" s="335">
        <f>'Unit Data from Audit Worksheet'!A245</f>
        <v>523</v>
      </c>
      <c r="B204" s="349" t="str">
        <f>'Unit Data from Audit Worksheet'!C245</f>
        <v>WS Capital Assets Schedule-Accumulated Depreciation</v>
      </c>
      <c r="C204" s="334" t="str">
        <f>'Unit Data from Audit Worksheet'!D245</f>
        <v>Building accumulated depreciation</v>
      </c>
      <c r="D204" s="354"/>
      <c r="E204" s="355">
        <f>'Unit Data from Audit Worksheet'!F245</f>
        <v>0</v>
      </c>
      <c r="F204" s="87"/>
      <c r="G204" s="350"/>
      <c r="H204" s="347">
        <f>'Unit Data from Audit Worksheet'!I245</f>
        <v>0</v>
      </c>
      <c r="I204" s="38"/>
      <c r="J204" s="346">
        <v>523</v>
      </c>
      <c r="K204" s="58" t="s">
        <v>281</v>
      </c>
      <c r="L204" s="570">
        <f t="shared" si="20"/>
        <v>0</v>
      </c>
      <c r="P204" s="317"/>
      <c r="W204" s="3" t="b">
        <f t="shared" si="23"/>
        <v>1</v>
      </c>
      <c r="X204" s="567">
        <f t="shared" si="21"/>
        <v>0</v>
      </c>
      <c r="Y204" s="567">
        <f t="shared" si="22"/>
        <v>0</v>
      </c>
    </row>
    <row r="205" spans="1:25" ht="51" customHeight="1" x14ac:dyDescent="0.3">
      <c r="A205" s="335">
        <f>'Unit Data from Audit Worksheet'!A246</f>
        <v>524</v>
      </c>
      <c r="B205" s="349" t="str">
        <f>'Unit Data from Audit Worksheet'!C246</f>
        <v>WS Capital Assets Schedule-Accumulated Depreciation</v>
      </c>
      <c r="C205" s="334" t="str">
        <f>'Unit Data from Audit Worksheet'!D246</f>
        <v>Plant / distributions systems / water lines accumulated depreciation</v>
      </c>
      <c r="D205" s="354"/>
      <c r="E205" s="355">
        <f>'Unit Data from Audit Worksheet'!F246</f>
        <v>0</v>
      </c>
      <c r="F205" s="87"/>
      <c r="G205" s="350"/>
      <c r="H205" s="347">
        <f>'Unit Data from Audit Worksheet'!I246</f>
        <v>0</v>
      </c>
      <c r="I205" s="38"/>
      <c r="J205" s="346">
        <v>524</v>
      </c>
      <c r="K205" s="58" t="s">
        <v>282</v>
      </c>
      <c r="L205" s="570">
        <f t="shared" si="20"/>
        <v>0</v>
      </c>
      <c r="P205" s="317"/>
      <c r="W205" s="3" t="b">
        <f t="shared" si="23"/>
        <v>1</v>
      </c>
      <c r="X205" s="567">
        <f t="shared" si="21"/>
        <v>0</v>
      </c>
      <c r="Y205" s="567">
        <f t="shared" si="22"/>
        <v>0</v>
      </c>
    </row>
    <row r="206" spans="1:25" ht="57.75" customHeight="1" x14ac:dyDescent="0.3">
      <c r="A206" s="335">
        <f>'Unit Data from Audit Worksheet'!A247</f>
        <v>525</v>
      </c>
      <c r="B206" s="349" t="str">
        <f>'Unit Data from Audit Worksheet'!C247</f>
        <v>WS Capital Assets Schedule-Accumulated Depreciation</v>
      </c>
      <c r="C206" s="334" t="str">
        <f>'Unit Data from Audit Worksheet'!D247</f>
        <v>Infrastructure(other infrastructure) accumulated depreciation</v>
      </c>
      <c r="D206" s="354"/>
      <c r="E206" s="355">
        <f>'Unit Data from Audit Worksheet'!F247</f>
        <v>0</v>
      </c>
      <c r="F206" s="87"/>
      <c r="G206" s="350"/>
      <c r="H206" s="347">
        <f>'Unit Data from Audit Worksheet'!I247</f>
        <v>0</v>
      </c>
      <c r="I206" s="38"/>
      <c r="J206" s="346">
        <v>525</v>
      </c>
      <c r="K206" s="58" t="s">
        <v>283</v>
      </c>
      <c r="L206" s="570">
        <f t="shared" si="20"/>
        <v>0</v>
      </c>
      <c r="P206" s="317"/>
      <c r="W206" s="3" t="b">
        <f t="shared" si="23"/>
        <v>1</v>
      </c>
      <c r="X206" s="567">
        <f t="shared" si="21"/>
        <v>0</v>
      </c>
      <c r="Y206" s="567">
        <f t="shared" si="22"/>
        <v>0</v>
      </c>
    </row>
    <row r="207" spans="1:25" ht="48" customHeight="1" x14ac:dyDescent="0.3">
      <c r="A207" s="335">
        <f>'Unit Data from Audit Worksheet'!A248</f>
        <v>526</v>
      </c>
      <c r="B207" s="349" t="str">
        <f>'Unit Data from Audit Worksheet'!C248</f>
        <v>WS Capital Assets Schedule-Accumulated Depreciation</v>
      </c>
      <c r="C207" s="334" t="str">
        <f>'Unit Data from Audit Worksheet'!D248</f>
        <v>All other depreciable capital assets accumulated depreciation</v>
      </c>
      <c r="D207" s="354"/>
      <c r="E207" s="355">
        <f>'Unit Data from Audit Worksheet'!F248</f>
        <v>0</v>
      </c>
      <c r="F207" s="87"/>
      <c r="G207" s="350"/>
      <c r="H207" s="347">
        <f>'Unit Data from Audit Worksheet'!I248</f>
        <v>0</v>
      </c>
      <c r="I207" s="38"/>
      <c r="J207" s="346">
        <v>526</v>
      </c>
      <c r="K207" s="58" t="s">
        <v>284</v>
      </c>
      <c r="L207" s="570">
        <f t="shared" si="20"/>
        <v>0</v>
      </c>
      <c r="P207" s="317"/>
      <c r="W207" s="3" t="b">
        <f t="shared" si="23"/>
        <v>1</v>
      </c>
      <c r="X207" s="567">
        <f t="shared" si="21"/>
        <v>0</v>
      </c>
      <c r="Y207" s="567">
        <f t="shared" si="22"/>
        <v>0</v>
      </c>
    </row>
    <row r="208" spans="1:25" ht="50.25" customHeight="1" x14ac:dyDescent="0.3">
      <c r="A208" s="335">
        <f>'Unit Data from Audit Worksheet'!A253</f>
        <v>527</v>
      </c>
      <c r="B208" s="349" t="str">
        <f>'Unit Data from Audit Worksheet'!C253</f>
        <v>Electric Assets</v>
      </c>
      <c r="C208" s="334" t="str">
        <f>'Unit Data from Audit Worksheet'!D253</f>
        <v>Total Assets Gross value not being depreciated for Electric Fund</v>
      </c>
      <c r="D208" s="354"/>
      <c r="E208" s="355">
        <f>'Unit Data from Audit Worksheet'!F253</f>
        <v>0</v>
      </c>
      <c r="F208" s="87"/>
      <c r="G208" s="350"/>
      <c r="H208" s="347">
        <f>'Unit Data from Audit Worksheet'!I253</f>
        <v>0</v>
      </c>
      <c r="I208" s="38"/>
      <c r="J208" s="346">
        <v>527</v>
      </c>
      <c r="K208" s="58" t="s">
        <v>285</v>
      </c>
      <c r="L208" s="570">
        <f t="shared" si="20"/>
        <v>0</v>
      </c>
      <c r="P208" s="317"/>
      <c r="W208" s="3" t="b">
        <f t="shared" si="23"/>
        <v>1</v>
      </c>
      <c r="X208" s="567">
        <f t="shared" si="21"/>
        <v>0</v>
      </c>
      <c r="Y208" s="567">
        <f t="shared" si="22"/>
        <v>0</v>
      </c>
    </row>
    <row r="209" spans="1:27" ht="54.75" customHeight="1" x14ac:dyDescent="0.3">
      <c r="A209" s="335">
        <f>'Unit Data from Audit Worksheet'!A254</f>
        <v>356</v>
      </c>
      <c r="B209" s="349" t="str">
        <f>'Unit Data from Audit Worksheet'!C254</f>
        <v>Electric Assets</v>
      </c>
      <c r="C209" s="334" t="str">
        <f>'Unit Data from Audit Worksheet'!D254</f>
        <v>Total Assets Gross value of assets being depreciated for Electric Fund</v>
      </c>
      <c r="D209" s="354"/>
      <c r="E209" s="355">
        <f>'Unit Data from Audit Worksheet'!F254</f>
        <v>0</v>
      </c>
      <c r="F209" s="87"/>
      <c r="G209" s="350"/>
      <c r="H209" s="347">
        <f>'Unit Data from Audit Worksheet'!I254</f>
        <v>0</v>
      </c>
      <c r="I209" s="38"/>
      <c r="J209" s="346">
        <v>356</v>
      </c>
      <c r="K209" s="58" t="s">
        <v>329</v>
      </c>
      <c r="L209" s="570">
        <f t="shared" si="20"/>
        <v>0</v>
      </c>
      <c r="P209" s="317"/>
      <c r="W209" s="3" t="b">
        <f t="shared" si="23"/>
        <v>1</v>
      </c>
      <c r="X209" s="567">
        <f t="shared" si="21"/>
        <v>0</v>
      </c>
      <c r="Y209" s="567">
        <f t="shared" si="22"/>
        <v>0</v>
      </c>
    </row>
    <row r="210" spans="1:27" ht="54.75" customHeight="1" x14ac:dyDescent="0.3">
      <c r="A210" s="335">
        <f>'Unit Data from Audit Worksheet'!A255</f>
        <v>357</v>
      </c>
      <c r="B210" s="349" t="str">
        <f>'Unit Data from Audit Worksheet'!C255</f>
        <v>Electric Accumulated Depreciation</v>
      </c>
      <c r="C210" s="334" t="str">
        <f>'Unit Data from Audit Worksheet'!D255</f>
        <v>Total accumulated depreciation for Electric Fund assets</v>
      </c>
      <c r="D210" s="354"/>
      <c r="E210" s="355">
        <f>'Unit Data from Audit Worksheet'!F255</f>
        <v>0</v>
      </c>
      <c r="F210" s="87"/>
      <c r="G210" s="350"/>
      <c r="H210" s="347">
        <f>'Unit Data from Audit Worksheet'!I255</f>
        <v>0</v>
      </c>
      <c r="I210" s="38"/>
      <c r="J210" s="346">
        <v>357</v>
      </c>
      <c r="K210" s="58" t="s">
        <v>330</v>
      </c>
      <c r="L210" s="570">
        <f t="shared" si="20"/>
        <v>0</v>
      </c>
      <c r="P210" s="317"/>
      <c r="W210" s="3" t="b">
        <f t="shared" si="23"/>
        <v>1</v>
      </c>
      <c r="X210" s="567">
        <f t="shared" si="21"/>
        <v>0</v>
      </c>
      <c r="Y210" s="567">
        <f t="shared" si="22"/>
        <v>0</v>
      </c>
    </row>
    <row r="211" spans="1:27" ht="191.25" customHeight="1" x14ac:dyDescent="0.3">
      <c r="A211" s="335">
        <f>'Unit Data from Audit Worksheet'!A257</f>
        <v>337</v>
      </c>
      <c r="B211" s="349" t="str">
        <f>'Unit Data from Audit Worksheet'!C257</f>
        <v>Long-Term Liability Note - Governmental Activities</v>
      </c>
      <c r="C211" s="349"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54"/>
      <c r="E211" s="355">
        <f>'Unit Data from Audit Worksheet'!F257</f>
        <v>0</v>
      </c>
      <c r="F211" s="348">
        <f>IF(L211&lt;0,"Error: Enter as a positive.",)</f>
        <v>0</v>
      </c>
      <c r="G211" s="350"/>
      <c r="H211" s="347">
        <f>'Unit Data from Audit Worksheet'!I257</f>
        <v>0</v>
      </c>
      <c r="I211" s="38"/>
      <c r="J211" s="346">
        <v>337</v>
      </c>
      <c r="K211" s="345" t="s">
        <v>254</v>
      </c>
      <c r="L211" s="570">
        <f t="shared" si="20"/>
        <v>0</v>
      </c>
      <c r="P211" s="317"/>
      <c r="W211" s="3" t="b">
        <f t="shared" si="23"/>
        <v>1</v>
      </c>
      <c r="X211" s="567">
        <f t="shared" si="21"/>
        <v>0</v>
      </c>
      <c r="Y211" s="567">
        <f t="shared" si="22"/>
        <v>0</v>
      </c>
    </row>
    <row r="212" spans="1:27" ht="76.5" customHeight="1" x14ac:dyDescent="0.3">
      <c r="A212" s="335">
        <f>'Unit Data from Audit Worksheet'!A258</f>
        <v>343</v>
      </c>
      <c r="B212" s="349" t="str">
        <f>'Unit Data from Audit Worksheet'!C258</f>
        <v>Long-Term Liability Note - Governmental Activities</v>
      </c>
      <c r="C212" s="334" t="str">
        <f>'Unit Data from Audit Worksheet'!D258</f>
        <v>Decreases made (principal paid) on Long-Term Debt in current fiscal year.  Reduce for debt refunding.</v>
      </c>
      <c r="D212" s="354"/>
      <c r="E212" s="355">
        <f>'Unit Data from Audit Worksheet'!F258</f>
        <v>0</v>
      </c>
      <c r="F212" s="348">
        <f>IF(L212&lt;0,"Error: Enter as a positive.",)</f>
        <v>0</v>
      </c>
      <c r="G212" s="350"/>
      <c r="H212" s="347">
        <f>'Unit Data from Audit Worksheet'!I258</f>
        <v>0</v>
      </c>
      <c r="I212" s="38"/>
      <c r="J212" s="346">
        <v>343</v>
      </c>
      <c r="K212" s="345" t="s">
        <v>255</v>
      </c>
      <c r="L212" s="570">
        <f t="shared" si="20"/>
        <v>0</v>
      </c>
      <c r="P212" s="317"/>
      <c r="W212" s="3" t="b">
        <f t="shared" si="23"/>
        <v>1</v>
      </c>
      <c r="X212" s="567">
        <f t="shared" si="21"/>
        <v>0</v>
      </c>
      <c r="Y212" s="567">
        <f t="shared" si="22"/>
        <v>0</v>
      </c>
    </row>
    <row r="213" spans="1:27" ht="193.5" customHeight="1" x14ac:dyDescent="0.3">
      <c r="A213" s="335">
        <f>'Unit Data from Audit Worksheet'!A259</f>
        <v>82</v>
      </c>
      <c r="B213" s="349" t="str">
        <f>'Unit Data from Audit Worksheet'!C259</f>
        <v>Long-Term Liability Note - Water Sewer Activities</v>
      </c>
      <c r="C213" s="349"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54"/>
      <c r="E213" s="355">
        <f>'Unit Data from Audit Worksheet'!F259</f>
        <v>0</v>
      </c>
      <c r="F213" s="348">
        <f>IF(L213&lt;0,"Error: Enter as a positive.",)</f>
        <v>0</v>
      </c>
      <c r="G213" s="350"/>
      <c r="H213" s="347">
        <f>'Unit Data from Audit Worksheet'!I259</f>
        <v>0</v>
      </c>
      <c r="I213" s="38"/>
      <c r="J213" s="346">
        <v>82</v>
      </c>
      <c r="K213" s="69" t="s">
        <v>331</v>
      </c>
      <c r="L213" s="570">
        <f t="shared" si="20"/>
        <v>0</v>
      </c>
      <c r="P213" s="317"/>
      <c r="W213" s="3" t="b">
        <f t="shared" si="23"/>
        <v>1</v>
      </c>
      <c r="X213" s="567">
        <f t="shared" si="21"/>
        <v>0</v>
      </c>
      <c r="Y213" s="567">
        <f t="shared" si="22"/>
        <v>0</v>
      </c>
    </row>
    <row r="214" spans="1:27" ht="206.25" customHeight="1" x14ac:dyDescent="0.3">
      <c r="A214" s="335">
        <f>'Unit Data from Audit Worksheet'!A260</f>
        <v>359</v>
      </c>
      <c r="B214" s="349" t="str">
        <f>'Unit Data from Audit Worksheet'!C260</f>
        <v>Long-Term Liability Note - Electric Activities</v>
      </c>
      <c r="C214" s="349"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54"/>
      <c r="E214" s="355">
        <f>'Unit Data from Audit Worksheet'!F260</f>
        <v>0</v>
      </c>
      <c r="F214" s="348">
        <f>IF(L214&lt;0,"Error: Enter as a positive.",)</f>
        <v>0</v>
      </c>
      <c r="G214" s="350"/>
      <c r="H214" s="347">
        <f>'Unit Data from Audit Worksheet'!I260</f>
        <v>0</v>
      </c>
      <c r="I214" s="38"/>
      <c r="J214" s="346">
        <v>359</v>
      </c>
      <c r="K214" s="345" t="s">
        <v>256</v>
      </c>
      <c r="L214" s="570">
        <f t="shared" si="20"/>
        <v>0</v>
      </c>
      <c r="P214" s="317"/>
      <c r="W214" s="3" t="b">
        <f t="shared" si="23"/>
        <v>1</v>
      </c>
      <c r="X214" s="567">
        <f t="shared" si="21"/>
        <v>0</v>
      </c>
      <c r="Y214" s="567">
        <f t="shared" si="22"/>
        <v>0</v>
      </c>
    </row>
    <row r="215" spans="1:27" ht="76.5" customHeight="1" x14ac:dyDescent="0.3">
      <c r="A215" s="335">
        <f>'Unit Data from Audit Worksheet'!A262</f>
        <v>622</v>
      </c>
      <c r="B215" s="349" t="str">
        <f>'Unit Data from Audit Worksheet'!C262</f>
        <v>FS., Pension note or RSI</v>
      </c>
      <c r="C215" s="349"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54"/>
      <c r="E215" s="355">
        <f>'Unit Data from Audit Worksheet'!F262</f>
        <v>0</v>
      </c>
      <c r="F215" s="348"/>
      <c r="G215" s="350"/>
      <c r="H215" s="347"/>
      <c r="I215" s="38"/>
      <c r="J215" s="346">
        <v>622</v>
      </c>
      <c r="K215" s="352" t="s">
        <v>415</v>
      </c>
      <c r="L215" s="570">
        <f t="shared" si="20"/>
        <v>0</v>
      </c>
      <c r="P215" s="317"/>
      <c r="W215" s="3" t="b">
        <f t="shared" si="23"/>
        <v>1</v>
      </c>
      <c r="X215" s="567">
        <f t="shared" si="21"/>
        <v>0</v>
      </c>
      <c r="Y215" s="567">
        <f t="shared" si="22"/>
        <v>0</v>
      </c>
    </row>
    <row r="216" spans="1:27" ht="138.75" customHeight="1" x14ac:dyDescent="0.3">
      <c r="A216" s="335">
        <f>'Unit Data from Audit Worksheet'!A263</f>
        <v>577</v>
      </c>
      <c r="B216" s="349" t="str">
        <f>'Unit Data from Audit Worksheet'!C263</f>
        <v>Pension Notes</v>
      </c>
      <c r="C216" s="349"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54"/>
      <c r="E216" s="355" t="str">
        <f>IF('Unit Data from Audit Worksheet'!F263="Yes",1,IF('Unit Data from Audit Worksheet'!F263="No",2,IF('Unit Data from Audit Worksheet'!F263&lt;1,"",IF('Unit Data from Audit Worksheet'!F263=0&gt;2,""))))</f>
        <v/>
      </c>
      <c r="F216" s="348"/>
      <c r="G216" s="350"/>
      <c r="H216" s="347"/>
      <c r="I216" s="38"/>
      <c r="J216" s="346">
        <v>577</v>
      </c>
      <c r="K216" s="352" t="s">
        <v>357</v>
      </c>
      <c r="L216" s="570" t="str">
        <f t="shared" si="20"/>
        <v/>
      </c>
      <c r="P216" s="317"/>
      <c r="W216" s="3" t="b">
        <f t="shared" si="23"/>
        <v>1</v>
      </c>
      <c r="X216" s="567" t="e">
        <f t="shared" si="21"/>
        <v>#VALUE!</v>
      </c>
      <c r="Y216" s="567" t="e">
        <f t="shared" si="22"/>
        <v>#VALUE!</v>
      </c>
    </row>
    <row r="217" spans="1:27" ht="115.5" customHeight="1" x14ac:dyDescent="0.3">
      <c r="A217" s="599">
        <f>'Unit Data from Audit Worksheet'!A265</f>
        <v>598</v>
      </c>
      <c r="B217" s="349" t="str">
        <f>'Unit Data from Audit Worksheet'!C265</f>
        <v>LEO Note</v>
      </c>
      <c r="C217" s="334" t="str">
        <f>'Unit Data from Audit Worksheet'!D265</f>
        <v>Amount the unit paid out in benefits under LEO special separation allowance to retired law enforcement officers this fiscal year if you report under GASB 68 or GASB 73.</v>
      </c>
      <c r="D217" s="354"/>
      <c r="E217" s="355">
        <f>'Unit Data from Audit Worksheet'!F265</f>
        <v>0</v>
      </c>
      <c r="F217" s="348">
        <f>IF(L217&lt;0,"Error: Enter as a positive.",)</f>
        <v>0</v>
      </c>
      <c r="G217" s="350"/>
      <c r="H217" s="347">
        <f>'Unit Data from Audit Worksheet'!I265</f>
        <v>0</v>
      </c>
      <c r="I217" s="38"/>
      <c r="J217" s="346">
        <v>598</v>
      </c>
      <c r="K217" s="94" t="s">
        <v>385</v>
      </c>
      <c r="L217" s="570">
        <f t="shared" si="20"/>
        <v>0</v>
      </c>
      <c r="P217" s="317"/>
      <c r="W217" s="3" t="b">
        <f t="shared" si="23"/>
        <v>1</v>
      </c>
      <c r="X217" s="567">
        <f t="shared" si="21"/>
        <v>0</v>
      </c>
      <c r="Y217" s="567">
        <f t="shared" si="22"/>
        <v>0</v>
      </c>
    </row>
    <row r="218" spans="1:27" ht="84" customHeight="1" x14ac:dyDescent="0.3">
      <c r="A218" s="335">
        <f>'Unit Data from Audit Worksheet'!A266</f>
        <v>599</v>
      </c>
      <c r="B218" s="349" t="str">
        <f>'Unit Data from Audit Worksheet'!C266</f>
        <v>LEO Note</v>
      </c>
      <c r="C218" s="334" t="str">
        <f>'Unit Data from Audit Worksheet'!D266</f>
        <v>The total LEO pension liability if you report under GASB 68 or GASB 73.</v>
      </c>
      <c r="D218" s="354"/>
      <c r="E218" s="355">
        <f>'Unit Data from Audit Worksheet'!F266</f>
        <v>0</v>
      </c>
      <c r="F218" s="348">
        <f>IF(L218&lt;0,"Error: Enter as a positive.",)</f>
        <v>0</v>
      </c>
      <c r="G218" s="350"/>
      <c r="H218" s="347">
        <f>'Unit Data from Audit Worksheet'!I266</f>
        <v>0</v>
      </c>
      <c r="I218" s="38"/>
      <c r="J218" s="346">
        <v>599</v>
      </c>
      <c r="K218" s="93" t="s">
        <v>384</v>
      </c>
      <c r="L218" s="570">
        <f t="shared" si="20"/>
        <v>0</v>
      </c>
      <c r="M218" s="600"/>
      <c r="P218" s="317"/>
      <c r="W218" s="3" t="b">
        <f t="shared" si="23"/>
        <v>1</v>
      </c>
      <c r="X218" s="567">
        <f t="shared" si="21"/>
        <v>0</v>
      </c>
      <c r="Y218" s="567">
        <f t="shared" si="22"/>
        <v>0</v>
      </c>
    </row>
    <row r="219" spans="1:27" ht="102.75" customHeight="1" x14ac:dyDescent="0.3">
      <c r="A219" s="335">
        <f>'Unit Data from Audit Worksheet'!A267</f>
        <v>602</v>
      </c>
      <c r="B219" s="349" t="str">
        <f>'Unit Data from Audit Worksheet'!C267</f>
        <v>LEO Note</v>
      </c>
      <c r="C219" s="334" t="str">
        <f>'Unit Data from Audit Worksheet'!D267</f>
        <v>If you have LEO pension assets and are reporting under GASB 68 please enter "Plan Fiduciary Net Position" which can be found on your RSI schedules and the Notes.</v>
      </c>
      <c r="D219" s="354"/>
      <c r="E219" s="355">
        <f>'Unit Data from Audit Worksheet'!F267</f>
        <v>0</v>
      </c>
      <c r="F219" s="348">
        <f>IF(L219&lt;0,"Error: Enter as a positive.",)</f>
        <v>0</v>
      </c>
      <c r="G219" s="350"/>
      <c r="H219" s="347">
        <f>'Unit Data from Audit Worksheet'!I267</f>
        <v>0</v>
      </c>
      <c r="I219" s="38"/>
      <c r="J219" s="346">
        <v>602</v>
      </c>
      <c r="K219" s="26" t="s">
        <v>386</v>
      </c>
      <c r="L219" s="570">
        <f t="shared" si="20"/>
        <v>0</v>
      </c>
      <c r="M219" s="600"/>
      <c r="P219" s="317"/>
      <c r="W219" s="3" t="b">
        <f t="shared" si="23"/>
        <v>1</v>
      </c>
      <c r="X219" s="567">
        <f t="shared" si="21"/>
        <v>0</v>
      </c>
      <c r="Y219" s="567">
        <f t="shared" si="22"/>
        <v>0</v>
      </c>
    </row>
    <row r="220" spans="1:27" ht="123" customHeight="1" x14ac:dyDescent="0.3">
      <c r="A220" s="335">
        <f>'Unit Data from Audit Worksheet'!A268</f>
        <v>619</v>
      </c>
      <c r="B220" s="349" t="str">
        <f>'Unit Data from Audit Worksheet'!C268</f>
        <v>LEO
RSI</v>
      </c>
      <c r="C220" s="94"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5"/>
      <c r="E220" s="150">
        <f>'Unit Data from Audit Worksheet'!F268</f>
        <v>0</v>
      </c>
      <c r="F220" s="348" t="str">
        <f>IF(H220=L220,"","Column L does not equal Column H")</f>
        <v/>
      </c>
      <c r="G220" s="350"/>
      <c r="H220" s="103">
        <f>ROUND(IFERROR((L219/L218)*100,0),1)</f>
        <v>0</v>
      </c>
      <c r="I220" s="38"/>
      <c r="J220" s="337">
        <v>619</v>
      </c>
      <c r="K220" s="102" t="s">
        <v>546</v>
      </c>
      <c r="L220" s="909">
        <f t="shared" si="20"/>
        <v>0</v>
      </c>
      <c r="M220" s="600"/>
      <c r="P220" s="601"/>
      <c r="Q220" s="602">
        <f>IF(H220=L220,0,1)</f>
        <v>0</v>
      </c>
      <c r="W220" s="3" t="b">
        <f t="shared" si="23"/>
        <v>1</v>
      </c>
      <c r="X220" s="567">
        <f t="shared" si="21"/>
        <v>0</v>
      </c>
      <c r="Y220" s="567">
        <f t="shared" si="22"/>
        <v>0</v>
      </c>
    </row>
    <row r="221" spans="1:27" ht="113.25" customHeight="1" x14ac:dyDescent="0.3">
      <c r="A221" s="335">
        <v>621</v>
      </c>
      <c r="B221" s="57" t="s">
        <v>407</v>
      </c>
      <c r="C221" s="603" t="str">
        <f>'Unit Data from Audit Worksheet'!D270</f>
        <v xml:space="preserve">Unit's share of Retirement Health Benefit Fund Net OPEB Liability ($s)
- unit of government is a participating employer in the State's RHBF </v>
      </c>
      <c r="D221" s="95"/>
      <c r="E221" s="355">
        <f>'Unit Data from Audit Worksheet'!F270</f>
        <v>0</v>
      </c>
      <c r="F221" s="348">
        <f>IF(L221&lt;0,"Error: Enter as a positive.",)</f>
        <v>0</v>
      </c>
      <c r="G221" s="128"/>
      <c r="H221" s="347"/>
      <c r="I221" s="38"/>
      <c r="J221" s="604">
        <v>621</v>
      </c>
      <c r="K221" s="129" t="s">
        <v>551</v>
      </c>
      <c r="L221" s="570">
        <f t="shared" si="20"/>
        <v>0</v>
      </c>
      <c r="M221" s="600"/>
      <c r="P221" s="604"/>
      <c r="Q221" s="296"/>
      <c r="W221" s="3" t="b">
        <f t="shared" si="23"/>
        <v>1</v>
      </c>
      <c r="X221" s="567">
        <f t="shared" si="21"/>
        <v>0</v>
      </c>
      <c r="Y221" s="567">
        <f t="shared" si="22"/>
        <v>0</v>
      </c>
    </row>
    <row r="222" spans="1:27" s="18" customFormat="1" ht="127.5" customHeight="1" x14ac:dyDescent="0.3">
      <c r="A222" s="599">
        <f>'Unit Data from Audit Worksheet'!A271</f>
        <v>547</v>
      </c>
      <c r="B222" s="349" t="str">
        <f>'Unit Data from Audit Worksheet'!C271</f>
        <v>OPEB Note</v>
      </c>
      <c r="C222" s="349"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54"/>
      <c r="E222" s="355">
        <f>'Unit Data from Audit Worksheet'!F271</f>
        <v>0</v>
      </c>
      <c r="F222" s="348" t="str">
        <f>IF(L225&lt;1,"Please answer this question","")</f>
        <v>Please answer this question</v>
      </c>
      <c r="G222" s="350"/>
      <c r="H222" s="347">
        <f>'Unit Data from Audit Worksheet'!I271</f>
        <v>0</v>
      </c>
      <c r="I222" s="38"/>
      <c r="J222" s="346">
        <v>547</v>
      </c>
      <c r="K222" s="605" t="s">
        <v>319</v>
      </c>
      <c r="L222" s="570">
        <f t="shared" si="20"/>
        <v>0</v>
      </c>
      <c r="M222" s="591"/>
      <c r="P222" s="317"/>
      <c r="Q222" s="560"/>
      <c r="R222" s="3"/>
      <c r="W222" s="3" t="b">
        <f t="shared" si="23"/>
        <v>1</v>
      </c>
      <c r="X222" s="567">
        <f t="shared" si="21"/>
        <v>0</v>
      </c>
      <c r="Y222" s="567">
        <f t="shared" si="22"/>
        <v>0</v>
      </c>
      <c r="AA222" s="3"/>
    </row>
    <row r="223" spans="1:27" s="18" customFormat="1" ht="99" customHeight="1" x14ac:dyDescent="0.3">
      <c r="A223" s="335">
        <f>'Unit Data from Audit Worksheet'!A272</f>
        <v>659</v>
      </c>
      <c r="B223" s="349" t="str">
        <f>'Unit Data from Audit Worksheet'!C272</f>
        <v>OPEB
 Note or RSI</v>
      </c>
      <c r="C223" s="334" t="str">
        <f>'Unit Data from Audit Worksheet'!D272</f>
        <v>Total OPEB benefits - total OPEB liability
If you do not provide benefit, please enter 0</v>
      </c>
      <c r="D223" s="354"/>
      <c r="E223" s="355">
        <f>'Unit Data from Audit Worksheet'!F272</f>
        <v>0</v>
      </c>
      <c r="F223" s="348">
        <f>IF(L223&lt;0,"Error: Enter as a positive.",)</f>
        <v>0</v>
      </c>
      <c r="G223" s="606" t="s">
        <v>994</v>
      </c>
      <c r="H223" s="347">
        <f>'Unit Data from Audit Worksheet'!I272</f>
        <v>0</v>
      </c>
      <c r="I223" s="38"/>
      <c r="J223" s="337">
        <v>659</v>
      </c>
      <c r="K223" s="336" t="s">
        <v>505</v>
      </c>
      <c r="L223" s="584">
        <f t="shared" si="20"/>
        <v>0</v>
      </c>
      <c r="M223" s="591"/>
      <c r="P223" s="601"/>
      <c r="Q223" s="560"/>
      <c r="R223" s="3"/>
      <c r="W223" s="3" t="b">
        <f t="shared" si="23"/>
        <v>1</v>
      </c>
      <c r="X223" s="567">
        <f t="shared" si="21"/>
        <v>0</v>
      </c>
      <c r="Y223" s="567">
        <f t="shared" si="22"/>
        <v>0</v>
      </c>
      <c r="AA223" s="3"/>
    </row>
    <row r="224" spans="1:27" s="18" customFormat="1" ht="131.25" customHeight="1" x14ac:dyDescent="0.3">
      <c r="A224" s="335">
        <f>'Unit Data from Audit Worksheet'!A273</f>
        <v>660</v>
      </c>
      <c r="B224" s="349" t="str">
        <f>'Unit Data from Audit Worksheet'!C273</f>
        <v>OPEB
 Note or RSI</v>
      </c>
      <c r="C224" s="334" t="str">
        <f>'Unit Data from Audit Worksheet'!D273</f>
        <v>Total OPEB benefits- OPEB plan fiduciary net position
If no fiduciary net position, enter 0</v>
      </c>
      <c r="D224" s="354"/>
      <c r="E224" s="355">
        <f>'Unit Data from Audit Worksheet'!F273</f>
        <v>0</v>
      </c>
      <c r="F224" s="344">
        <f>IF(L224&lt;0,"Note: Number is normally positive.",)</f>
        <v>0</v>
      </c>
      <c r="G224" s="606" t="s">
        <v>994</v>
      </c>
      <c r="H224" s="347">
        <f>'Unit Data from Audit Worksheet'!I273</f>
        <v>0</v>
      </c>
      <c r="I224" s="38"/>
      <c r="J224" s="337">
        <v>660</v>
      </c>
      <c r="K224" s="336" t="s">
        <v>506</v>
      </c>
      <c r="L224" s="584">
        <f t="shared" si="20"/>
        <v>0</v>
      </c>
      <c r="M224" s="591"/>
      <c r="P224" s="601"/>
      <c r="Q224" s="560"/>
      <c r="R224" s="3"/>
      <c r="W224" s="3" t="b">
        <f t="shared" si="23"/>
        <v>1</v>
      </c>
      <c r="X224" s="567">
        <f t="shared" si="21"/>
        <v>0</v>
      </c>
      <c r="Y224" s="567">
        <f t="shared" si="22"/>
        <v>0</v>
      </c>
      <c r="AA224" s="3"/>
    </row>
    <row r="225" spans="1:27" ht="134.25" customHeight="1" x14ac:dyDescent="0.3">
      <c r="A225" s="335">
        <f>'Unit Data from Audit Worksheet'!A274</f>
        <v>661</v>
      </c>
      <c r="B225" s="349" t="str">
        <f>'Unit Data from Audit Worksheet'!C274</f>
        <v>OPEB
RSI</v>
      </c>
      <c r="C225" s="334"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5"/>
      <c r="E225" s="333">
        <f>'Unit Data from Audit Worksheet'!F274</f>
        <v>0</v>
      </c>
      <c r="F225" s="348" t="str">
        <f>IF(H225=L225,"","Column L does not equal Column H")</f>
        <v/>
      </c>
      <c r="G225" s="606" t="s">
        <v>994</v>
      </c>
      <c r="H225" s="175">
        <f>ROUND(IFERROR((L224/L223)*100,0),1)</f>
        <v>0</v>
      </c>
      <c r="I225" s="38"/>
      <c r="J225" s="337">
        <v>661</v>
      </c>
      <c r="K225" s="352" t="s">
        <v>509</v>
      </c>
      <c r="L225" s="607">
        <f>IF(D225="",E225,D225)</f>
        <v>0</v>
      </c>
      <c r="P225" s="601"/>
      <c r="Q225" s="602">
        <f>IF(H225=L225,0,1)</f>
        <v>0</v>
      </c>
      <c r="W225" s="3" t="b">
        <f t="shared" si="23"/>
        <v>1</v>
      </c>
      <c r="X225" s="567">
        <f t="shared" si="21"/>
        <v>0</v>
      </c>
      <c r="Y225" s="567">
        <f t="shared" si="22"/>
        <v>0</v>
      </c>
    </row>
    <row r="226" spans="1:27" ht="65.25" customHeight="1" x14ac:dyDescent="0.3">
      <c r="A226" s="335">
        <f>'Unit Data from Audit Worksheet'!A277</f>
        <v>371</v>
      </c>
      <c r="B226" s="349" t="str">
        <f>'Unit Data from Audit Worksheet'!C277</f>
        <v>Transfer Note</v>
      </c>
      <c r="C226" s="334" t="str">
        <f>'Unit Data from Audit Worksheet'!D277</f>
        <v>Amount of Transfers from the General Fund to the Debt Service Fund (Enter as positive)</v>
      </c>
      <c r="D226" s="354"/>
      <c r="E226" s="355">
        <f>'Unit Data from Audit Worksheet'!F277</f>
        <v>0</v>
      </c>
      <c r="F226" s="348">
        <f>IF(L226&lt;0,"Error: Enter as a positive.",)</f>
        <v>0</v>
      </c>
      <c r="G226" s="350"/>
      <c r="H226" s="347">
        <f>'Unit Data from Audit Worksheet'!I277</f>
        <v>0</v>
      </c>
      <c r="I226" s="38"/>
      <c r="J226" s="39">
        <v>371</v>
      </c>
      <c r="K226" s="345" t="s">
        <v>258</v>
      </c>
      <c r="L226" s="570">
        <f t="shared" si="20"/>
        <v>0</v>
      </c>
      <c r="P226" s="323"/>
      <c r="Q226" s="3"/>
      <c r="W226" s="3" t="b">
        <f t="shared" si="23"/>
        <v>1</v>
      </c>
      <c r="X226" s="567">
        <f t="shared" si="21"/>
        <v>0</v>
      </c>
      <c r="Y226" s="567">
        <f t="shared" si="22"/>
        <v>0</v>
      </c>
    </row>
    <row r="227" spans="1:27" ht="63" customHeight="1" x14ac:dyDescent="0.3">
      <c r="A227" s="335">
        <f>'Unit Data from Audit Worksheet'!A278</f>
        <v>513</v>
      </c>
      <c r="B227" s="349" t="str">
        <f>'Unit Data from Audit Worksheet'!C278</f>
        <v>Transfer Note</v>
      </c>
      <c r="C227" s="334" t="str">
        <f>'Unit Data from Audit Worksheet'!D278</f>
        <v>Amount of Transfers from the General Fund to the Electric Fund  (Enter as positive)</v>
      </c>
      <c r="D227" s="354"/>
      <c r="E227" s="355">
        <f>'Unit Data from Audit Worksheet'!F278</f>
        <v>0</v>
      </c>
      <c r="F227" s="348">
        <f>IF(L227&lt;0,"Error: Enter as a positive.",)</f>
        <v>0</v>
      </c>
      <c r="G227" s="350"/>
      <c r="H227" s="347">
        <f>'Unit Data from Audit Worksheet'!I278</f>
        <v>0</v>
      </c>
      <c r="I227" s="38"/>
      <c r="J227" s="346">
        <v>513</v>
      </c>
      <c r="K227" s="345" t="s">
        <v>259</v>
      </c>
      <c r="L227" s="570">
        <f t="shared" si="20"/>
        <v>0</v>
      </c>
      <c r="P227" s="317"/>
      <c r="W227" s="3" t="b">
        <f t="shared" si="23"/>
        <v>1</v>
      </c>
      <c r="X227" s="567">
        <f t="shared" si="21"/>
        <v>0</v>
      </c>
      <c r="Y227" s="567">
        <f t="shared" si="22"/>
        <v>0</v>
      </c>
    </row>
    <row r="228" spans="1:27" ht="89.25" customHeight="1" x14ac:dyDescent="0.3">
      <c r="A228" s="335">
        <f>'Unit Data from Audit Worksheet'!A279</f>
        <v>514</v>
      </c>
      <c r="B228" s="349" t="str">
        <f>'Unit Data from Audit Worksheet'!C279</f>
        <v>Transfer Note</v>
      </c>
      <c r="C228" s="334" t="str">
        <f>'Unit Data from Audit Worksheet'!D279</f>
        <v>Amount of Transfers from the Electric Fund to the General Fund  (Enter as positive)
Include:  Payment in Lieu of Taxes (PILOT)</v>
      </c>
      <c r="D228" s="354"/>
      <c r="E228" s="355">
        <f>'Unit Data from Audit Worksheet'!F279</f>
        <v>0</v>
      </c>
      <c r="F228" s="348">
        <f>IF(L228&lt;0,"Error: Enter as a positive.",)</f>
        <v>0</v>
      </c>
      <c r="G228" s="350"/>
      <c r="H228" s="347">
        <f>'Unit Data from Audit Worksheet'!I279</f>
        <v>0</v>
      </c>
      <c r="I228" s="38"/>
      <c r="J228" s="346">
        <v>514</v>
      </c>
      <c r="K228" s="345" t="s">
        <v>260</v>
      </c>
      <c r="L228" s="570">
        <f t="shared" si="20"/>
        <v>0</v>
      </c>
      <c r="P228" s="317"/>
      <c r="W228" s="3" t="b">
        <f t="shared" si="23"/>
        <v>1</v>
      </c>
      <c r="X228" s="567">
        <f t="shared" si="21"/>
        <v>0</v>
      </c>
      <c r="Y228" s="567">
        <f t="shared" si="22"/>
        <v>0</v>
      </c>
    </row>
    <row r="229" spans="1:27" ht="89.25" customHeight="1" x14ac:dyDescent="0.3">
      <c r="A229" s="586">
        <f>'Unit Data from Audit Worksheet'!A280</f>
        <v>990</v>
      </c>
      <c r="B229" s="353" t="str">
        <f>'Unit Data from Audit Worksheet'!C280</f>
        <v>Transfer Note</v>
      </c>
      <c r="C229" s="587" t="str">
        <f>'Unit Data from Audit Worksheet'!D280</f>
        <v>Amount of transfer out to the General Fund that is for Payment in Lieu of Taxes (PILOT)</v>
      </c>
      <c r="D229" s="354"/>
      <c r="E229" s="355">
        <f>'Unit Data from Audit Worksheet'!F280</f>
        <v>0</v>
      </c>
      <c r="F229" s="348"/>
      <c r="G229" s="350"/>
      <c r="H229" s="347">
        <f>'Unit Data from Audit Worksheet'!I280</f>
        <v>0</v>
      </c>
      <c r="I229" s="38"/>
      <c r="J229" s="364">
        <v>990</v>
      </c>
      <c r="K229" s="126" t="s">
        <v>731</v>
      </c>
      <c r="L229" s="570">
        <f t="shared" si="20"/>
        <v>0</v>
      </c>
      <c r="P229" s="317"/>
      <c r="X229" s="567"/>
      <c r="Y229" s="567"/>
    </row>
    <row r="230" spans="1:27" ht="84.75" customHeight="1" x14ac:dyDescent="0.3">
      <c r="A230" s="608">
        <f>'Unit Data from Audit Worksheet'!A282</f>
        <v>6</v>
      </c>
      <c r="B230" s="53" t="str">
        <f>'Unit Data from Audit Worksheet'!C282</f>
        <v>Fund Balance Note</v>
      </c>
      <c r="C230" s="580" t="str">
        <f>'Unit Data from Audit Worksheet'!D282</f>
        <v>General Fund -  Total Encumbrances.  You will probably have to refer to the note disclosure where the amount of encumbrances is listed.</v>
      </c>
      <c r="D230" s="354"/>
      <c r="E230" s="154">
        <f>'Unit Data from Audit Worksheet'!F282</f>
        <v>0</v>
      </c>
      <c r="F230" s="37">
        <f>IF(L230&lt;0,"Error: Enter as a positive.",)</f>
        <v>0</v>
      </c>
      <c r="G230" s="73"/>
      <c r="H230" s="347">
        <f>'Unit Data from Audit Worksheet'!I282</f>
        <v>0</v>
      </c>
      <c r="I230" s="38"/>
      <c r="J230" s="41">
        <v>6</v>
      </c>
      <c r="K230" s="133" t="s">
        <v>261</v>
      </c>
      <c r="L230" s="570">
        <f t="shared" si="20"/>
        <v>0</v>
      </c>
      <c r="P230" s="317"/>
      <c r="W230" s="3" t="b">
        <f t="shared" ref="W230:W258" si="24">EXACT(A230,J230)</f>
        <v>1</v>
      </c>
      <c r="X230" s="567">
        <f t="shared" si="21"/>
        <v>0</v>
      </c>
      <c r="Y230" s="567">
        <f t="shared" si="22"/>
        <v>0</v>
      </c>
    </row>
    <row r="231" spans="1:27" ht="117.75" customHeight="1" x14ac:dyDescent="0.3">
      <c r="A231" s="335">
        <f>'Unit Data from Audit Worksheet'!A284</f>
        <v>541</v>
      </c>
      <c r="B231" s="349" t="str">
        <f>'Unit Data from Audit Worksheet'!C284</f>
        <v>Water Sewer - Budget Actual Statement</v>
      </c>
      <c r="C231" s="349"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54"/>
      <c r="E231" s="355">
        <f>'Unit Data from Audit Worksheet'!F284</f>
        <v>0</v>
      </c>
      <c r="F231" s="348"/>
      <c r="G231" s="350"/>
      <c r="H231" s="347">
        <f>'Unit Data from Audit Worksheet'!I284</f>
        <v>0</v>
      </c>
      <c r="I231" s="38"/>
      <c r="J231" s="346">
        <v>541</v>
      </c>
      <c r="K231" s="88" t="s">
        <v>332</v>
      </c>
      <c r="L231" s="570">
        <f t="shared" si="20"/>
        <v>0</v>
      </c>
      <c r="P231" s="317"/>
      <c r="W231" s="3" t="b">
        <f t="shared" si="24"/>
        <v>1</v>
      </c>
      <c r="X231" s="567">
        <f t="shared" si="21"/>
        <v>0</v>
      </c>
      <c r="Y231" s="567">
        <f t="shared" si="22"/>
        <v>0</v>
      </c>
    </row>
    <row r="232" spans="1:27" ht="94.5" customHeight="1" x14ac:dyDescent="0.3">
      <c r="A232" s="335">
        <f>'Unit Data from Audit Worksheet'!A286</f>
        <v>542</v>
      </c>
      <c r="B232" s="349" t="str">
        <f>'Unit Data from Audit Worksheet'!C286</f>
        <v>Water Sewer - Disclosed in the Notes or in the recently approved Budget for next year.</v>
      </c>
      <c r="C232" s="334" t="str">
        <f>'Unit Data from Audit Worksheet'!D286</f>
        <v>Amount of the Water Sewer Fund Balance appropriated in next year's budget?</v>
      </c>
      <c r="D232" s="354"/>
      <c r="E232" s="355">
        <f>'Unit Data from Audit Worksheet'!F286</f>
        <v>0</v>
      </c>
      <c r="F232" s="348"/>
      <c r="G232" s="350"/>
      <c r="H232" s="347">
        <f>'Unit Data from Audit Worksheet'!I286</f>
        <v>0</v>
      </c>
      <c r="I232" s="38"/>
      <c r="J232" s="346">
        <v>542</v>
      </c>
      <c r="K232" s="345" t="s">
        <v>262</v>
      </c>
      <c r="L232" s="570">
        <f t="shared" si="20"/>
        <v>0</v>
      </c>
      <c r="N232" s="61" t="s">
        <v>323</v>
      </c>
      <c r="P232" s="317"/>
      <c r="W232" s="3" t="b">
        <f t="shared" si="24"/>
        <v>1</v>
      </c>
      <c r="X232" s="567">
        <f t="shared" si="21"/>
        <v>0</v>
      </c>
      <c r="Y232" s="567">
        <f t="shared" si="22"/>
        <v>0</v>
      </c>
    </row>
    <row r="233" spans="1:27" ht="93.75" customHeight="1" x14ac:dyDescent="0.3">
      <c r="A233" s="335">
        <f>'Unit Data from Audit Worksheet'!A289</f>
        <v>528</v>
      </c>
      <c r="B233" s="349" t="str">
        <f>'Unit Data from Audit Worksheet'!C289</f>
        <v>Analysis of Current Tax Levy Schedule</v>
      </c>
      <c r="C233" s="334" t="str">
        <f>'Unit Data from Audit Worksheet'!D289</f>
        <v>Please enter the Net Current year's levy for property excluding registered motor vehicles-- (after adjusting for discoveries and abatements)
Exclude Supplemental Taxes</v>
      </c>
      <c r="D233" s="354"/>
      <c r="E233" s="355">
        <f>'Unit Data from Audit Worksheet'!F289</f>
        <v>0</v>
      </c>
      <c r="F233" s="82" t="str">
        <f>IF(L233=0,"Must be completed if unit levys taxes","")</f>
        <v>Must be completed if unit levys taxes</v>
      </c>
      <c r="G233" s="350"/>
      <c r="H233" s="347"/>
      <c r="I233" s="38"/>
      <c r="J233" s="346">
        <v>528</v>
      </c>
      <c r="K233" s="609" t="s">
        <v>267</v>
      </c>
      <c r="L233" s="570">
        <f t="shared" si="20"/>
        <v>0</v>
      </c>
      <c r="N233" s="83"/>
      <c r="P233" s="317"/>
      <c r="W233" s="3" t="b">
        <f t="shared" si="24"/>
        <v>1</v>
      </c>
      <c r="X233" s="567">
        <f t="shared" si="21"/>
        <v>0</v>
      </c>
      <c r="Y233" s="567">
        <f t="shared" si="22"/>
        <v>0</v>
      </c>
    </row>
    <row r="234" spans="1:27" s="18" customFormat="1" ht="79.5" customHeight="1" x14ac:dyDescent="0.3">
      <c r="A234" s="335">
        <f>'Unit Data from Audit Worksheet'!A290</f>
        <v>529</v>
      </c>
      <c r="B234" s="349" t="str">
        <f>'Unit Data from Audit Worksheet'!C290</f>
        <v>Analysis of Current Tax Levy Schedule</v>
      </c>
      <c r="C234" s="334" t="str">
        <f>'Unit Data from Audit Worksheet'!D290</f>
        <v>Please enter the Net Current year's levy -- Motor vehicles (only) (after adjusting for discoveries and abatements)
Exclude supplemental taxes</v>
      </c>
      <c r="D234" s="354"/>
      <c r="E234" s="355">
        <f>'Unit Data from Audit Worksheet'!F290</f>
        <v>0</v>
      </c>
      <c r="F234" s="82" t="str">
        <f>IF(L234=0,"Must be completed if unit levys taxes","")</f>
        <v>Must be completed if unit levys taxes</v>
      </c>
      <c r="G234" s="350"/>
      <c r="H234" s="347"/>
      <c r="I234" s="38"/>
      <c r="J234" s="346">
        <v>529</v>
      </c>
      <c r="K234" s="609" t="s">
        <v>268</v>
      </c>
      <c r="L234" s="570">
        <f t="shared" si="20"/>
        <v>0</v>
      </c>
      <c r="N234" s="83"/>
      <c r="P234" s="317"/>
      <c r="Q234" s="560"/>
      <c r="R234" s="3"/>
      <c r="W234" s="3" t="b">
        <f t="shared" si="24"/>
        <v>1</v>
      </c>
      <c r="X234" s="567">
        <f t="shared" si="21"/>
        <v>0</v>
      </c>
      <c r="Y234" s="567">
        <f t="shared" si="22"/>
        <v>0</v>
      </c>
      <c r="AA234" s="3"/>
    </row>
    <row r="235" spans="1:27" s="18" customFormat="1" ht="75" customHeight="1" x14ac:dyDescent="0.3">
      <c r="A235" s="335">
        <f>'Unit Data from Audit Worksheet'!A291</f>
        <v>530</v>
      </c>
      <c r="B235" s="349" t="str">
        <f>'Unit Data from Audit Worksheet'!C291</f>
        <v>Analysis of Current Tax Levy Schedule</v>
      </c>
      <c r="C235" s="334" t="str">
        <f>'Unit Data from Audit Worksheet'!D291</f>
        <v>Uncollected Taxes - Curr Year's Levy Exclude Motor Vehicles
Exclude supplemental taxes</v>
      </c>
      <c r="D235" s="354"/>
      <c r="E235" s="355">
        <f>'Unit Data from Audit Worksheet'!F291</f>
        <v>0</v>
      </c>
      <c r="F235" s="82" t="str">
        <f>IF(L235=0,"Must be completed if unit levys taxes","")</f>
        <v>Must be completed if unit levys taxes</v>
      </c>
      <c r="G235" s="350"/>
      <c r="H235" s="347"/>
      <c r="I235" s="38"/>
      <c r="J235" s="346">
        <v>530</v>
      </c>
      <c r="K235" s="609" t="s">
        <v>269</v>
      </c>
      <c r="L235" s="570">
        <f t="shared" ref="L235:L241" si="25">IF(D235="",E235,D235)</f>
        <v>0</v>
      </c>
      <c r="N235" s="83"/>
      <c r="P235" s="317"/>
      <c r="Q235" s="560"/>
      <c r="R235" s="3"/>
      <c r="W235" s="3" t="b">
        <f t="shared" si="24"/>
        <v>1</v>
      </c>
      <c r="X235" s="567">
        <f t="shared" si="21"/>
        <v>0</v>
      </c>
      <c r="Y235" s="567">
        <f t="shared" si="22"/>
        <v>0</v>
      </c>
      <c r="AA235" s="3"/>
    </row>
    <row r="236" spans="1:27" s="18" customFormat="1" ht="68.25" customHeight="1" x14ac:dyDescent="0.3">
      <c r="A236" s="335">
        <f>'Unit Data from Audit Worksheet'!A292</f>
        <v>531</v>
      </c>
      <c r="B236" s="349" t="str">
        <f>'Unit Data from Audit Worksheet'!C292</f>
        <v>Analysis of Current Tax Levy Schedule</v>
      </c>
      <c r="C236" s="334" t="str">
        <f>'Unit Data from Audit Worksheet'!D292</f>
        <v>Uncollected Taxes - Curr Year's Levy Motor Vehicles
Exclude supplemental taxes</v>
      </c>
      <c r="D236" s="354"/>
      <c r="E236" s="355">
        <f>'Unit Data from Audit Worksheet'!F292</f>
        <v>0</v>
      </c>
      <c r="F236" s="82" t="str">
        <f>IF(L236=0,"Must be completed if unit levys taxes","")</f>
        <v>Must be completed if unit levys taxes</v>
      </c>
      <c r="G236" s="350"/>
      <c r="H236" s="347"/>
      <c r="I236" s="38"/>
      <c r="J236" s="346">
        <v>531</v>
      </c>
      <c r="K236" s="609" t="s">
        <v>270</v>
      </c>
      <c r="L236" s="570">
        <f t="shared" si="25"/>
        <v>0</v>
      </c>
      <c r="N236" s="83" t="str">
        <f>IF(T240=0,"Must be completed if unit levys taxes, zero acceptable if Motor Vehicle collection rate is 100%","")</f>
        <v>Must be completed if unit levys taxes, zero acceptable if Motor Vehicle collection rate is 100%</v>
      </c>
      <c r="P236" s="317"/>
      <c r="Q236" s="560"/>
      <c r="R236" s="3"/>
      <c r="W236" s="3" t="b">
        <f t="shared" si="24"/>
        <v>1</v>
      </c>
      <c r="X236" s="567">
        <f t="shared" si="21"/>
        <v>0</v>
      </c>
      <c r="Y236" s="567">
        <f t="shared" si="22"/>
        <v>0</v>
      </c>
      <c r="AA236" s="3"/>
    </row>
    <row r="237" spans="1:27" ht="90.75" customHeight="1" x14ac:dyDescent="0.3">
      <c r="A237" s="335">
        <f>'Unit Data from Audit Worksheet'!A293</f>
        <v>61</v>
      </c>
      <c r="B237" s="349" t="str">
        <f>'Unit Data from Audit Worksheet'!C293</f>
        <v>Analysis of Current Tax Levy Schedule</v>
      </c>
      <c r="C237" s="334" t="str">
        <f>'Unit Data from Audit Worksheet'!D293</f>
        <v>Tax collection rate- Total Levy UNIT-WIDE
Exclude supplemental taxes
(Enter as a percentage with two decimal places)</v>
      </c>
      <c r="D237" s="89"/>
      <c r="E237" s="151">
        <f>'Unit Data from Audit Worksheet'!F293</f>
        <v>0</v>
      </c>
      <c r="F237" s="87" t="str">
        <f>IF(L237=H237,"","Column H calculates the percentage using accounts 528, 529, 530, 531, please enter the correct amounts from the audit schedule for these cells")</f>
        <v/>
      </c>
      <c r="G237" s="350" t="str">
        <f>IF(Q237=1," Included in error count"," ")</f>
        <v xml:space="preserve"> </v>
      </c>
      <c r="H237" s="350">
        <f>ROUND(IFERROR(((L233+L234)-(L235+L236))/(L233+L234)*100,0),2)</f>
        <v>0</v>
      </c>
      <c r="I237" s="38"/>
      <c r="J237" s="346">
        <v>61</v>
      </c>
      <c r="K237" s="58" t="s">
        <v>264</v>
      </c>
      <c r="L237" s="610">
        <f t="shared" si="25"/>
        <v>0</v>
      </c>
      <c r="N237" s="83"/>
      <c r="P237" s="317"/>
      <c r="Q237" s="560">
        <f>IF(L237-H237&lt;&gt;0,1,0)</f>
        <v>0</v>
      </c>
      <c r="W237" s="3" t="b">
        <f t="shared" si="24"/>
        <v>1</v>
      </c>
      <c r="X237" s="567">
        <f t="shared" si="21"/>
        <v>0</v>
      </c>
      <c r="Y237" s="567">
        <f t="shared" si="22"/>
        <v>0</v>
      </c>
    </row>
    <row r="238" spans="1:27" ht="89.25" customHeight="1" x14ac:dyDescent="0.3">
      <c r="A238" s="335">
        <f>'Unit Data from Audit Worksheet'!A294</f>
        <v>102</v>
      </c>
      <c r="B238" s="349" t="str">
        <f>'Unit Data from Audit Worksheet'!C294</f>
        <v>Analysis of Current Tax Levy Schedule</v>
      </c>
      <c r="C238" s="334" t="str">
        <f>'Unit Data from Audit Worksheet'!D294</f>
        <v>Tax collection rate - Excluding Registered motor vehicles
Exclude supplemental taxes
(Enter as a percentage with two decimal places)</v>
      </c>
      <c r="D238" s="89"/>
      <c r="E238" s="151">
        <f>'Unit Data from Audit Worksheet'!F294</f>
        <v>0</v>
      </c>
      <c r="F238" s="87" t="str">
        <f>IF(L238=H238,"","Column H calculates the percentage using accounts 528 and 530,  please enter the correct amounts from the audit schedule for these cells")</f>
        <v/>
      </c>
      <c r="G238" s="350" t="str">
        <f>IF(Q238=1," Included in error count"," ")</f>
        <v xml:space="preserve"> </v>
      </c>
      <c r="H238" s="350">
        <f>ROUND(IFERROR(((L233)-(L235))/(L233)*100,0),2)</f>
        <v>0</v>
      </c>
      <c r="I238" s="38"/>
      <c r="J238" s="346">
        <v>102</v>
      </c>
      <c r="K238" s="58" t="s">
        <v>265</v>
      </c>
      <c r="L238" s="610">
        <f t="shared" si="25"/>
        <v>0</v>
      </c>
      <c r="N238" s="83"/>
      <c r="P238" s="317"/>
      <c r="Q238" s="560">
        <f>IF(L238-H238&lt;&gt;0,1,0)</f>
        <v>0</v>
      </c>
      <c r="W238" s="3" t="b">
        <f t="shared" si="24"/>
        <v>1</v>
      </c>
      <c r="X238" s="567">
        <f t="shared" si="21"/>
        <v>0</v>
      </c>
      <c r="Y238" s="567">
        <f t="shared" si="22"/>
        <v>0</v>
      </c>
    </row>
    <row r="239" spans="1:27" ht="87.75" customHeight="1" x14ac:dyDescent="0.3">
      <c r="A239" s="335">
        <f>'Unit Data from Audit Worksheet'!A295</f>
        <v>103</v>
      </c>
      <c r="B239" s="349" t="str">
        <f>'Unit Data from Audit Worksheet'!C295</f>
        <v>Analysis of Current Tax Levy Schedule</v>
      </c>
      <c r="C239" s="334" t="str">
        <f>'Unit Data from Audit Worksheet'!D295</f>
        <v>Tax collection rate - Registered motor vehicles
Exclude supplemental taxes
(Enter as a percentage with two decimal places)</v>
      </c>
      <c r="D239" s="89"/>
      <c r="E239" s="151">
        <f>'Unit Data from Audit Worksheet'!F295</f>
        <v>0</v>
      </c>
      <c r="F239" s="87" t="str">
        <f>IF(L239=H239,"","Column H calculates the percentage using accounts 529 and 531, please enter the correct amounts from the audit schedule for these cells")</f>
        <v/>
      </c>
      <c r="G239" s="350" t="str">
        <f>IF(Q239=1," Included in error count"," ")</f>
        <v xml:space="preserve"> </v>
      </c>
      <c r="H239" s="350">
        <f>ROUND(IFERROR(((L234)-(L236))/(L234)*100,0),2)</f>
        <v>0</v>
      </c>
      <c r="I239" s="38"/>
      <c r="J239" s="346">
        <v>103</v>
      </c>
      <c r="K239" s="58" t="s">
        <v>266</v>
      </c>
      <c r="L239" s="610">
        <f t="shared" si="25"/>
        <v>0</v>
      </c>
      <c r="N239" s="83"/>
      <c r="P239" s="317"/>
      <c r="Q239" s="560">
        <f>IF(L239-H239&lt;&gt;0,1,0)</f>
        <v>0</v>
      </c>
      <c r="W239" s="3" t="b">
        <f t="shared" si="24"/>
        <v>1</v>
      </c>
      <c r="X239" s="567">
        <f t="shared" si="21"/>
        <v>0</v>
      </c>
      <c r="Y239" s="567">
        <f t="shared" si="22"/>
        <v>0</v>
      </c>
    </row>
    <row r="240" spans="1:27" ht="86.25" customHeight="1" x14ac:dyDescent="0.3">
      <c r="A240" s="335">
        <f>'Unit Data from Audit Worksheet'!A296</f>
        <v>544</v>
      </c>
      <c r="B240" s="349" t="str">
        <f>'Unit Data from Audit Worksheet'!C296</f>
        <v>Analysis of Current Tax Levy Schedule</v>
      </c>
      <c r="C240" s="334" t="str">
        <f>'Unit Data from Audit Worksheet'!D296</f>
        <v>Property Tax Increase for Year Audited- enter amount of  increase in cents per $100 - leave blank if no increase 
Exclude supplemental taxes</v>
      </c>
      <c r="D240" s="354"/>
      <c r="E240" s="148">
        <f>'Unit Data from Audit Worksheet'!F296</f>
        <v>0</v>
      </c>
      <c r="F240" s="104"/>
      <c r="G240" s="350"/>
      <c r="H240" s="347">
        <f>'Unit Data from Audit Worksheet'!I296</f>
        <v>0</v>
      </c>
      <c r="I240" s="38"/>
      <c r="J240" s="346">
        <v>544</v>
      </c>
      <c r="K240" s="58" t="s">
        <v>53</v>
      </c>
      <c r="L240" s="611">
        <f t="shared" si="25"/>
        <v>0</v>
      </c>
      <c r="N240" s="61" t="s">
        <v>323</v>
      </c>
      <c r="P240" s="317"/>
      <c r="W240" s="3" t="b">
        <f t="shared" si="24"/>
        <v>1</v>
      </c>
      <c r="X240" s="567">
        <f t="shared" si="21"/>
        <v>0</v>
      </c>
      <c r="Y240" s="567">
        <f t="shared" si="22"/>
        <v>0</v>
      </c>
    </row>
    <row r="241" spans="1:25" ht="93.75" customHeight="1" x14ac:dyDescent="0.3">
      <c r="A241" s="335">
        <f>'Unit Data from Audit Worksheet'!A297</f>
        <v>545</v>
      </c>
      <c r="B241" s="349" t="str">
        <f>'Unit Data from Audit Worksheet'!C297</f>
        <v>Analysis of Current Tax Levy Schedule</v>
      </c>
      <c r="C241" s="334" t="str">
        <f>'Unit Data from Audit Worksheet'!D297</f>
        <v>Property Tax Increase for budget year after fiscal year being reported - enter amount of increase in cents per $100- leave blank if no increase
Exclude supplemental taxes</v>
      </c>
      <c r="D241" s="354"/>
      <c r="E241" s="148">
        <f>'Unit Data from Audit Worksheet'!F297</f>
        <v>0</v>
      </c>
      <c r="F241" s="348"/>
      <c r="G241" s="350"/>
      <c r="H241" s="347">
        <f>'Unit Data from Audit Worksheet'!I297</f>
        <v>0</v>
      </c>
      <c r="I241" s="38"/>
      <c r="J241" s="105">
        <v>545</v>
      </c>
      <c r="K241" s="58" t="s">
        <v>54</v>
      </c>
      <c r="L241" s="611">
        <f t="shared" si="25"/>
        <v>0</v>
      </c>
      <c r="N241" s="61" t="s">
        <v>323</v>
      </c>
      <c r="O241" s="579"/>
      <c r="P241" s="318"/>
      <c r="W241" s="3" t="b">
        <f t="shared" si="24"/>
        <v>1</v>
      </c>
      <c r="X241" s="567">
        <f t="shared" si="21"/>
        <v>0</v>
      </c>
      <c r="Y241" s="567">
        <f t="shared" si="22"/>
        <v>0</v>
      </c>
    </row>
    <row r="242" spans="1:25" ht="72.75" customHeight="1" x14ac:dyDescent="0.3">
      <c r="A242" s="335">
        <f>'Unit Data from Audit Worksheet'!A298</f>
        <v>624</v>
      </c>
      <c r="B242" s="349"/>
      <c r="C242" s="334" t="str">
        <f>'Unit Data from Audit Worksheet'!D298</f>
        <v>Does the County collect real estate property taxes on your behalf? Select "1" for "yes and "2" for "No"</v>
      </c>
      <c r="D242" s="354"/>
      <c r="E242" s="156">
        <f>'Unit Data from Audit Worksheet'!F298</f>
        <v>0</v>
      </c>
      <c r="F242" s="348"/>
      <c r="G242" s="350"/>
      <c r="H242" s="347"/>
      <c r="I242" s="38"/>
      <c r="J242" s="105">
        <v>624</v>
      </c>
      <c r="K242" s="58" t="s">
        <v>414</v>
      </c>
      <c r="L242" s="570">
        <f t="shared" ref="L242:L258" si="26">IF(D242="",E242,D242)</f>
        <v>0</v>
      </c>
      <c r="P242" s="318"/>
      <c r="W242" s="3" t="b">
        <f t="shared" si="24"/>
        <v>1</v>
      </c>
      <c r="X242" s="567">
        <f t="shared" si="21"/>
        <v>0</v>
      </c>
      <c r="Y242" s="567">
        <f t="shared" si="22"/>
        <v>0</v>
      </c>
    </row>
    <row r="243" spans="1:25" ht="72.75" customHeight="1" x14ac:dyDescent="0.3">
      <c r="A243" s="335">
        <f>'Unit Data from Audit Worksheet'!A299</f>
        <v>648</v>
      </c>
      <c r="B243" s="349"/>
      <c r="C243" s="334" t="str">
        <f>'Unit Data from Audit Worksheet'!D299</f>
        <v>Please enter your tax rate for ad valorem in effect for fiscal year audited.  Example 60 cents per 100 would be entered as .60</v>
      </c>
      <c r="D243" s="354"/>
      <c r="E243" s="156">
        <f>'Unit Data from Audit Worksheet'!F299</f>
        <v>0</v>
      </c>
      <c r="F243" s="348"/>
      <c r="G243" s="350"/>
      <c r="H243" s="347"/>
      <c r="I243" s="38"/>
      <c r="J243" s="105">
        <v>648</v>
      </c>
      <c r="K243" s="612" t="s">
        <v>805</v>
      </c>
      <c r="L243" s="613">
        <f t="shared" si="26"/>
        <v>0</v>
      </c>
      <c r="P243" s="318"/>
      <c r="W243" s="3" t="b">
        <f t="shared" si="24"/>
        <v>1</v>
      </c>
      <c r="X243" s="567"/>
      <c r="Y243" s="567"/>
    </row>
    <row r="244" spans="1:25" ht="161.25" customHeight="1" x14ac:dyDescent="0.3">
      <c r="A244" s="586">
        <f>'Unit Data from Audit Worksheet'!A300</f>
        <v>991</v>
      </c>
      <c r="B244" s="353"/>
      <c r="C244" s="587"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54"/>
      <c r="E244" s="156">
        <f>'Unit Data from Audit Worksheet'!F300</f>
        <v>0</v>
      </c>
      <c r="F244" s="348"/>
      <c r="G244" s="350"/>
      <c r="H244" s="347" t="str">
        <f>'Unit Data from Audit Worksheet'!H300</f>
        <v>Avery, Bladen, Chowan, Craven, Duplin, Guilford, Harnett, Hoke, Jones, Mitchell, Onslow, Pasquotank, Watauga</v>
      </c>
      <c r="I244" s="38"/>
      <c r="J244" s="332">
        <v>991</v>
      </c>
      <c r="K244" s="597" t="s">
        <v>1428</v>
      </c>
      <c r="L244" s="570">
        <f t="shared" si="26"/>
        <v>0</v>
      </c>
      <c r="P244" s="318"/>
      <c r="W244" s="3" t="b">
        <f t="shared" si="24"/>
        <v>1</v>
      </c>
      <c r="X244" s="567"/>
      <c r="Y244" s="567"/>
    </row>
    <row r="245" spans="1:25" ht="87.75" customHeight="1" x14ac:dyDescent="0.3">
      <c r="A245" s="335">
        <f>'Unit Data from Audit Worksheet'!A302</f>
        <v>620</v>
      </c>
      <c r="B245" s="349"/>
      <c r="C245" s="334" t="str">
        <f>'Unit Data from Audit Worksheet'!D302</f>
        <v>Do you expect to issue debt requiring LGC approval within 12 months from the date that the audit is submitted - select "1" for yes and "2" for no</v>
      </c>
      <c r="D245" s="354"/>
      <c r="E245" s="156">
        <f>'Unit Data from Audit Worksheet'!F302</f>
        <v>0</v>
      </c>
      <c r="F245" s="348"/>
      <c r="G245" s="350"/>
      <c r="H245" s="347">
        <f>'Unit Data from Audit Worksheet'!I302</f>
        <v>0</v>
      </c>
      <c r="I245" s="38"/>
      <c r="J245" s="105">
        <v>620</v>
      </c>
      <c r="K245" s="58" t="s">
        <v>795</v>
      </c>
      <c r="L245" s="570">
        <f t="shared" si="26"/>
        <v>0</v>
      </c>
      <c r="N245" s="138"/>
      <c r="P245" s="318"/>
      <c r="W245" s="3" t="b">
        <f t="shared" si="24"/>
        <v>1</v>
      </c>
      <c r="X245" s="567">
        <f t="shared" si="21"/>
        <v>0</v>
      </c>
      <c r="Y245" s="567">
        <f t="shared" si="22"/>
        <v>0</v>
      </c>
    </row>
    <row r="246" spans="1:25" ht="87.75" customHeight="1" x14ac:dyDescent="0.3">
      <c r="A246" s="586">
        <f>+'TD Info Completed by Auditor'!D41</f>
        <v>906</v>
      </c>
      <c r="B246" s="331" t="s">
        <v>792</v>
      </c>
      <c r="C246" s="586" t="str">
        <f>+'TD Info Completed by Auditor'!E41</f>
        <v>Is the Independent Auditor's Report Opinion Unmodified?</v>
      </c>
      <c r="D246" s="354"/>
      <c r="E246" s="337">
        <f>IF(+'TD Info Completed by Auditor'!G41="Yes",1,IF(+'TD Info Completed by Auditor'!G41="No",2,IF(+'TD Info Completed by Auditor'!G41="N/A",3,0)))</f>
        <v>0</v>
      </c>
      <c r="F246" s="348"/>
      <c r="G246" s="350"/>
      <c r="H246" s="347"/>
      <c r="I246" s="38"/>
      <c r="J246" s="127">
        <v>906</v>
      </c>
      <c r="K246" s="597" t="s">
        <v>599</v>
      </c>
      <c r="L246" s="570">
        <f t="shared" si="26"/>
        <v>0</v>
      </c>
      <c r="N246" s="138" t="s">
        <v>995</v>
      </c>
      <c r="P246" s="320"/>
      <c r="W246" s="3" t="b">
        <f t="shared" si="24"/>
        <v>1</v>
      </c>
      <c r="X246" s="567"/>
      <c r="Y246" s="567"/>
    </row>
    <row r="247" spans="1:25" ht="87.75" customHeight="1" x14ac:dyDescent="0.3">
      <c r="A247" s="586">
        <f>+'TD Info Completed by Auditor'!D43</f>
        <v>907</v>
      </c>
      <c r="B247" s="331" t="s">
        <v>792</v>
      </c>
      <c r="C247" s="586" t="str">
        <f>+'TD Info Completed by Auditor'!E43</f>
        <v xml:space="preserve">Is there a finding for lack of segregation of duties at this unit? </v>
      </c>
      <c r="D247" s="354"/>
      <c r="E247" s="337">
        <f>IF(+'TD Info Completed by Auditor'!G43="Yes",1,IF(+'TD Info Completed by Auditor'!G43="No",2,IF(+'TD Info Completed by Auditor'!G43="N/A",3,0)))</f>
        <v>0</v>
      </c>
      <c r="F247" s="348"/>
      <c r="G247" s="350"/>
      <c r="H247" s="347"/>
      <c r="I247" s="38"/>
      <c r="J247" s="127">
        <v>907</v>
      </c>
      <c r="K247" s="597" t="s">
        <v>600</v>
      </c>
      <c r="L247" s="570">
        <f t="shared" si="26"/>
        <v>0</v>
      </c>
      <c r="N247" s="138" t="s">
        <v>995</v>
      </c>
      <c r="P247" s="320"/>
      <c r="W247" s="3" t="b">
        <f t="shared" si="24"/>
        <v>1</v>
      </c>
      <c r="X247" s="567"/>
      <c r="Y247" s="567"/>
    </row>
    <row r="248" spans="1:25" ht="87.75" customHeight="1" x14ac:dyDescent="0.3">
      <c r="A248" s="586">
        <f>+'TD Info Completed by Auditor'!D45</f>
        <v>951</v>
      </c>
      <c r="B248" s="331" t="s">
        <v>792</v>
      </c>
      <c r="C248" s="587" t="str">
        <f>+'TD Info Completed by Auditor'!E45</f>
        <v>Is there a finding for lack of technical skills, knowledge and experience (SKE) at this unit?</v>
      </c>
      <c r="D248" s="354"/>
      <c r="E248" s="337">
        <f>IF(+'TD Info Completed by Auditor'!G45="Yes",1,IF(+'TD Info Completed by Auditor'!G45="No",2,IF(+'TD Info Completed by Auditor'!G45="N/A",3,0)))</f>
        <v>0</v>
      </c>
      <c r="F248" s="348"/>
      <c r="G248" s="350"/>
      <c r="H248" s="347"/>
      <c r="I248" s="38"/>
      <c r="J248" s="127">
        <v>951</v>
      </c>
      <c r="K248" s="597" t="s">
        <v>601</v>
      </c>
      <c r="L248" s="570">
        <f t="shared" si="26"/>
        <v>0</v>
      </c>
      <c r="N248" s="138" t="s">
        <v>995</v>
      </c>
      <c r="P248" s="320"/>
      <c r="W248" s="3" t="b">
        <f t="shared" si="24"/>
        <v>1</v>
      </c>
      <c r="X248" s="567"/>
      <c r="Y248" s="567"/>
    </row>
    <row r="249" spans="1:25" ht="87.75" customHeight="1" x14ac:dyDescent="0.3">
      <c r="A249" s="586">
        <f>+'TD Info Completed by Auditor'!D47</f>
        <v>953</v>
      </c>
      <c r="B249" s="331" t="s">
        <v>792</v>
      </c>
      <c r="C249" s="587" t="str">
        <f>+'TD Info Completed by Auditor'!E47</f>
        <v xml:space="preserve">Is there is a going concern finding noted in the audit report? </v>
      </c>
      <c r="D249" s="354"/>
      <c r="E249" s="337">
        <f>IF(+'TD Info Completed by Auditor'!G47="Yes",1,IF(+'TD Info Completed by Auditor'!G47="No",2,IF(+'TD Info Completed by Auditor'!G47="N/A",3,0)))</f>
        <v>0</v>
      </c>
      <c r="F249" s="348"/>
      <c r="G249" s="350"/>
      <c r="H249" s="347"/>
      <c r="I249" s="38"/>
      <c r="J249" s="127">
        <v>953</v>
      </c>
      <c r="K249" s="597" t="s">
        <v>1242</v>
      </c>
      <c r="L249" s="570">
        <f t="shared" si="26"/>
        <v>0</v>
      </c>
      <c r="N249" s="138" t="s">
        <v>995</v>
      </c>
      <c r="P249" s="320"/>
      <c r="W249" s="3" t="b">
        <f t="shared" si="24"/>
        <v>1</v>
      </c>
      <c r="X249" s="567"/>
      <c r="Y249" s="567"/>
    </row>
    <row r="250" spans="1:25" ht="87.75" customHeight="1" x14ac:dyDescent="0.3">
      <c r="A250" s="586">
        <f>+'TD Info Completed by Auditor'!D49</f>
        <v>955</v>
      </c>
      <c r="B250" s="331" t="s">
        <v>792</v>
      </c>
      <c r="C250" s="587" t="str">
        <f>+'TD Info Completed by Auditor'!E49</f>
        <v>Number of significant deficiency findings (other than in Questions 15-18 )</v>
      </c>
      <c r="D250" s="354"/>
      <c r="E250" s="1071" t="str">
        <f>IF(ISBLANK('TD Info Completed by Auditor'!G49),"",'TD Info Completed by Auditor'!G49)</f>
        <v/>
      </c>
      <c r="F250" s="348"/>
      <c r="G250" s="350"/>
      <c r="H250" s="1072" t="s">
        <v>1463</v>
      </c>
      <c r="I250" s="38"/>
      <c r="J250" s="127">
        <v>955</v>
      </c>
      <c r="K250" s="597" t="s">
        <v>796</v>
      </c>
      <c r="L250" s="570" t="str">
        <f t="shared" si="26"/>
        <v/>
      </c>
      <c r="N250" s="138" t="s">
        <v>995</v>
      </c>
      <c r="P250" s="320"/>
      <c r="W250" s="3" t="b">
        <f t="shared" si="24"/>
        <v>1</v>
      </c>
      <c r="X250" s="567"/>
      <c r="Y250" s="567"/>
    </row>
    <row r="251" spans="1:25" ht="87.75" customHeight="1" x14ac:dyDescent="0.3">
      <c r="A251" s="586">
        <f>+'TD Info Completed by Auditor'!D51</f>
        <v>957</v>
      </c>
      <c r="B251" s="331" t="s">
        <v>792</v>
      </c>
      <c r="C251" s="587" t="str">
        <f>+'TD Info Completed by Auditor'!E51</f>
        <v>Number of material weaknesses findings (other than in Questions 15-18)</v>
      </c>
      <c r="D251" s="354"/>
      <c r="E251" s="1071" t="str">
        <f>IF(ISBLANK('TD Info Completed by Auditor'!G51),"",'TD Info Completed by Auditor'!G51)</f>
        <v/>
      </c>
      <c r="F251" s="348"/>
      <c r="G251" s="350"/>
      <c r="H251" s="1072" t="s">
        <v>1464</v>
      </c>
      <c r="I251" s="38"/>
      <c r="J251" s="127">
        <v>957</v>
      </c>
      <c r="K251" s="597" t="s">
        <v>797</v>
      </c>
      <c r="L251" s="570" t="str">
        <f t="shared" si="26"/>
        <v/>
      </c>
      <c r="N251" s="138" t="s">
        <v>995</v>
      </c>
      <c r="P251" s="320"/>
      <c r="W251" s="3" t="b">
        <f t="shared" si="24"/>
        <v>1</v>
      </c>
      <c r="X251" s="567"/>
      <c r="Y251" s="567"/>
    </row>
    <row r="252" spans="1:25" ht="87.75" customHeight="1" x14ac:dyDescent="0.3">
      <c r="A252" s="586">
        <f>+'TD Info Completed by Auditor'!D53</f>
        <v>959</v>
      </c>
      <c r="B252" s="331" t="s">
        <v>792</v>
      </c>
      <c r="C252" s="587" t="str">
        <f>+'TD Info Completed by Auditor'!E53</f>
        <v>Did the Unit have debt service payments deferred or restructured in this fiscal year? (does not include refinancings designed to take advantage of lower interest rates)  Select Yes, No, or NA</v>
      </c>
      <c r="D252" s="354"/>
      <c r="E252" s="337">
        <f>IF(+'TD Info Completed by Auditor'!G53="Yes",1,IF(+'TD Info Completed by Auditor'!G53="No",2,IF(+'TD Info Completed by Auditor'!G53="N/A",3,0)))</f>
        <v>0</v>
      </c>
      <c r="F252" s="348"/>
      <c r="G252" s="350"/>
      <c r="H252" s="347"/>
      <c r="I252" s="38"/>
      <c r="J252" s="127">
        <v>959</v>
      </c>
      <c r="K252" s="597" t="s">
        <v>997</v>
      </c>
      <c r="L252" s="570">
        <f t="shared" si="26"/>
        <v>0</v>
      </c>
      <c r="N252" s="138" t="s">
        <v>995</v>
      </c>
      <c r="P252" s="320"/>
      <c r="W252" s="3" t="b">
        <f t="shared" si="24"/>
        <v>1</v>
      </c>
      <c r="X252" s="567"/>
      <c r="Y252" s="567"/>
    </row>
    <row r="253" spans="1:25" ht="222" customHeight="1" x14ac:dyDescent="0.3">
      <c r="A253" s="586">
        <f>+'TD Info Completed by Auditor'!D57</f>
        <v>974</v>
      </c>
      <c r="B253" s="331" t="s">
        <v>792</v>
      </c>
      <c r="C253" s="587" t="str">
        <f>+'TD Info Completed by Auditor'!E57</f>
        <v>Did the Unit have any of the following occur:
1.  Bond covenants were not met
2.  Debt service payments made late?  Deferred payments authorized by LGC or other state
     agencies should not be counted as late for purposes of this question.</v>
      </c>
      <c r="D253" s="354"/>
      <c r="E253" s="337">
        <f>IF(+'TD Info Completed by Auditor'!G57="Yes",1,IF(+'TD Info Completed by Auditor'!G57="No",2,IF(+'TD Info Completed by Auditor'!G57="N/A",3,0)))</f>
        <v>0</v>
      </c>
      <c r="F253" s="348"/>
      <c r="G253" s="350"/>
      <c r="H253" s="347"/>
      <c r="I253" s="38"/>
      <c r="J253" s="127">
        <v>974</v>
      </c>
      <c r="K253" s="597" t="s">
        <v>1243</v>
      </c>
      <c r="L253" s="570">
        <f t="shared" si="26"/>
        <v>0</v>
      </c>
      <c r="N253" s="138" t="s">
        <v>995</v>
      </c>
      <c r="P253" s="320"/>
      <c r="W253" s="3" t="b">
        <f t="shared" si="24"/>
        <v>1</v>
      </c>
      <c r="X253" s="567"/>
      <c r="Y253" s="567"/>
    </row>
    <row r="254" spans="1:25" ht="177.75" customHeight="1" x14ac:dyDescent="0.3">
      <c r="A254" s="586">
        <f>+'TD Info Completed by Auditor'!D55</f>
        <v>973</v>
      </c>
      <c r="B254" s="331" t="s">
        <v>792</v>
      </c>
      <c r="C254" s="330"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54"/>
      <c r="E254" s="337">
        <f>+'TD Info Completed by Auditor'!G55</f>
        <v>0</v>
      </c>
      <c r="F254" s="348"/>
      <c r="G254" s="350"/>
      <c r="H254" s="347"/>
      <c r="I254" s="38"/>
      <c r="J254" s="127">
        <v>973</v>
      </c>
      <c r="K254" s="597" t="s">
        <v>953</v>
      </c>
      <c r="L254" s="570">
        <f t="shared" si="26"/>
        <v>0</v>
      </c>
      <c r="N254" s="138" t="s">
        <v>995</v>
      </c>
      <c r="P254" s="320"/>
      <c r="W254" s="3" t="b">
        <f t="shared" si="24"/>
        <v>1</v>
      </c>
      <c r="X254" s="567"/>
      <c r="Y254" s="567"/>
    </row>
    <row r="255" spans="1:25" ht="87.75" customHeight="1" x14ac:dyDescent="0.3">
      <c r="A255" s="586">
        <f>+'TD Info Completed by Auditor'!D60</f>
        <v>965</v>
      </c>
      <c r="B255" s="331" t="s">
        <v>792</v>
      </c>
      <c r="C255" s="587" t="str">
        <f>+'TD Info Completed by Auditor'!E60</f>
        <v xml:space="preserve">Is the Finance Officer bonded for at least $50,000? (GS 159-42(h) </v>
      </c>
      <c r="D255" s="354"/>
      <c r="E255" s="337">
        <f>IF(+'TD Info Completed by Auditor'!G60="Yes",1,IF(+'TD Info Completed by Auditor'!G60="No",2,IF(+'TD Info Completed by Auditor'!G60="N/A",3,0)))</f>
        <v>0</v>
      </c>
      <c r="F255" s="348"/>
      <c r="G255" s="350"/>
      <c r="H255" s="347"/>
      <c r="I255" s="38"/>
      <c r="J255" s="127">
        <v>965</v>
      </c>
      <c r="K255" s="597" t="s">
        <v>606</v>
      </c>
      <c r="L255" s="570">
        <f t="shared" ref="L255" si="27">IF(D255="",E255,D255)</f>
        <v>0</v>
      </c>
      <c r="M255" s="710"/>
      <c r="N255" s="138" t="s">
        <v>995</v>
      </c>
      <c r="P255" s="320"/>
      <c r="W255" s="3" t="b">
        <f t="shared" si="24"/>
        <v>1</v>
      </c>
      <c r="X255" s="567"/>
      <c r="Y255" s="567"/>
    </row>
    <row r="256" spans="1:25" ht="87.75" customHeight="1" x14ac:dyDescent="0.3">
      <c r="A256" s="586">
        <f>+'TD Info Completed by Auditor'!D68</f>
        <v>977</v>
      </c>
      <c r="B256" s="331" t="s">
        <v>792</v>
      </c>
      <c r="C256" s="587" t="str">
        <f>+'TD Info Completed by Auditor'!E68</f>
        <v>Does the entity have an  effective pre-audit process to ensure that pervasive budgetary over- expenditures do not occur at the budget ordinance level? Select Yes or No</v>
      </c>
      <c r="D256" s="354"/>
      <c r="E256" s="337">
        <f>IF(+'TD Info Completed by Auditor'!G68="Yes",1,IF(+'TD Info Completed by Auditor'!G68="No",2,))</f>
        <v>0</v>
      </c>
      <c r="F256" s="348"/>
      <c r="G256" s="350"/>
      <c r="H256" s="347"/>
      <c r="I256" s="38"/>
      <c r="J256" s="127">
        <v>977</v>
      </c>
      <c r="K256" s="597" t="s">
        <v>1245</v>
      </c>
      <c r="L256" s="570">
        <f t="shared" si="26"/>
        <v>0</v>
      </c>
      <c r="N256" s="138" t="s">
        <v>995</v>
      </c>
      <c r="P256" s="320"/>
      <c r="W256" s="3" t="b">
        <f t="shared" si="24"/>
        <v>1</v>
      </c>
      <c r="X256" s="567"/>
      <c r="Y256" s="567"/>
    </row>
    <row r="257" spans="1:25" ht="87.75" customHeight="1" x14ac:dyDescent="0.3">
      <c r="A257" s="586">
        <f>+'TD Info Completed by Auditor'!D70</f>
        <v>978</v>
      </c>
      <c r="B257" s="331" t="s">
        <v>792</v>
      </c>
      <c r="C257" s="587" t="str">
        <f>+'TD Info Completed by Auditor'!E70</f>
        <v>Did the audit disclose any statutory violations in the notes that were not covered by findings?  Select Yes or No</v>
      </c>
      <c r="D257" s="354"/>
      <c r="E257" s="337" t="str">
        <f>IF(+'TD Info Completed by Auditor'!G70="Yes",1,IF(+'TD Info Completed by Auditor'!G70="No",2,IF(+'TD Info Completed by Auditor'!G70="","0")))</f>
        <v>0</v>
      </c>
      <c r="F257" s="348"/>
      <c r="G257" s="350"/>
      <c r="H257" s="347"/>
      <c r="I257" s="38"/>
      <c r="J257" s="127">
        <v>978</v>
      </c>
      <c r="K257" s="597" t="s">
        <v>1244</v>
      </c>
      <c r="L257" s="570" t="str">
        <f t="shared" si="26"/>
        <v>0</v>
      </c>
      <c r="N257" s="138" t="s">
        <v>995</v>
      </c>
      <c r="P257" s="320"/>
      <c r="W257" s="3" t="b">
        <f t="shared" si="24"/>
        <v>1</v>
      </c>
      <c r="X257" s="567"/>
      <c r="Y257" s="567"/>
    </row>
    <row r="258" spans="1:25" ht="87.75" customHeight="1" x14ac:dyDescent="0.3">
      <c r="A258" s="586">
        <f>+'TD Info Completed by Auditor'!D72</f>
        <v>979</v>
      </c>
      <c r="B258" s="331" t="s">
        <v>792</v>
      </c>
      <c r="C258" s="587" t="str">
        <f>+'TD Info Completed by Auditor'!E72</f>
        <v>The Auditor will submit the Audit Report to the LGC within five months plus one day after the fiscal year end.  (for units with a June 30th fiscal year-end this would be December 1)   Select Yes or No</v>
      </c>
      <c r="D258" s="354"/>
      <c r="E258" s="337">
        <f>IF(+'TD Info Completed by Auditor'!G72="Yes",1,IF(+'TD Info Completed by Auditor'!G72="No",2,IF(+'TD Info Completed by Auditor'!G72="N/A",3,0)))</f>
        <v>0</v>
      </c>
      <c r="F258" s="348"/>
      <c r="G258" s="350"/>
      <c r="H258" s="347"/>
      <c r="I258" s="38"/>
      <c r="J258" s="127">
        <v>979</v>
      </c>
      <c r="K258" s="597" t="s">
        <v>760</v>
      </c>
      <c r="L258" s="570">
        <f t="shared" si="26"/>
        <v>0</v>
      </c>
      <c r="N258" s="138" t="s">
        <v>995</v>
      </c>
      <c r="P258" s="320"/>
      <c r="W258" s="3" t="b">
        <f t="shared" si="24"/>
        <v>1</v>
      </c>
      <c r="X258" s="567"/>
      <c r="Y258" s="567"/>
    </row>
    <row r="259" spans="1:25" ht="87.75" customHeight="1" x14ac:dyDescent="0.3">
      <c r="A259" s="586">
        <f>+'TD Info Completed by Auditor'!D76</f>
        <v>975</v>
      </c>
      <c r="B259" s="331" t="s">
        <v>792</v>
      </c>
      <c r="C259" s="587" t="str">
        <f>+'TD Info Completed by Auditor'!E76</f>
        <v>The Performance Indicator Tab in this worksheet has at least one performance indicator of concern (indicated by a red shaded cell)</v>
      </c>
      <c r="D259" s="354"/>
      <c r="E259" s="337">
        <f>IF(+'TD Info Completed by Auditor'!G76="Yes",1,IF(+'TD Info Completed by Auditor'!G76="No",2,IF(+'TD Info Completed by Auditor'!G76="N/A",3,0)))</f>
        <v>0</v>
      </c>
      <c r="F259" s="348"/>
      <c r="G259" s="350"/>
      <c r="H259" s="347"/>
      <c r="I259" s="38"/>
      <c r="J259" s="127">
        <v>975</v>
      </c>
      <c r="K259" s="597" t="s">
        <v>798</v>
      </c>
      <c r="L259" s="570">
        <f>IF(D259="",E259,D259)</f>
        <v>0</v>
      </c>
      <c r="N259" s="138" t="s">
        <v>995</v>
      </c>
      <c r="P259" s="320"/>
      <c r="W259" s="3" t="b">
        <f>EXACT(A259,J259)</f>
        <v>1</v>
      </c>
      <c r="X259" s="567"/>
      <c r="Y259" s="567"/>
    </row>
    <row r="260" spans="1:25" ht="112.5" customHeight="1" x14ac:dyDescent="0.3">
      <c r="A260" s="586">
        <f>+'TD Info Completed by Auditor'!D78</f>
        <v>976</v>
      </c>
      <c r="B260" s="331" t="s">
        <v>792</v>
      </c>
      <c r="C260" s="330"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54"/>
      <c r="E260" s="337">
        <f>IF(+'TD Info Completed by Auditor'!G78="Yes",1,IF(+'TD Info Completed by Auditor'!G78="No",2,IF(+'TD Info Completed by Auditor'!G78="N/A",3,0)))</f>
        <v>0</v>
      </c>
      <c r="F260" s="348"/>
      <c r="G260" s="350"/>
      <c r="H260" s="347"/>
      <c r="I260" s="38"/>
      <c r="J260" s="127">
        <v>976</v>
      </c>
      <c r="K260" s="597" t="s">
        <v>955</v>
      </c>
      <c r="L260" s="570">
        <f>IF(D260="",E260,D260)</f>
        <v>0</v>
      </c>
      <c r="N260" s="138" t="s">
        <v>995</v>
      </c>
      <c r="P260" s="320"/>
      <c r="W260" s="3" t="b">
        <f>EXACT(A260,J260)</f>
        <v>1</v>
      </c>
      <c r="X260" s="567"/>
      <c r="Y260" s="567"/>
    </row>
    <row r="261" spans="1:25" ht="109.95" customHeight="1" x14ac:dyDescent="0.3">
      <c r="A261" s="614">
        <v>336</v>
      </c>
      <c r="B261" s="367"/>
      <c r="C261" s="615" t="s">
        <v>1050</v>
      </c>
      <c r="D261" s="616" t="s">
        <v>966</v>
      </c>
      <c r="E261" s="617" t="s">
        <v>967</v>
      </c>
      <c r="F261" s="368" t="s">
        <v>965</v>
      </c>
      <c r="G261" s="350"/>
      <c r="H261" s="347"/>
      <c r="I261" s="38"/>
      <c r="J261" s="369">
        <v>336</v>
      </c>
      <c r="K261" s="618" t="s">
        <v>970</v>
      </c>
      <c r="L261" s="619">
        <f>L10-L11-L12-L13-L14-L15-L16</f>
        <v>0</v>
      </c>
      <c r="M261" s="620"/>
      <c r="N261" s="382" t="s">
        <v>968</v>
      </c>
      <c r="P261" s="320"/>
      <c r="X261" s="567"/>
      <c r="Y261" s="567"/>
    </row>
    <row r="262" spans="1:25" ht="129" customHeight="1" x14ac:dyDescent="0.3">
      <c r="A262" s="614">
        <v>44</v>
      </c>
      <c r="B262" s="367"/>
      <c r="C262" s="621" t="s">
        <v>1051</v>
      </c>
      <c r="D262" s="616" t="s">
        <v>957</v>
      </c>
      <c r="E262" s="622" t="s">
        <v>958</v>
      </c>
      <c r="F262" s="368" t="s">
        <v>965</v>
      </c>
      <c r="G262" s="350"/>
      <c r="H262" s="347"/>
      <c r="I262" s="38"/>
      <c r="J262" s="369">
        <v>44</v>
      </c>
      <c r="K262" s="618" t="s">
        <v>971</v>
      </c>
      <c r="L262" s="619">
        <f>L120-L121-L118</f>
        <v>0</v>
      </c>
      <c r="M262" s="620"/>
      <c r="N262" s="382" t="s">
        <v>969</v>
      </c>
      <c r="P262" s="320"/>
      <c r="X262" s="567"/>
      <c r="Y262" s="567"/>
    </row>
    <row r="263" spans="1:25" ht="169.5" customHeight="1" x14ac:dyDescent="0.3">
      <c r="A263" s="614">
        <v>45</v>
      </c>
      <c r="B263" s="367"/>
      <c r="C263" s="623" t="s">
        <v>1052</v>
      </c>
      <c r="D263" s="616" t="s">
        <v>959</v>
      </c>
      <c r="E263" s="617" t="s">
        <v>960</v>
      </c>
      <c r="F263" s="368" t="s">
        <v>965</v>
      </c>
      <c r="G263" s="350"/>
      <c r="H263" s="347"/>
      <c r="I263" s="38"/>
      <c r="J263" s="369">
        <v>45</v>
      </c>
      <c r="K263" s="618" t="s">
        <v>972</v>
      </c>
      <c r="L263" s="619">
        <f>L124-L125-L126-L127-L128-L129-L123</f>
        <v>0</v>
      </c>
      <c r="M263" s="620"/>
      <c r="N263" s="382" t="s">
        <v>986</v>
      </c>
      <c r="P263" s="320"/>
      <c r="X263" s="567"/>
      <c r="Y263" s="567"/>
    </row>
    <row r="264" spans="1:25" ht="87.75" customHeight="1" x14ac:dyDescent="0.3">
      <c r="A264" s="614">
        <v>47</v>
      </c>
      <c r="B264" s="367"/>
      <c r="C264" s="368" t="s">
        <v>974</v>
      </c>
      <c r="D264" s="616" t="s">
        <v>961</v>
      </c>
      <c r="E264" s="617" t="s">
        <v>963</v>
      </c>
      <c r="F264" s="368" t="s">
        <v>965</v>
      </c>
      <c r="G264" s="350"/>
      <c r="H264" s="347"/>
      <c r="I264" s="38"/>
      <c r="J264" s="369">
        <v>47</v>
      </c>
      <c r="K264" s="618" t="s">
        <v>973</v>
      </c>
      <c r="L264" s="619">
        <f>L138-L139-L137</f>
        <v>0</v>
      </c>
      <c r="M264" s="620"/>
      <c r="N264" s="382" t="s">
        <v>987</v>
      </c>
      <c r="P264" s="320"/>
      <c r="X264" s="567"/>
      <c r="Y264" s="567"/>
    </row>
    <row r="265" spans="1:25" ht="152.25" customHeight="1" x14ac:dyDescent="0.3">
      <c r="A265" s="614">
        <v>48</v>
      </c>
      <c r="B265" s="367"/>
      <c r="C265" s="368" t="s">
        <v>975</v>
      </c>
      <c r="D265" s="616" t="s">
        <v>962</v>
      </c>
      <c r="E265" s="617" t="s">
        <v>964</v>
      </c>
      <c r="F265" s="368" t="s">
        <v>965</v>
      </c>
      <c r="G265" s="350"/>
      <c r="H265" s="347"/>
      <c r="I265" s="38"/>
      <c r="J265" s="369">
        <v>48</v>
      </c>
      <c r="K265" s="618" t="s">
        <v>123</v>
      </c>
      <c r="L265" s="619">
        <f>L143-L144-L145-L146-L147-L148-L142</f>
        <v>0</v>
      </c>
      <c r="M265" s="620"/>
      <c r="N265" s="382" t="s">
        <v>988</v>
      </c>
      <c r="P265" s="320"/>
      <c r="X265" s="567"/>
      <c r="Y265" s="567"/>
    </row>
    <row r="266" spans="1:25" ht="113.4" customHeight="1" x14ac:dyDescent="0.3">
      <c r="A266" s="624"/>
      <c r="B266" s="97"/>
      <c r="C266" s="625"/>
      <c r="D266" s="139"/>
      <c r="E266" s="147"/>
      <c r="F266" s="66"/>
      <c r="G266" s="141"/>
      <c r="H266" s="142"/>
      <c r="I266" s="38"/>
      <c r="J266" s="370">
        <v>998</v>
      </c>
      <c r="K266" s="371" t="s">
        <v>288</v>
      </c>
      <c r="L266" s="626" t="e">
        <f>HLOOKUP('Unit Data from Audit Worksheet'!$D$2,'2020 Data(H)'!A1:AB400,247,FALSE)</f>
        <v>#N/A</v>
      </c>
      <c r="M266" s="620"/>
      <c r="N266" s="382" t="s">
        <v>976</v>
      </c>
      <c r="P266" s="316"/>
      <c r="W266" s="3" t="b">
        <f>EXACT(A266,J266)</f>
        <v>0</v>
      </c>
      <c r="X266" s="567" t="e">
        <f t="shared" si="21"/>
        <v>#N/A</v>
      </c>
      <c r="Y266" s="567" t="e">
        <f t="shared" si="22"/>
        <v>#N/A</v>
      </c>
    </row>
    <row r="267" spans="1:25" ht="119.4" customHeight="1" x14ac:dyDescent="0.3">
      <c r="A267" s="624"/>
      <c r="B267" s="97"/>
      <c r="C267" s="625"/>
      <c r="D267" s="627"/>
      <c r="E267" s="628"/>
      <c r="F267" s="629"/>
      <c r="G267" s="630"/>
      <c r="H267" s="631"/>
      <c r="I267" s="38"/>
      <c r="J267" s="372">
        <v>995</v>
      </c>
      <c r="K267" s="373" t="s">
        <v>286</v>
      </c>
      <c r="L267" s="632" t="e">
        <f>HLOOKUP('Unit Data from Audit Worksheet'!$D$2,'2020 Data(H)'!A1:AB400,244,FALSE)</f>
        <v>#N/A</v>
      </c>
      <c r="M267" s="620"/>
      <c r="N267" s="382" t="s">
        <v>989</v>
      </c>
      <c r="P267" s="317"/>
      <c r="W267" s="3" t="b">
        <f>EXACT(A267,J267)</f>
        <v>0</v>
      </c>
      <c r="X267" s="633" t="e">
        <f t="shared" si="21"/>
        <v>#N/A</v>
      </c>
      <c r="Y267" s="567" t="e">
        <f t="shared" si="22"/>
        <v>#N/A</v>
      </c>
    </row>
    <row r="268" spans="1:25" ht="104.4" customHeight="1" x14ac:dyDescent="0.3">
      <c r="A268" s="624"/>
      <c r="B268" s="97"/>
      <c r="C268" s="625"/>
      <c r="D268" s="627"/>
      <c r="E268" s="628"/>
      <c r="F268" s="629"/>
      <c r="G268" s="630"/>
      <c r="H268" s="631"/>
      <c r="I268" s="38"/>
      <c r="J268" s="372">
        <v>996</v>
      </c>
      <c r="K268" s="373" t="s">
        <v>287</v>
      </c>
      <c r="L268" s="632" t="e">
        <f>HLOOKUP('Unit Data from Audit Worksheet'!$D$2,'2020 Data(H)'!A1:AB400,245,FALSE)</f>
        <v>#N/A</v>
      </c>
      <c r="M268" s="620"/>
      <c r="N268" s="382" t="s">
        <v>990</v>
      </c>
      <c r="P268" s="317"/>
      <c r="W268" s="3" t="b">
        <f>EXACT(A268,J268)</f>
        <v>0</v>
      </c>
      <c r="X268" s="633" t="e">
        <f t="shared" si="21"/>
        <v>#N/A</v>
      </c>
      <c r="Y268" s="567" t="e">
        <f t="shared" si="22"/>
        <v>#N/A</v>
      </c>
    </row>
    <row r="269" spans="1:25" ht="43.2" x14ac:dyDescent="0.3">
      <c r="A269" s="624"/>
      <c r="B269" s="97"/>
      <c r="C269" s="625"/>
      <c r="D269" s="627"/>
      <c r="E269" s="628"/>
      <c r="F269" s="629"/>
      <c r="G269" s="630"/>
      <c r="H269" s="634"/>
      <c r="I269" s="38"/>
      <c r="J269" s="172">
        <v>554</v>
      </c>
      <c r="K269" s="635" t="s">
        <v>345</v>
      </c>
      <c r="L269" s="596"/>
      <c r="N269" s="636"/>
      <c r="P269" s="318"/>
      <c r="X269" s="633"/>
      <c r="Y269" s="567"/>
    </row>
    <row r="270" spans="1:25" ht="43.2" x14ac:dyDescent="0.3">
      <c r="A270" s="624"/>
      <c r="B270" s="97"/>
      <c r="C270" s="625"/>
      <c r="D270" s="627"/>
      <c r="E270" s="628"/>
      <c r="F270" s="629"/>
      <c r="G270" s="630"/>
      <c r="H270" s="634"/>
      <c r="I270" s="38"/>
      <c r="J270" s="172">
        <v>555</v>
      </c>
      <c r="K270" s="635" t="s">
        <v>346</v>
      </c>
      <c r="L270" s="596"/>
      <c r="N270" s="636"/>
      <c r="P270" s="318"/>
      <c r="X270" s="633"/>
      <c r="Y270" s="567"/>
    </row>
    <row r="271" spans="1:25" ht="43.2" x14ac:dyDescent="0.3">
      <c r="A271" s="624"/>
      <c r="B271" s="97"/>
      <c r="C271" s="625"/>
      <c r="D271" s="627"/>
      <c r="E271" s="628"/>
      <c r="F271" s="629"/>
      <c r="G271" s="630"/>
      <c r="H271" s="634"/>
      <c r="I271" s="38"/>
      <c r="J271" s="172">
        <v>556</v>
      </c>
      <c r="K271" s="635" t="s">
        <v>347</v>
      </c>
      <c r="L271" s="596"/>
      <c r="N271" s="636"/>
      <c r="P271" s="318"/>
      <c r="X271" s="633"/>
      <c r="Y271" s="567"/>
    </row>
    <row r="272" spans="1:25" ht="43.2" x14ac:dyDescent="0.3">
      <c r="A272" s="624"/>
      <c r="B272" s="97"/>
      <c r="C272" s="625"/>
      <c r="D272" s="627"/>
      <c r="E272" s="628"/>
      <c r="F272" s="629"/>
      <c r="G272" s="630"/>
      <c r="H272" s="634"/>
      <c r="I272" s="38"/>
      <c r="J272" s="172">
        <v>557</v>
      </c>
      <c r="K272" s="635" t="s">
        <v>348</v>
      </c>
      <c r="L272" s="596"/>
      <c r="N272" s="636"/>
      <c r="P272" s="318"/>
      <c r="X272" s="633"/>
      <c r="Y272" s="567"/>
    </row>
    <row r="273" spans="1:25" ht="43.2" x14ac:dyDescent="0.3">
      <c r="A273" s="624"/>
      <c r="B273" s="97"/>
      <c r="C273" s="625"/>
      <c r="D273" s="627"/>
      <c r="E273" s="628"/>
      <c r="F273" s="629"/>
      <c r="G273" s="630"/>
      <c r="H273" s="634"/>
      <c r="I273" s="38"/>
      <c r="J273" s="172">
        <v>606</v>
      </c>
      <c r="K273" s="635" t="s">
        <v>547</v>
      </c>
      <c r="L273" s="596"/>
      <c r="N273" s="636"/>
      <c r="P273" s="318"/>
      <c r="X273" s="633"/>
      <c r="Y273" s="567"/>
    </row>
    <row r="274" spans="1:25" ht="39.75" customHeight="1" x14ac:dyDescent="0.3">
      <c r="A274" s="624"/>
      <c r="B274" s="97"/>
      <c r="C274" s="625"/>
      <c r="D274" s="627"/>
      <c r="E274" s="628"/>
      <c r="F274" s="629"/>
      <c r="G274" s="630"/>
      <c r="H274" s="634"/>
      <c r="I274" s="38"/>
      <c r="J274" s="324">
        <v>662</v>
      </c>
      <c r="K274" s="637" t="s">
        <v>548</v>
      </c>
      <c r="L274" s="638"/>
      <c r="N274" s="636"/>
      <c r="P274" s="324"/>
      <c r="X274" s="633"/>
      <c r="Y274" s="567"/>
    </row>
    <row r="275" spans="1:25" ht="39" customHeight="1" x14ac:dyDescent="0.3">
      <c r="A275" s="624"/>
      <c r="B275" s="97"/>
      <c r="C275" s="625"/>
      <c r="D275" s="627"/>
      <c r="E275" s="628"/>
      <c r="F275" s="629"/>
      <c r="G275" s="630"/>
      <c r="H275" s="634"/>
      <c r="I275" s="38"/>
      <c r="J275" s="324">
        <v>663</v>
      </c>
      <c r="K275" s="639" t="s">
        <v>549</v>
      </c>
      <c r="L275" s="638"/>
      <c r="N275" s="636"/>
      <c r="P275" s="324"/>
      <c r="X275" s="633"/>
      <c r="Y275" s="567"/>
    </row>
    <row r="276" spans="1:25" s="18" customFormat="1" ht="22.5" customHeight="1" x14ac:dyDescent="0.3">
      <c r="A276" s="624"/>
      <c r="B276" s="97"/>
      <c r="C276" s="625"/>
      <c r="D276" s="139"/>
      <c r="E276" s="140"/>
      <c r="F276" s="66"/>
      <c r="G276" s="141"/>
      <c r="H276" s="142"/>
      <c r="I276" s="38"/>
      <c r="J276" s="143"/>
      <c r="K276" s="640"/>
      <c r="L276" s="641"/>
      <c r="N276" s="380"/>
      <c r="P276" s="318"/>
      <c r="Q276" s="560"/>
      <c r="W276" s="18" t="b">
        <f t="shared" ref="W276:W284" si="28">EXACT(A276,J276)</f>
        <v>1</v>
      </c>
      <c r="X276" s="576">
        <f t="shared" si="21"/>
        <v>0</v>
      </c>
      <c r="Y276" s="576">
        <f t="shared" si="22"/>
        <v>0</v>
      </c>
    </row>
    <row r="277" spans="1:25" ht="99" customHeight="1" x14ac:dyDescent="0.3">
      <c r="A277" s="335">
        <f>'Unit Data from Audit Worksheet'!A304</f>
        <v>947</v>
      </c>
      <c r="B277" s="132"/>
      <c r="C277" s="334" t="str">
        <f>'Unit Data from Audit Worksheet'!D304</f>
        <v>First name of finance officer or interim finance officer (please enter “vacant” for first name if the position is currently vacant)</v>
      </c>
      <c r="D277" s="357"/>
      <c r="E277" s="187">
        <f>'Unit Data from Audit Worksheet'!F304</f>
        <v>0</v>
      </c>
      <c r="F277" s="348" t="str">
        <f>'Unit Data from Audit Worksheet'!G304</f>
        <v>Please do not leave blank</v>
      </c>
      <c r="G277" s="350"/>
      <c r="H277" s="347"/>
      <c r="I277" s="38"/>
      <c r="J277" s="176">
        <v>947</v>
      </c>
      <c r="K277" s="642" t="s">
        <v>494</v>
      </c>
      <c r="L277" s="643">
        <f t="shared" ref="L277:L290" si="29">IF(D277="",E277,D277)</f>
        <v>0</v>
      </c>
      <c r="N277" s="636"/>
      <c r="P277" s="324"/>
      <c r="Q277" s="602">
        <f t="shared" ref="Q277:Q284" si="30">IF(L277=0,1,0)</f>
        <v>1</v>
      </c>
      <c r="W277" s="3" t="b">
        <f t="shared" si="28"/>
        <v>1</v>
      </c>
      <c r="X277" s="567">
        <f t="shared" ref="X277:X291" si="31">E277-L277</f>
        <v>0</v>
      </c>
      <c r="Y277" s="567">
        <f t="shared" ref="Y277:Y291" si="32">D277-L277</f>
        <v>0</v>
      </c>
    </row>
    <row r="278" spans="1:25" ht="128.25" customHeight="1" x14ac:dyDescent="0.3">
      <c r="A278" s="335">
        <f>'Unit Data from Audit Worksheet'!A305</f>
        <v>948</v>
      </c>
      <c r="B278" s="132"/>
      <c r="C278" s="334" t="str">
        <f>'Unit Data from Audit Worksheet'!D305</f>
        <v>Last name of finance officer or interim finance officer (please enter “vacant” for last name if the position is currently vacant)</v>
      </c>
      <c r="D278" s="357"/>
      <c r="E278" s="644">
        <f>'Unit Data from Audit Worksheet'!F305</f>
        <v>0</v>
      </c>
      <c r="F278" s="348" t="str">
        <f>'Unit Data from Audit Worksheet'!G305</f>
        <v>Please do not leave blank</v>
      </c>
      <c r="G278" s="350"/>
      <c r="H278" s="347"/>
      <c r="I278" s="38"/>
      <c r="J278" s="176">
        <v>948</v>
      </c>
      <c r="K278" s="642" t="s">
        <v>495</v>
      </c>
      <c r="L278" s="643">
        <f t="shared" si="29"/>
        <v>0</v>
      </c>
      <c r="N278" s="636"/>
      <c r="P278" s="324"/>
      <c r="Q278" s="602">
        <f t="shared" si="30"/>
        <v>1</v>
      </c>
      <c r="W278" s="3" t="b">
        <f t="shared" si="28"/>
        <v>1</v>
      </c>
      <c r="X278" s="567">
        <f t="shared" si="31"/>
        <v>0</v>
      </c>
      <c r="Y278" s="567">
        <f t="shared" si="32"/>
        <v>0</v>
      </c>
    </row>
    <row r="279" spans="1:25" ht="61.5" customHeight="1" x14ac:dyDescent="0.3">
      <c r="A279" s="335">
        <f>'Unit Data from Audit Worksheet'!A306</f>
        <v>949</v>
      </c>
      <c r="B279" s="132"/>
      <c r="C279" s="334" t="str">
        <f>'Unit Data from Audit Worksheet'!D306</f>
        <v>Is the finance officer serving in a permanent role or an interim role? (select permanent/interim/vacant)</v>
      </c>
      <c r="D279" s="357"/>
      <c r="E279" s="187">
        <f>'Unit Data from Audit Worksheet'!F306</f>
        <v>0</v>
      </c>
      <c r="F279" s="348" t="str">
        <f>'Unit Data from Audit Worksheet'!G306</f>
        <v>Please do not leave blank</v>
      </c>
      <c r="G279" s="350"/>
      <c r="H279" s="347"/>
      <c r="I279" s="38"/>
      <c r="J279" s="176">
        <v>949</v>
      </c>
      <c r="K279" s="642" t="s">
        <v>523</v>
      </c>
      <c r="L279" s="643">
        <f t="shared" si="29"/>
        <v>0</v>
      </c>
      <c r="N279" s="636"/>
      <c r="P279" s="324"/>
      <c r="Q279" s="602">
        <f t="shared" si="30"/>
        <v>1</v>
      </c>
      <c r="W279" s="3" t="b">
        <f t="shared" si="28"/>
        <v>1</v>
      </c>
      <c r="X279" s="567">
        <f t="shared" si="31"/>
        <v>0</v>
      </c>
      <c r="Y279" s="567">
        <f t="shared" si="32"/>
        <v>0</v>
      </c>
    </row>
    <row r="280" spans="1:25" ht="93.75" customHeight="1" x14ac:dyDescent="0.3">
      <c r="A280" s="335">
        <f>'Unit Data from Audit Worksheet'!A307</f>
        <v>950</v>
      </c>
      <c r="B280" s="132"/>
      <c r="C280" s="334" t="str">
        <f>'Unit Data from Audit Worksheet'!D307</f>
        <v>Has the finance officer been formally appointed by the local government, public authority, or designated official?  (Y/N)</v>
      </c>
      <c r="D280" s="357"/>
      <c r="E280" s="187">
        <f>'Unit Data from Audit Worksheet'!F307</f>
        <v>0</v>
      </c>
      <c r="F280" s="348" t="str">
        <f>'Unit Data from Audit Worksheet'!G307</f>
        <v>Please do not leave blank</v>
      </c>
      <c r="G280" s="350"/>
      <c r="H280" s="347"/>
      <c r="I280" s="38"/>
      <c r="J280" s="176">
        <v>950</v>
      </c>
      <c r="K280" s="642" t="s">
        <v>524</v>
      </c>
      <c r="L280" s="643">
        <f t="shared" si="29"/>
        <v>0</v>
      </c>
      <c r="N280" s="636"/>
      <c r="P280" s="324"/>
      <c r="Q280" s="602">
        <f t="shared" si="30"/>
        <v>1</v>
      </c>
      <c r="W280" s="3" t="b">
        <f t="shared" si="28"/>
        <v>1</v>
      </c>
      <c r="X280" s="567">
        <f t="shared" si="31"/>
        <v>0</v>
      </c>
      <c r="Y280" s="567">
        <f t="shared" si="32"/>
        <v>0</v>
      </c>
    </row>
    <row r="281" spans="1:25" ht="153.75" customHeight="1" x14ac:dyDescent="0.3">
      <c r="A281" s="335">
        <f>'Unit Data from Audit Worksheet'!A308</f>
        <v>952</v>
      </c>
      <c r="B281" s="132"/>
      <c r="C281" s="334"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57"/>
      <c r="E281" s="136" t="str">
        <f>IF('Unit Data from Audit Worksheet'!F308&gt;0,'Unit Data from Audit Worksheet'!F308," ")</f>
        <v xml:space="preserve"> </v>
      </c>
      <c r="F281" s="348" t="str">
        <f>'Unit Data from Audit Worksheet'!G308</f>
        <v>Leave blank if data not available</v>
      </c>
      <c r="G281" s="350"/>
      <c r="H281" s="347"/>
      <c r="I281" s="38"/>
      <c r="J281" s="176">
        <v>952</v>
      </c>
      <c r="K281" s="642" t="s">
        <v>525</v>
      </c>
      <c r="L281" s="645" t="str">
        <f t="shared" si="29"/>
        <v xml:space="preserve"> </v>
      </c>
      <c r="N281" s="636"/>
      <c r="P281" s="324"/>
      <c r="Q281" s="602">
        <f t="shared" si="30"/>
        <v>0</v>
      </c>
      <c r="W281" s="3" t="b">
        <f t="shared" si="28"/>
        <v>1</v>
      </c>
      <c r="X281" s="567" t="e">
        <f t="shared" si="31"/>
        <v>#VALUE!</v>
      </c>
      <c r="Y281" s="567" t="e">
        <f t="shared" si="32"/>
        <v>#VALUE!</v>
      </c>
    </row>
    <row r="282" spans="1:25" ht="153.75" customHeight="1" x14ac:dyDescent="0.3">
      <c r="A282" s="335">
        <f>'Unit Data from Audit Worksheet'!A309</f>
        <v>954</v>
      </c>
      <c r="B282" s="132"/>
      <c r="C282" s="334" t="str">
        <f>'Unit Data from Audit Worksheet'!D309</f>
        <v>Has the finance officer or interim finance officer read, understand, and is in compliance with the requirements of N.C.G.S. 159, as applicable based on unit type and circumstances? (Y/N)</v>
      </c>
      <c r="D282" s="357"/>
      <c r="E282" s="187">
        <f>'Unit Data from Audit Worksheet'!F309</f>
        <v>0</v>
      </c>
      <c r="F282" s="348" t="str">
        <f>'Unit Data from Audit Worksheet'!G309</f>
        <v>Please do not leave blank</v>
      </c>
      <c r="G282" s="350"/>
      <c r="H282" s="347"/>
      <c r="I282" s="38"/>
      <c r="J282" s="176">
        <v>954</v>
      </c>
      <c r="K282" s="642" t="s">
        <v>526</v>
      </c>
      <c r="L282" s="643">
        <f t="shared" si="29"/>
        <v>0</v>
      </c>
      <c r="N282" s="636"/>
      <c r="P282" s="324"/>
      <c r="Q282" s="602">
        <f t="shared" si="30"/>
        <v>1</v>
      </c>
      <c r="W282" s="3" t="b">
        <f t="shared" si="28"/>
        <v>1</v>
      </c>
      <c r="X282" s="567">
        <f t="shared" si="31"/>
        <v>0</v>
      </c>
      <c r="Y282" s="567">
        <f t="shared" si="32"/>
        <v>0</v>
      </c>
    </row>
    <row r="283" spans="1:25" ht="153.75" customHeight="1" x14ac:dyDescent="0.3">
      <c r="A283" s="335">
        <f>'Unit Data from Audit Worksheet'!A310</f>
        <v>956</v>
      </c>
      <c r="B283" s="132"/>
      <c r="C283" s="334" t="str">
        <f>'Unit Data from Audit Worksheet'!D310</f>
        <v>Does the finance officer or interim finance officer maintain and update (or ensures the maintenance and update of)  financial records monthly, including reconciliation of bank accounts to the general ledger? (Y/N)</v>
      </c>
      <c r="D283" s="357"/>
      <c r="E283" s="187">
        <f>'Unit Data from Audit Worksheet'!F310</f>
        <v>0</v>
      </c>
      <c r="F283" s="348" t="str">
        <f>'Unit Data from Audit Worksheet'!G310</f>
        <v>Please do not leave blank</v>
      </c>
      <c r="G283" s="350"/>
      <c r="H283" s="347"/>
      <c r="I283" s="38"/>
      <c r="J283" s="176">
        <v>956</v>
      </c>
      <c r="K283" s="642" t="s">
        <v>527</v>
      </c>
      <c r="L283" s="643">
        <f t="shared" si="29"/>
        <v>0</v>
      </c>
      <c r="N283" s="636"/>
      <c r="P283" s="324"/>
      <c r="Q283" s="602">
        <f t="shared" si="30"/>
        <v>1</v>
      </c>
      <c r="W283" s="3" t="b">
        <f t="shared" si="28"/>
        <v>1</v>
      </c>
      <c r="X283" s="567">
        <f t="shared" si="31"/>
        <v>0</v>
      </c>
      <c r="Y283" s="567">
        <f t="shared" si="32"/>
        <v>0</v>
      </c>
    </row>
    <row r="284" spans="1:25" ht="201.6" x14ac:dyDescent="0.3">
      <c r="A284" s="335">
        <f>'Unit Data from Audit Worksheet'!A311</f>
        <v>958</v>
      </c>
      <c r="B284" s="132"/>
      <c r="C284" s="334"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57"/>
      <c r="E284" s="187">
        <f>'Unit Data from Audit Worksheet'!F311</f>
        <v>0</v>
      </c>
      <c r="F284" s="348" t="str">
        <f>'Unit Data from Audit Worksheet'!G311</f>
        <v>Please do not leave blank</v>
      </c>
      <c r="G284" s="350"/>
      <c r="H284" s="347"/>
      <c r="I284" s="38"/>
      <c r="J284" s="176">
        <v>958</v>
      </c>
      <c r="K284" s="642" t="s">
        <v>528</v>
      </c>
      <c r="L284" s="646">
        <f t="shared" si="29"/>
        <v>0</v>
      </c>
      <c r="N284" s="636"/>
      <c r="P284" s="324"/>
      <c r="Q284" s="602">
        <f t="shared" si="30"/>
        <v>1</v>
      </c>
      <c r="W284" s="3" t="b">
        <f t="shared" si="28"/>
        <v>1</v>
      </c>
      <c r="X284" s="567">
        <f t="shared" si="31"/>
        <v>0</v>
      </c>
      <c r="Y284" s="567">
        <f t="shared" si="32"/>
        <v>0</v>
      </c>
    </row>
    <row r="285" spans="1:25" ht="30.75" customHeight="1" x14ac:dyDescent="0.3">
      <c r="A285" s="647">
        <f>'Unit Data from Audit Worksheet'!A319</f>
        <v>960</v>
      </c>
      <c r="B285" s="183"/>
      <c r="C285" s="184" t="str">
        <f>'Unit Data from Audit Worksheet'!B319</f>
        <v>Name of Finance Officer</v>
      </c>
      <c r="D285" s="357"/>
      <c r="E285" s="648">
        <f>'Unit Data from Audit Worksheet'!D319</f>
        <v>0</v>
      </c>
      <c r="F285" s="649" t="str">
        <f>'Unit Data from Audit Worksheet'!F319</f>
        <v>Required</v>
      </c>
      <c r="G285" s="350"/>
      <c r="H285" s="347"/>
      <c r="I285" s="38"/>
      <c r="J285" s="186">
        <v>960</v>
      </c>
      <c r="K285" s="650" t="s">
        <v>519</v>
      </c>
      <c r="L285" s="651">
        <f t="shared" si="29"/>
        <v>0</v>
      </c>
      <c r="N285" s="594"/>
      <c r="P285" s="324"/>
      <c r="Q285" s="602">
        <f>IF(L285=0,1,0)</f>
        <v>1</v>
      </c>
      <c r="X285" s="567"/>
      <c r="Y285" s="567"/>
    </row>
    <row r="286" spans="1:25" ht="30.75" customHeight="1" x14ac:dyDescent="0.3">
      <c r="A286" s="647">
        <f>'Unit Data from Audit Worksheet'!A320</f>
        <v>962</v>
      </c>
      <c r="B286" s="183"/>
      <c r="C286" s="184" t="str">
        <f>'Unit Data from Audit Worksheet'!B320</f>
        <v>Title of Official</v>
      </c>
      <c r="D286" s="357"/>
      <c r="E286" s="648">
        <f>'Unit Data from Audit Worksheet'!D320</f>
        <v>0</v>
      </c>
      <c r="F286" s="649" t="str">
        <f>'Unit Data from Audit Worksheet'!F320</f>
        <v>Required</v>
      </c>
      <c r="G286" s="350"/>
      <c r="H286" s="347"/>
      <c r="I286" s="38"/>
      <c r="J286" s="186">
        <v>962</v>
      </c>
      <c r="K286" s="650" t="s">
        <v>479</v>
      </c>
      <c r="L286" s="651">
        <f t="shared" si="29"/>
        <v>0</v>
      </c>
      <c r="N286" s="594"/>
      <c r="P286" s="324"/>
      <c r="Q286" s="602">
        <f>IF(L286=0,1,0)</f>
        <v>1</v>
      </c>
      <c r="X286" s="567"/>
      <c r="Y286" s="567"/>
    </row>
    <row r="287" spans="1:25" ht="30.75" customHeight="1" x14ac:dyDescent="0.3">
      <c r="A287" s="647">
        <f>'Unit Data from Audit Worksheet'!A321</f>
        <v>964</v>
      </c>
      <c r="B287" s="183"/>
      <c r="C287" s="185" t="str">
        <f>'Unit Data from Audit Worksheet'!B321</f>
        <v>Date                        (Enter as "MM/DD/YYYY")</v>
      </c>
      <c r="D287" s="357"/>
      <c r="E287" s="652" t="str">
        <f>IF('Unit Data from Audit Worksheet'!D321&gt;0,'Unit Data from Audit Worksheet'!D321," ")</f>
        <v xml:space="preserve"> </v>
      </c>
      <c r="F287" s="649" t="str">
        <f>'Unit Data from Audit Worksheet'!F321</f>
        <v>Required</v>
      </c>
      <c r="G287" s="350"/>
      <c r="H287" s="347"/>
      <c r="I287" s="38"/>
      <c r="J287" s="186">
        <v>964</v>
      </c>
      <c r="K287" s="650" t="s">
        <v>559</v>
      </c>
      <c r="L287" s="653" t="str">
        <f t="shared" si="29"/>
        <v xml:space="preserve"> </v>
      </c>
      <c r="N287" s="594"/>
      <c r="P287" s="324"/>
      <c r="Q287" s="602">
        <f>IF(L287=0,1,0)</f>
        <v>0</v>
      </c>
      <c r="X287" s="567"/>
      <c r="Y287" s="567"/>
    </row>
    <row r="288" spans="1:25" ht="30.75" customHeight="1" x14ac:dyDescent="0.3">
      <c r="A288" s="647">
        <f>'Unit Data from Audit Worksheet'!A322</f>
        <v>966</v>
      </c>
      <c r="B288" s="183"/>
      <c r="C288" s="184" t="str">
        <f>'Unit Data from Audit Worksheet'!B322</f>
        <v>Telephone number</v>
      </c>
      <c r="D288" s="357"/>
      <c r="E288" s="648">
        <f>'Unit Data from Audit Worksheet'!D322</f>
        <v>0</v>
      </c>
      <c r="F288" s="649" t="str">
        <f>'Unit Data from Audit Worksheet'!F322</f>
        <v>Required</v>
      </c>
      <c r="G288" s="350"/>
      <c r="H288" s="347"/>
      <c r="I288" s="38"/>
      <c r="J288" s="186">
        <v>966</v>
      </c>
      <c r="K288" s="650" t="s">
        <v>481</v>
      </c>
      <c r="L288" s="651">
        <f t="shared" si="29"/>
        <v>0</v>
      </c>
      <c r="N288" s="594"/>
      <c r="P288" s="324"/>
      <c r="Q288" s="602">
        <f>IF(L288=0,1,0)</f>
        <v>1</v>
      </c>
      <c r="X288" s="567"/>
      <c r="Y288" s="567"/>
    </row>
    <row r="289" spans="1:25" ht="30.75" customHeight="1" x14ac:dyDescent="0.3">
      <c r="A289" s="647">
        <f>'Unit Data from Audit Worksheet'!A323</f>
        <v>968</v>
      </c>
      <c r="B289" s="183"/>
      <c r="C289" s="184" t="str">
        <f>'Unit Data from Audit Worksheet'!B323</f>
        <v>E-mail address</v>
      </c>
      <c r="D289" s="357"/>
      <c r="E289" s="648">
        <f>'Unit Data from Audit Worksheet'!D323</f>
        <v>0</v>
      </c>
      <c r="F289" s="649" t="str">
        <f>'Unit Data from Audit Worksheet'!F323</f>
        <v>Required</v>
      </c>
      <c r="G289" s="350"/>
      <c r="H289" s="347"/>
      <c r="I289" s="38"/>
      <c r="J289" s="186">
        <v>968</v>
      </c>
      <c r="K289" s="650" t="s">
        <v>482</v>
      </c>
      <c r="L289" s="651">
        <f t="shared" si="29"/>
        <v>0</v>
      </c>
      <c r="N289" s="594"/>
      <c r="P289" s="324"/>
      <c r="Q289" s="602">
        <f>IF(L289=0,1,0)</f>
        <v>1</v>
      </c>
      <c r="X289" s="567"/>
      <c r="Y289" s="567"/>
    </row>
    <row r="290" spans="1:25" ht="75.599999999999994" customHeight="1" x14ac:dyDescent="0.3">
      <c r="A290" s="654">
        <f>+'TD Info Completed by Auditor'!D74</f>
        <v>980</v>
      </c>
      <c r="B290" s="367" t="s">
        <v>792</v>
      </c>
      <c r="C290" s="383" t="str">
        <f>+'TD Info Completed by Auditor'!E74</f>
        <v>Date the Auditor presented or plans to present the Audit to the Governing Board</v>
      </c>
      <c r="D290" s="357"/>
      <c r="E290" s="655" t="str">
        <f>IF('TD Info Completed by Auditor'!G74&gt;0,'TD Info Completed by Auditor'!G74," ")</f>
        <v xml:space="preserve"> </v>
      </c>
      <c r="F290" s="656" t="s">
        <v>993</v>
      </c>
      <c r="G290" s="350"/>
      <c r="H290" s="347"/>
      <c r="I290" s="38"/>
      <c r="J290" s="384">
        <v>980</v>
      </c>
      <c r="K290" s="385" t="s">
        <v>758</v>
      </c>
      <c r="L290" s="657" t="str">
        <f t="shared" si="29"/>
        <v xml:space="preserve"> </v>
      </c>
      <c r="N290" s="594"/>
      <c r="P290" s="324"/>
      <c r="Q290" s="602"/>
      <c r="X290" s="567"/>
      <c r="Y290" s="567"/>
    </row>
    <row r="291" spans="1:25" ht="83.4" customHeight="1" x14ac:dyDescent="0.3">
      <c r="A291" s="624"/>
      <c r="B291" s="97"/>
      <c r="C291" s="625"/>
      <c r="D291" s="627"/>
      <c r="E291" s="628"/>
      <c r="F291" s="629"/>
      <c r="G291" s="630"/>
      <c r="H291" s="631"/>
      <c r="I291" s="38"/>
      <c r="J291" s="176">
        <v>999</v>
      </c>
      <c r="K291" s="642" t="s">
        <v>289</v>
      </c>
      <c r="L291" s="658" t="e">
        <f>'Unit Data from Audit Worksheet'!D3</f>
        <v>#N/A</v>
      </c>
      <c r="M291" s="620"/>
      <c r="N291" s="659" t="s">
        <v>992</v>
      </c>
      <c r="O291" s="659" t="s">
        <v>991</v>
      </c>
      <c r="P291" s="324"/>
      <c r="W291" s="3" t="b">
        <f>EXACT(A291,J291)</f>
        <v>0</v>
      </c>
      <c r="X291" s="567" t="e">
        <f t="shared" si="31"/>
        <v>#N/A</v>
      </c>
      <c r="Y291" s="567" t="e">
        <f t="shared" si="32"/>
        <v>#N/A</v>
      </c>
    </row>
    <row r="292" spans="1:25" x14ac:dyDescent="0.3">
      <c r="A292" s="296"/>
      <c r="B292" s="296"/>
      <c r="C292" s="296"/>
      <c r="D292" s="296"/>
      <c r="E292" s="296"/>
      <c r="F292" s="296"/>
      <c r="G292" s="296"/>
      <c r="H292" s="296"/>
      <c r="I292" s="296"/>
      <c r="J292" s="3"/>
      <c r="K292" s="3"/>
      <c r="L292" s="3"/>
      <c r="N292" s="4"/>
      <c r="P292" s="325"/>
    </row>
    <row r="293" spans="1:25" x14ac:dyDescent="0.3">
      <c r="D293" s="661"/>
      <c r="E293" s="662"/>
      <c r="F293" s="662"/>
      <c r="G293" s="663"/>
      <c r="H293" s="662"/>
      <c r="I293" s="664"/>
      <c r="K293" s="10"/>
      <c r="L293" s="665"/>
      <c r="N293" s="4"/>
      <c r="P293" s="325"/>
    </row>
    <row r="294" spans="1:25" ht="18" x14ac:dyDescent="0.35">
      <c r="A294" s="165" t="s">
        <v>413</v>
      </c>
      <c r="B294" s="166"/>
      <c r="C294" s="167"/>
      <c r="D294" s="168"/>
      <c r="E294" s="169"/>
      <c r="F294" s="662"/>
      <c r="G294" s="663"/>
      <c r="H294" s="662"/>
      <c r="I294" s="664"/>
      <c r="L294" s="665"/>
      <c r="N294" s="4"/>
      <c r="P294" s="325"/>
    </row>
    <row r="295" spans="1:25" ht="117" customHeight="1" x14ac:dyDescent="0.7">
      <c r="A295" s="335">
        <f>'Unit Data from Audit Worksheet'!A88</f>
        <v>590</v>
      </c>
      <c r="B295" s="335" t="str">
        <f>'Unit Data from Audit Worksheet'!B88</f>
        <v>Fiscal Review</v>
      </c>
      <c r="C295" s="81" t="str">
        <f>'Unit Data from Audit Worksheet'!D88</f>
        <v>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v>
      </c>
      <c r="D295" s="80"/>
      <c r="E295" s="104">
        <f>'Unit Data from Audit Worksheet'!F88</f>
        <v>0</v>
      </c>
      <c r="F295" s="80">
        <f>'Unit Data from Audit Worksheet'!G88</f>
        <v>0</v>
      </c>
      <c r="G295" s="663"/>
      <c r="H295" s="662"/>
      <c r="I295" s="664"/>
      <c r="J295" s="158" t="e">
        <f>SUM(Q5:Q295)</f>
        <v>#N/A</v>
      </c>
      <c r="K295" s="157" t="s">
        <v>516</v>
      </c>
      <c r="L295" s="665" t="e">
        <f>SUM(G5:G245)</f>
        <v>#N/A</v>
      </c>
      <c r="N295" s="4"/>
      <c r="P295" s="325"/>
    </row>
    <row r="296" spans="1:25" ht="14.25" customHeight="1" x14ac:dyDescent="0.3">
      <c r="A296" s="296"/>
      <c r="B296" s="296"/>
      <c r="C296" s="296"/>
      <c r="D296" s="296"/>
      <c r="E296" s="296"/>
      <c r="F296" s="662"/>
      <c r="G296" s="663"/>
      <c r="H296" s="662"/>
      <c r="I296" s="664"/>
      <c r="K296" s="10"/>
      <c r="L296" s="666"/>
      <c r="P296" s="325"/>
      <c r="Q296" s="85"/>
    </row>
    <row r="297" spans="1:25" x14ac:dyDescent="0.3">
      <c r="A297" s="296"/>
      <c r="B297" s="296"/>
      <c r="C297" s="296"/>
      <c r="D297" s="296"/>
      <c r="E297" s="296"/>
      <c r="F297" s="662"/>
      <c r="G297" s="663"/>
      <c r="H297" s="662"/>
      <c r="I297" s="664"/>
      <c r="K297" s="10"/>
      <c r="L297" s="666"/>
      <c r="P297" s="325"/>
    </row>
    <row r="298" spans="1:25" ht="18.75" customHeight="1" x14ac:dyDescent="0.3">
      <c r="A298" s="296"/>
      <c r="B298" s="296"/>
      <c r="C298" s="296"/>
      <c r="D298" s="296"/>
      <c r="E298" s="296"/>
      <c r="F298" s="662"/>
      <c r="G298" s="663"/>
      <c r="H298" s="662"/>
      <c r="I298" s="664"/>
      <c r="J298" s="5">
        <f>SUM(J5:J245)</f>
        <v>98821</v>
      </c>
      <c r="K298" s="10"/>
      <c r="L298" s="666"/>
      <c r="P298" s="325"/>
    </row>
    <row r="299" spans="1:25" ht="30.75" customHeight="1" x14ac:dyDescent="0.3">
      <c r="A299" s="296"/>
      <c r="B299" s="296"/>
      <c r="C299" s="296"/>
      <c r="D299" s="296"/>
      <c r="E299" s="296"/>
      <c r="F299" s="662"/>
      <c r="G299" s="663"/>
      <c r="H299" s="662"/>
      <c r="I299" s="664"/>
      <c r="J299" s="5">
        <f>SUM(J261:J265)+SUM(J277:J290)</f>
        <v>13934</v>
      </c>
      <c r="K299" s="10"/>
      <c r="L299" s="666"/>
      <c r="P299" s="325"/>
    </row>
    <row r="300" spans="1:25" ht="30.75" customHeight="1" x14ac:dyDescent="0.3">
      <c r="A300" s="296"/>
      <c r="B300" s="296"/>
      <c r="C300" s="296"/>
      <c r="D300" s="296"/>
      <c r="E300" s="296"/>
      <c r="F300" s="662"/>
      <c r="G300" s="663"/>
      <c r="H300" s="662"/>
      <c r="I300" s="664"/>
      <c r="J300" s="5">
        <f>+J298+J299</f>
        <v>112755</v>
      </c>
      <c r="K300" s="10"/>
      <c r="L300" s="666"/>
      <c r="P300" s="325"/>
    </row>
    <row r="301" spans="1:25" ht="30.75" customHeight="1" x14ac:dyDescent="0.3">
      <c r="A301" s="296"/>
      <c r="B301" s="296"/>
      <c r="C301" s="296"/>
      <c r="D301" s="296"/>
      <c r="E301" s="296"/>
      <c r="F301" s="662"/>
      <c r="G301" s="663"/>
      <c r="H301" s="662"/>
      <c r="I301" s="664"/>
      <c r="J301" s="5">
        <f>+'Unit Data from Audit Worksheet'!A327</f>
        <v>27892</v>
      </c>
      <c r="K301" s="10"/>
      <c r="L301" s="666"/>
      <c r="P301" s="325"/>
    </row>
    <row r="302" spans="1:25" ht="30.75" customHeight="1" x14ac:dyDescent="0.3">
      <c r="A302" s="296"/>
      <c r="B302" s="296"/>
      <c r="C302" s="296"/>
      <c r="D302" s="296"/>
      <c r="E302" s="296"/>
      <c r="F302" s="662"/>
      <c r="G302" s="663"/>
      <c r="H302" s="662"/>
      <c r="I302" s="664"/>
      <c r="J302" s="5">
        <f>+J300-J301</f>
        <v>84863</v>
      </c>
      <c r="K302" s="10"/>
      <c r="L302" s="666"/>
      <c r="P302" s="325"/>
    </row>
    <row r="303" spans="1:25" ht="30.75" customHeight="1" x14ac:dyDescent="0.3">
      <c r="A303" s="296"/>
      <c r="B303" s="296"/>
      <c r="C303" s="296"/>
      <c r="D303" s="296"/>
      <c r="E303" s="296"/>
      <c r="F303" s="662"/>
      <c r="G303" s="663"/>
      <c r="H303" s="662"/>
      <c r="I303" s="664"/>
      <c r="K303" s="10"/>
      <c r="L303" s="666"/>
      <c r="P303" s="325"/>
    </row>
    <row r="304" spans="1:25" x14ac:dyDescent="0.3">
      <c r="A304" s="296"/>
      <c r="B304" s="296"/>
      <c r="C304" s="296"/>
      <c r="D304" s="296"/>
      <c r="E304" s="296"/>
      <c r="I304" s="664"/>
      <c r="K304" s="10"/>
      <c r="L304" s="666"/>
      <c r="P304" s="325"/>
    </row>
    <row r="305" spans="1:16" x14ac:dyDescent="0.3">
      <c r="A305" s="296"/>
      <c r="B305" s="296"/>
      <c r="C305" s="296"/>
      <c r="D305" s="296"/>
      <c r="E305" s="296"/>
      <c r="I305" s="664"/>
      <c r="L305" s="666"/>
      <c r="P305" s="325"/>
    </row>
    <row r="306" spans="1:16" x14ac:dyDescent="0.3">
      <c r="A306" s="5"/>
      <c r="B306" s="667"/>
      <c r="C306" s="26"/>
      <c r="D306" s="79"/>
      <c r="I306" s="664"/>
      <c r="L306" s="666"/>
      <c r="P306" s="325"/>
    </row>
    <row r="307" spans="1:16" x14ac:dyDescent="0.3">
      <c r="A307" s="5"/>
      <c r="B307" s="667"/>
      <c r="C307" s="26"/>
      <c r="D307" s="79"/>
      <c r="L307" s="666"/>
      <c r="P307" s="325"/>
    </row>
    <row r="308" spans="1:16" x14ac:dyDescent="0.3">
      <c r="D308" s="79"/>
      <c r="P308" s="325"/>
    </row>
    <row r="309" spans="1:16" x14ac:dyDescent="0.3">
      <c r="D309" s="79"/>
      <c r="P309" s="325"/>
    </row>
    <row r="310" spans="1:16" x14ac:dyDescent="0.3">
      <c r="D310" s="79"/>
      <c r="P310" s="325"/>
    </row>
    <row r="311" spans="1:16" x14ac:dyDescent="0.3">
      <c r="D311" s="79"/>
      <c r="P311" s="325"/>
    </row>
    <row r="312" spans="1:16" x14ac:dyDescent="0.3">
      <c r="A312" s="5"/>
      <c r="B312" s="667"/>
      <c r="C312" s="26"/>
      <c r="D312" s="79"/>
      <c r="P312" s="325"/>
    </row>
    <row r="313" spans="1:16" x14ac:dyDescent="0.3">
      <c r="A313" s="5"/>
      <c r="B313" s="667"/>
      <c r="C313" s="26"/>
      <c r="D313" s="79"/>
      <c r="P313" s="325"/>
    </row>
    <row r="314" spans="1:16" x14ac:dyDescent="0.3">
      <c r="D314" s="79"/>
      <c r="P314" s="325"/>
    </row>
    <row r="315" spans="1:16" x14ac:dyDescent="0.3">
      <c r="D315" s="79"/>
      <c r="P315" s="325"/>
    </row>
    <row r="316" spans="1:16" x14ac:dyDescent="0.3">
      <c r="D316" s="79"/>
      <c r="P316" s="325"/>
    </row>
    <row r="317" spans="1:16" x14ac:dyDescent="0.3">
      <c r="D317" s="79"/>
      <c r="P317" s="325"/>
    </row>
    <row r="318" spans="1:16" x14ac:dyDescent="0.3">
      <c r="A318" s="5"/>
      <c r="B318" s="667"/>
      <c r="C318" s="26"/>
      <c r="D318" s="79"/>
      <c r="P318" s="325"/>
    </row>
    <row r="319" spans="1:16" x14ac:dyDescent="0.3">
      <c r="A319" s="5"/>
      <c r="B319" s="667"/>
      <c r="C319" s="26"/>
      <c r="D319" s="79"/>
      <c r="P319" s="325"/>
    </row>
    <row r="320" spans="1:16" x14ac:dyDescent="0.3">
      <c r="D320" s="79"/>
      <c r="P320" s="325"/>
    </row>
    <row r="321" spans="1:16" x14ac:dyDescent="0.3">
      <c r="D321" s="79"/>
      <c r="P321" s="325"/>
    </row>
    <row r="322" spans="1:16" x14ac:dyDescent="0.3">
      <c r="D322" s="79"/>
      <c r="P322" s="325"/>
    </row>
    <row r="323" spans="1:16" x14ac:dyDescent="0.3">
      <c r="D323" s="79"/>
      <c r="P323" s="325"/>
    </row>
    <row r="324" spans="1:16" x14ac:dyDescent="0.3">
      <c r="A324" s="5"/>
      <c r="B324" s="667"/>
      <c r="C324" s="26"/>
      <c r="D324" s="79"/>
      <c r="P324" s="325"/>
    </row>
    <row r="325" spans="1:16" x14ac:dyDescent="0.3">
      <c r="A325" s="5"/>
      <c r="B325" s="667"/>
      <c r="C325" s="26"/>
      <c r="D325" s="79"/>
      <c r="P325" s="325"/>
    </row>
    <row r="326" spans="1:16" x14ac:dyDescent="0.3">
      <c r="A326" s="5"/>
      <c r="B326" s="667"/>
      <c r="C326" s="26"/>
      <c r="D326" s="79"/>
      <c r="P326" s="325"/>
    </row>
    <row r="327" spans="1:16" x14ac:dyDescent="0.3">
      <c r="A327" s="5"/>
      <c r="B327" s="667"/>
      <c r="C327" s="26"/>
      <c r="D327" s="79"/>
      <c r="P327" s="325"/>
    </row>
    <row r="328" spans="1:16" x14ac:dyDescent="0.3">
      <c r="D328" s="79"/>
      <c r="P328" s="325"/>
    </row>
    <row r="329" spans="1:16" x14ac:dyDescent="0.3">
      <c r="D329" s="79"/>
      <c r="P329" s="325"/>
    </row>
    <row r="330" spans="1:16" x14ac:dyDescent="0.3">
      <c r="D330" s="79"/>
      <c r="P330" s="325"/>
    </row>
    <row r="331" spans="1:16" x14ac:dyDescent="0.3">
      <c r="A331" s="5"/>
      <c r="B331" s="667"/>
      <c r="C331" s="26"/>
      <c r="D331" s="79"/>
      <c r="P331" s="325"/>
    </row>
    <row r="332" spans="1:16" x14ac:dyDescent="0.3">
      <c r="A332" s="5"/>
      <c r="B332" s="667"/>
      <c r="C332" s="26"/>
      <c r="D332" s="79"/>
      <c r="P332" s="325"/>
    </row>
    <row r="333" spans="1:16" x14ac:dyDescent="0.3">
      <c r="A333" s="5"/>
      <c r="B333" s="667"/>
      <c r="C333" s="26"/>
      <c r="D333" s="79"/>
      <c r="P333" s="325"/>
    </row>
    <row r="334" spans="1:16" x14ac:dyDescent="0.3">
      <c r="A334" s="5"/>
      <c r="B334" s="667"/>
      <c r="C334" s="26"/>
      <c r="D334" s="79"/>
      <c r="P334" s="325"/>
    </row>
    <row r="335" spans="1:16" x14ac:dyDescent="0.3">
      <c r="A335" s="5"/>
      <c r="B335" s="667"/>
      <c r="C335" s="26"/>
      <c r="D335" s="79"/>
      <c r="P335" s="325"/>
    </row>
    <row r="336" spans="1:16" x14ac:dyDescent="0.3">
      <c r="A336" s="5"/>
      <c r="B336" s="667"/>
      <c r="C336" s="26"/>
      <c r="D336" s="79"/>
      <c r="P336" s="325"/>
    </row>
    <row r="337" spans="1:16" x14ac:dyDescent="0.3">
      <c r="A337" s="5"/>
      <c r="B337" s="667"/>
      <c r="C337" s="26"/>
      <c r="D337" s="79"/>
      <c r="P337" s="325"/>
    </row>
    <row r="338" spans="1:16" x14ac:dyDescent="0.3">
      <c r="A338" s="5"/>
      <c r="B338" s="667"/>
      <c r="C338" s="26"/>
      <c r="D338" s="79"/>
      <c r="P338" s="325"/>
    </row>
    <row r="339" spans="1:16" x14ac:dyDescent="0.3">
      <c r="A339" s="5"/>
      <c r="B339" s="667"/>
      <c r="C339" s="26"/>
      <c r="D339" s="79"/>
      <c r="P339" s="325"/>
    </row>
    <row r="340" spans="1:16" x14ac:dyDescent="0.3">
      <c r="A340" s="5"/>
      <c r="B340" s="667"/>
      <c r="C340" s="26"/>
      <c r="D340" s="79"/>
      <c r="P340" s="325"/>
    </row>
    <row r="341" spans="1:16" x14ac:dyDescent="0.3">
      <c r="A341" s="5"/>
      <c r="B341" s="667"/>
      <c r="C341" s="26"/>
      <c r="D341" s="79"/>
      <c r="P341" s="325"/>
    </row>
    <row r="342" spans="1:16" x14ac:dyDescent="0.3">
      <c r="A342" s="5"/>
      <c r="B342" s="667"/>
      <c r="C342" s="26"/>
      <c r="D342" s="79"/>
      <c r="P342" s="325"/>
    </row>
    <row r="343" spans="1:16" x14ac:dyDescent="0.3">
      <c r="A343" s="5"/>
      <c r="B343" s="667"/>
      <c r="C343" s="26"/>
      <c r="D343" s="79"/>
      <c r="P343" s="325"/>
    </row>
    <row r="344" spans="1:16" x14ac:dyDescent="0.3">
      <c r="A344" s="5"/>
      <c r="B344" s="667"/>
      <c r="C344" s="26"/>
      <c r="D344" s="79"/>
      <c r="P344" s="325"/>
    </row>
    <row r="345" spans="1:16" x14ac:dyDescent="0.3">
      <c r="A345" s="5"/>
      <c r="B345" s="667"/>
      <c r="C345" s="26"/>
      <c r="D345" s="79"/>
      <c r="P345" s="325"/>
    </row>
    <row r="346" spans="1:16" x14ac:dyDescent="0.3">
      <c r="A346" s="5"/>
      <c r="B346" s="667"/>
      <c r="C346" s="26"/>
      <c r="D346" s="79"/>
      <c r="P346" s="325"/>
    </row>
    <row r="347" spans="1:16" x14ac:dyDescent="0.3">
      <c r="A347" s="5"/>
      <c r="B347" s="667"/>
      <c r="C347" s="26"/>
      <c r="D347" s="79"/>
      <c r="P347" s="325"/>
    </row>
    <row r="348" spans="1:16" x14ac:dyDescent="0.3">
      <c r="A348" s="5"/>
      <c r="B348" s="667"/>
      <c r="C348" s="26"/>
      <c r="D348" s="79"/>
      <c r="P348" s="325"/>
    </row>
    <row r="349" spans="1:16" x14ac:dyDescent="0.3">
      <c r="A349" s="5"/>
      <c r="B349" s="667"/>
      <c r="C349" s="26"/>
      <c r="D349" s="79"/>
      <c r="P349" s="325"/>
    </row>
    <row r="350" spans="1:16" x14ac:dyDescent="0.3">
      <c r="A350" s="5"/>
      <c r="B350" s="667"/>
      <c r="C350" s="26"/>
      <c r="D350" s="79"/>
      <c r="P350" s="325"/>
    </row>
    <row r="351" spans="1:16" x14ac:dyDescent="0.3">
      <c r="A351" s="5"/>
      <c r="B351" s="667"/>
      <c r="C351" s="26"/>
      <c r="D351" s="79"/>
      <c r="P351" s="325"/>
    </row>
    <row r="352" spans="1:16" x14ac:dyDescent="0.3">
      <c r="A352" s="5"/>
      <c r="B352" s="667"/>
      <c r="C352" s="26"/>
      <c r="D352" s="79"/>
      <c r="P352" s="325"/>
    </row>
    <row r="353" spans="1:16" x14ac:dyDescent="0.3">
      <c r="A353" s="5"/>
      <c r="B353" s="667"/>
      <c r="C353" s="26"/>
      <c r="D353" s="79"/>
      <c r="P353" s="325"/>
    </row>
    <row r="354" spans="1:16" x14ac:dyDescent="0.3">
      <c r="A354" s="5"/>
      <c r="B354" s="667"/>
      <c r="C354" s="26"/>
      <c r="D354" s="79"/>
      <c r="P354" s="325"/>
    </row>
    <row r="355" spans="1:16" x14ac:dyDescent="0.3">
      <c r="A355" s="5"/>
      <c r="B355" s="667"/>
      <c r="C355" s="26"/>
      <c r="D355" s="79"/>
      <c r="P355" s="325"/>
    </row>
    <row r="356" spans="1:16" x14ac:dyDescent="0.3">
      <c r="A356" s="5"/>
      <c r="B356" s="667"/>
      <c r="C356" s="26"/>
      <c r="D356" s="79"/>
      <c r="P356" s="325"/>
    </row>
    <row r="357" spans="1:16" x14ac:dyDescent="0.3">
      <c r="A357" s="5"/>
      <c r="B357" s="667"/>
      <c r="C357" s="26"/>
      <c r="D357" s="79"/>
      <c r="P357" s="325"/>
    </row>
    <row r="358" spans="1:16" x14ac:dyDescent="0.3">
      <c r="A358" s="5"/>
      <c r="B358" s="667"/>
      <c r="C358" s="26"/>
      <c r="D358" s="79"/>
      <c r="P358" s="325"/>
    </row>
    <row r="359" spans="1:16" x14ac:dyDescent="0.3">
      <c r="A359" s="5"/>
      <c r="B359" s="667"/>
      <c r="C359" s="26"/>
      <c r="D359" s="79"/>
      <c r="P359" s="325"/>
    </row>
    <row r="360" spans="1:16" x14ac:dyDescent="0.3">
      <c r="A360" s="5"/>
      <c r="B360" s="667"/>
      <c r="C360" s="26"/>
      <c r="D360" s="79"/>
      <c r="P360" s="325"/>
    </row>
    <row r="361" spans="1:16" x14ac:dyDescent="0.3">
      <c r="A361" s="5"/>
      <c r="B361" s="667"/>
      <c r="C361" s="26"/>
      <c r="D361" s="79"/>
      <c r="P361" s="325"/>
    </row>
    <row r="362" spans="1:16" x14ac:dyDescent="0.3">
      <c r="A362" s="5"/>
      <c r="B362" s="667"/>
      <c r="C362" s="26"/>
      <c r="D362" s="79"/>
      <c r="P362" s="325"/>
    </row>
    <row r="363" spans="1:16" x14ac:dyDescent="0.3">
      <c r="A363" s="5"/>
      <c r="B363" s="667"/>
      <c r="C363" s="26"/>
      <c r="D363" s="79"/>
      <c r="P363" s="325"/>
    </row>
    <row r="364" spans="1:16" x14ac:dyDescent="0.3">
      <c r="A364" s="5"/>
      <c r="B364" s="667"/>
      <c r="C364" s="26"/>
      <c r="D364" s="79"/>
      <c r="P364" s="325"/>
    </row>
    <row r="365" spans="1:16" x14ac:dyDescent="0.3">
      <c r="A365" s="5"/>
      <c r="B365" s="667"/>
      <c r="C365" s="26"/>
      <c r="D365" s="79"/>
      <c r="P365" s="325"/>
    </row>
    <row r="366" spans="1:16" x14ac:dyDescent="0.3">
      <c r="A366" s="5"/>
      <c r="B366" s="667"/>
      <c r="C366" s="26"/>
      <c r="D366" s="79"/>
      <c r="P366" s="325"/>
    </row>
    <row r="367" spans="1:16" x14ac:dyDescent="0.3">
      <c r="A367" s="5"/>
      <c r="B367" s="667"/>
      <c r="C367" s="26"/>
      <c r="D367" s="79"/>
      <c r="P367" s="325"/>
    </row>
    <row r="368" spans="1:16" x14ac:dyDescent="0.3">
      <c r="A368" s="5"/>
      <c r="B368" s="667"/>
      <c r="C368" s="26"/>
      <c r="D368" s="79"/>
      <c r="P368" s="325"/>
    </row>
    <row r="369" spans="1:16" x14ac:dyDescent="0.3">
      <c r="A369" s="5"/>
      <c r="B369" s="667"/>
      <c r="C369" s="26"/>
      <c r="D369" s="79"/>
      <c r="P369" s="325"/>
    </row>
    <row r="370" spans="1:16" x14ac:dyDescent="0.3">
      <c r="A370" s="5"/>
      <c r="B370" s="667"/>
      <c r="C370" s="26"/>
      <c r="D370" s="79"/>
      <c r="P370" s="325"/>
    </row>
    <row r="371" spans="1:16" x14ac:dyDescent="0.3">
      <c r="A371" s="5"/>
      <c r="B371" s="667"/>
      <c r="C371" s="26"/>
      <c r="D371" s="79"/>
      <c r="P371" s="325"/>
    </row>
    <row r="372" spans="1:16" x14ac:dyDescent="0.3">
      <c r="A372" s="5"/>
      <c r="B372" s="667"/>
      <c r="C372" s="26"/>
      <c r="D372" s="79"/>
      <c r="P372" s="325"/>
    </row>
    <row r="373" spans="1:16" x14ac:dyDescent="0.3">
      <c r="A373" s="5"/>
      <c r="B373" s="667"/>
      <c r="C373" s="26"/>
      <c r="D373" s="79"/>
      <c r="P373" s="325"/>
    </row>
    <row r="374" spans="1:16" x14ac:dyDescent="0.3">
      <c r="A374" s="5"/>
      <c r="B374" s="667"/>
      <c r="C374" s="26"/>
      <c r="D374" s="79"/>
      <c r="P374" s="325"/>
    </row>
    <row r="375" spans="1:16" x14ac:dyDescent="0.3">
      <c r="A375" s="5"/>
      <c r="B375" s="667"/>
      <c r="C375" s="26"/>
      <c r="D375" s="79"/>
      <c r="P375" s="325"/>
    </row>
    <row r="376" spans="1:16" x14ac:dyDescent="0.3">
      <c r="A376" s="5"/>
      <c r="B376" s="667"/>
      <c r="C376" s="26"/>
      <c r="D376" s="79"/>
      <c r="P376" s="325"/>
    </row>
    <row r="377" spans="1:16" x14ac:dyDescent="0.3">
      <c r="A377" s="5"/>
      <c r="B377" s="667"/>
      <c r="C377" s="26"/>
      <c r="D377" s="79"/>
      <c r="P377" s="325"/>
    </row>
    <row r="378" spans="1:16" x14ac:dyDescent="0.3">
      <c r="A378" s="5"/>
      <c r="B378" s="667"/>
      <c r="C378" s="26"/>
      <c r="D378" s="79"/>
      <c r="P378" s="325"/>
    </row>
    <row r="379" spans="1:16" x14ac:dyDescent="0.3">
      <c r="A379" s="5"/>
      <c r="B379" s="667"/>
      <c r="C379" s="26"/>
      <c r="D379" s="79"/>
      <c r="P379" s="325"/>
    </row>
    <row r="380" spans="1:16" x14ac:dyDescent="0.3">
      <c r="A380" s="5"/>
      <c r="B380" s="667"/>
      <c r="C380" s="26"/>
      <c r="D380" s="79"/>
      <c r="P380" s="325"/>
    </row>
    <row r="381" spans="1:16" x14ac:dyDescent="0.3">
      <c r="A381" s="5"/>
      <c r="B381" s="667"/>
      <c r="C381" s="26"/>
      <c r="D381" s="79"/>
      <c r="P381" s="325"/>
    </row>
    <row r="382" spans="1:16" x14ac:dyDescent="0.3">
      <c r="A382" s="5"/>
      <c r="B382" s="667"/>
      <c r="C382" s="26"/>
      <c r="D382" s="79"/>
      <c r="P382" s="325"/>
    </row>
    <row r="383" spans="1:16" x14ac:dyDescent="0.3">
      <c r="A383" s="5"/>
      <c r="B383" s="667"/>
      <c r="C383" s="26"/>
      <c r="D383" s="79"/>
      <c r="P383" s="325"/>
    </row>
    <row r="384" spans="1:16" x14ac:dyDescent="0.3">
      <c r="A384" s="5"/>
      <c r="B384" s="667"/>
      <c r="C384" s="26"/>
      <c r="D384" s="79"/>
      <c r="P384" s="325"/>
    </row>
    <row r="385" spans="1:16" x14ac:dyDescent="0.3">
      <c r="A385" s="5"/>
      <c r="B385" s="667"/>
      <c r="C385" s="26"/>
      <c r="D385" s="79"/>
      <c r="P385" s="325"/>
    </row>
    <row r="386" spans="1:16" x14ac:dyDescent="0.3">
      <c r="A386" s="5"/>
      <c r="B386" s="667"/>
      <c r="C386" s="26"/>
      <c r="D386" s="79"/>
      <c r="P386" s="325"/>
    </row>
    <row r="387" spans="1:16" x14ac:dyDescent="0.3">
      <c r="A387" s="5"/>
      <c r="B387" s="667"/>
      <c r="C387" s="26"/>
      <c r="D387" s="79"/>
      <c r="P387" s="325"/>
    </row>
    <row r="388" spans="1:16" x14ac:dyDescent="0.3">
      <c r="A388" s="5"/>
      <c r="B388" s="667"/>
      <c r="C388" s="26"/>
      <c r="D388" s="79"/>
      <c r="P388" s="325"/>
    </row>
    <row r="389" spans="1:16" x14ac:dyDescent="0.3">
      <c r="A389" s="5"/>
      <c r="B389" s="667"/>
      <c r="C389" s="26"/>
      <c r="D389" s="79"/>
      <c r="P389" s="325"/>
    </row>
    <row r="390" spans="1:16" x14ac:dyDescent="0.3">
      <c r="A390" s="5"/>
      <c r="B390" s="667"/>
      <c r="C390" s="26"/>
      <c r="D390" s="79"/>
      <c r="P390" s="325"/>
    </row>
    <row r="391" spans="1:16" x14ac:dyDescent="0.3">
      <c r="A391" s="5"/>
      <c r="B391" s="667"/>
      <c r="C391" s="26"/>
      <c r="D391" s="79"/>
      <c r="P391" s="325"/>
    </row>
    <row r="392" spans="1:16" x14ac:dyDescent="0.3">
      <c r="A392" s="5"/>
      <c r="B392" s="667"/>
      <c r="C392" s="26"/>
      <c r="D392" s="79"/>
      <c r="P392" s="325"/>
    </row>
    <row r="393" spans="1:16" x14ac:dyDescent="0.3">
      <c r="A393" s="5"/>
      <c r="B393" s="667"/>
      <c r="C393" s="26"/>
      <c r="D393" s="79"/>
      <c r="P393" s="325"/>
    </row>
    <row r="394" spans="1:16" x14ac:dyDescent="0.3">
      <c r="A394" s="5"/>
      <c r="B394" s="667"/>
      <c r="C394" s="26"/>
      <c r="D394" s="79"/>
      <c r="P394" s="325"/>
    </row>
    <row r="395" spans="1:16" x14ac:dyDescent="0.3">
      <c r="A395" s="5"/>
      <c r="B395" s="667"/>
      <c r="C395" s="26"/>
      <c r="D395" s="79"/>
      <c r="P395" s="325"/>
    </row>
    <row r="396" spans="1:16" x14ac:dyDescent="0.3">
      <c r="A396" s="5"/>
      <c r="B396" s="667"/>
      <c r="C396" s="26"/>
      <c r="D396" s="79"/>
      <c r="P396" s="325"/>
    </row>
    <row r="397" spans="1:16" x14ac:dyDescent="0.3">
      <c r="A397" s="5"/>
      <c r="B397" s="667"/>
      <c r="C397" s="26"/>
      <c r="D397" s="79"/>
      <c r="P397" s="325"/>
    </row>
    <row r="398" spans="1:16" x14ac:dyDescent="0.3">
      <c r="A398" s="5"/>
      <c r="B398" s="667"/>
      <c r="C398" s="26"/>
      <c r="D398" s="79"/>
      <c r="P398" s="325"/>
    </row>
    <row r="399" spans="1:16" x14ac:dyDescent="0.3">
      <c r="A399" s="5"/>
      <c r="B399" s="667"/>
      <c r="C399" s="26"/>
      <c r="D399" s="79"/>
      <c r="P399" s="325"/>
    </row>
    <row r="400" spans="1:16" x14ac:dyDescent="0.3">
      <c r="A400" s="5"/>
      <c r="B400" s="667"/>
      <c r="C400" s="26"/>
      <c r="D400" s="79"/>
      <c r="P400" s="325"/>
    </row>
    <row r="401" spans="1:16" x14ac:dyDescent="0.3">
      <c r="A401" s="5"/>
      <c r="B401" s="667"/>
      <c r="C401" s="26"/>
      <c r="D401" s="79"/>
      <c r="P401" s="325"/>
    </row>
    <row r="402" spans="1:16" x14ac:dyDescent="0.3">
      <c r="A402" s="5"/>
      <c r="B402" s="667"/>
      <c r="C402" s="26"/>
      <c r="D402" s="79"/>
      <c r="P402" s="325"/>
    </row>
    <row r="403" spans="1:16" x14ac:dyDescent="0.3">
      <c r="A403" s="5"/>
      <c r="B403" s="667"/>
      <c r="C403" s="26"/>
      <c r="D403" s="79"/>
      <c r="P403" s="325"/>
    </row>
    <row r="404" spans="1:16" x14ac:dyDescent="0.3">
      <c r="A404" s="5"/>
      <c r="B404" s="667"/>
      <c r="C404" s="26"/>
      <c r="D404" s="79"/>
      <c r="P404" s="325"/>
    </row>
    <row r="405" spans="1:16" x14ac:dyDescent="0.3">
      <c r="A405" s="5"/>
      <c r="B405" s="667"/>
      <c r="C405" s="26"/>
      <c r="D405" s="79"/>
      <c r="P405" s="325"/>
    </row>
    <row r="406" spans="1:16" x14ac:dyDescent="0.3">
      <c r="A406" s="5"/>
      <c r="B406" s="667"/>
      <c r="C406" s="26"/>
      <c r="D406" s="79"/>
      <c r="P406" s="325"/>
    </row>
    <row r="407" spans="1:16" x14ac:dyDescent="0.3">
      <c r="A407" s="5"/>
      <c r="B407" s="667"/>
      <c r="C407" s="26"/>
      <c r="D407" s="79"/>
      <c r="P407" s="325"/>
    </row>
    <row r="408" spans="1:16" x14ac:dyDescent="0.3">
      <c r="A408" s="5"/>
      <c r="B408" s="667"/>
      <c r="C408" s="26"/>
      <c r="D408" s="79"/>
      <c r="P408" s="325"/>
    </row>
    <row r="409" spans="1:16" x14ac:dyDescent="0.3">
      <c r="A409" s="5"/>
      <c r="B409" s="667"/>
      <c r="C409" s="26"/>
      <c r="D409" s="79"/>
      <c r="P409" s="325"/>
    </row>
    <row r="410" spans="1:16" x14ac:dyDescent="0.3">
      <c r="A410" s="5"/>
      <c r="B410" s="667"/>
      <c r="C410" s="26"/>
      <c r="D410" s="79"/>
      <c r="P410" s="325"/>
    </row>
    <row r="411" spans="1:16" x14ac:dyDescent="0.3">
      <c r="A411" s="5"/>
      <c r="B411" s="667"/>
      <c r="C411" s="26"/>
      <c r="D411" s="79"/>
      <c r="P411" s="325"/>
    </row>
    <row r="412" spans="1:16" x14ac:dyDescent="0.3">
      <c r="A412" s="5"/>
      <c r="B412" s="667"/>
      <c r="C412" s="26"/>
      <c r="D412" s="79"/>
      <c r="P412" s="325"/>
    </row>
    <row r="413" spans="1:16" x14ac:dyDescent="0.3">
      <c r="A413" s="5"/>
      <c r="B413" s="667"/>
      <c r="C413" s="26"/>
      <c r="D413" s="79"/>
      <c r="P413" s="325"/>
    </row>
    <row r="414" spans="1:16" x14ac:dyDescent="0.3">
      <c r="A414" s="5"/>
      <c r="B414" s="667"/>
      <c r="C414" s="26"/>
      <c r="D414" s="79"/>
      <c r="P414" s="325"/>
    </row>
    <row r="415" spans="1:16" x14ac:dyDescent="0.3">
      <c r="A415" s="5"/>
      <c r="B415" s="667"/>
      <c r="C415" s="26"/>
      <c r="D415" s="79"/>
      <c r="P415" s="325"/>
    </row>
    <row r="416" spans="1:16" x14ac:dyDescent="0.3">
      <c r="A416" s="5"/>
      <c r="B416" s="667"/>
      <c r="C416" s="26"/>
      <c r="D416" s="79"/>
      <c r="P416" s="325"/>
    </row>
    <row r="417" spans="1:16" x14ac:dyDescent="0.3">
      <c r="A417" s="5"/>
      <c r="B417" s="667"/>
      <c r="C417" s="26"/>
      <c r="D417" s="79"/>
      <c r="P417" s="325"/>
    </row>
    <row r="418" spans="1:16" x14ac:dyDescent="0.3">
      <c r="A418" s="5"/>
      <c r="B418" s="667"/>
      <c r="C418" s="26"/>
      <c r="D418" s="79"/>
      <c r="P418" s="325"/>
    </row>
    <row r="419" spans="1:16" x14ac:dyDescent="0.3">
      <c r="A419" s="5"/>
      <c r="B419" s="667"/>
      <c r="C419" s="26"/>
      <c r="D419" s="79"/>
      <c r="P419" s="325"/>
    </row>
    <row r="420" spans="1:16" x14ac:dyDescent="0.3">
      <c r="A420" s="5"/>
      <c r="B420" s="667"/>
      <c r="C420" s="26"/>
      <c r="D420" s="79"/>
      <c r="P420" s="325"/>
    </row>
    <row r="421" spans="1:16" x14ac:dyDescent="0.3">
      <c r="A421" s="5"/>
      <c r="B421" s="667"/>
      <c r="C421" s="26"/>
      <c r="D421" s="79"/>
      <c r="P421" s="325"/>
    </row>
    <row r="422" spans="1:16" x14ac:dyDescent="0.3">
      <c r="A422" s="5"/>
      <c r="B422" s="667"/>
      <c r="C422" s="26"/>
      <c r="D422" s="79"/>
      <c r="P422" s="325"/>
    </row>
    <row r="423" spans="1:16" x14ac:dyDescent="0.3">
      <c r="A423" s="5"/>
      <c r="B423" s="667"/>
      <c r="C423" s="26"/>
      <c r="D423" s="79"/>
      <c r="P423" s="325"/>
    </row>
    <row r="424" spans="1:16" x14ac:dyDescent="0.3">
      <c r="A424" s="5"/>
      <c r="B424" s="667"/>
      <c r="C424" s="26"/>
      <c r="D424" s="79"/>
      <c r="P424" s="325"/>
    </row>
    <row r="425" spans="1:16" x14ac:dyDescent="0.3">
      <c r="A425" s="5"/>
      <c r="B425" s="667"/>
      <c r="C425" s="26"/>
      <c r="D425" s="79"/>
      <c r="P425" s="325"/>
    </row>
    <row r="426" spans="1:16" x14ac:dyDescent="0.3">
      <c r="A426" s="5"/>
      <c r="B426" s="667"/>
      <c r="C426" s="26"/>
      <c r="D426" s="79"/>
      <c r="P426" s="325"/>
    </row>
    <row r="427" spans="1:16" x14ac:dyDescent="0.3">
      <c r="A427" s="5"/>
      <c r="B427" s="667"/>
      <c r="C427" s="26"/>
      <c r="D427" s="79"/>
      <c r="P427" s="325"/>
    </row>
    <row r="428" spans="1:16" x14ac:dyDescent="0.3">
      <c r="A428" s="5"/>
      <c r="B428" s="667"/>
      <c r="C428" s="26"/>
      <c r="D428" s="79"/>
      <c r="P428" s="325"/>
    </row>
    <row r="429" spans="1:16" x14ac:dyDescent="0.3">
      <c r="A429" s="5"/>
      <c r="B429" s="667"/>
      <c r="C429" s="26"/>
      <c r="D429" s="79"/>
    </row>
    <row r="430" spans="1:16" x14ac:dyDescent="0.3">
      <c r="A430" s="5"/>
      <c r="B430" s="667"/>
      <c r="C430" s="26"/>
      <c r="D430" s="79"/>
      <c r="P430" s="325"/>
    </row>
    <row r="431" spans="1:16" x14ac:dyDescent="0.3">
      <c r="A431" s="5"/>
      <c r="B431" s="667"/>
      <c r="C431" s="26"/>
      <c r="D431" s="79"/>
    </row>
    <row r="432" spans="1:16" x14ac:dyDescent="0.3">
      <c r="A432" s="5"/>
      <c r="B432" s="667"/>
      <c r="C432" s="26"/>
      <c r="D432" s="79"/>
    </row>
    <row r="433" spans="1:4" x14ac:dyDescent="0.3">
      <c r="A433" s="5"/>
      <c r="B433" s="667"/>
      <c r="C433" s="26"/>
      <c r="D433" s="79"/>
    </row>
    <row r="434" spans="1:4" x14ac:dyDescent="0.3">
      <c r="A434" s="5"/>
      <c r="B434" s="667"/>
      <c r="C434" s="26"/>
      <c r="D434" s="79"/>
    </row>
    <row r="435" spans="1:4" x14ac:dyDescent="0.3">
      <c r="A435" s="5"/>
      <c r="B435" s="667"/>
      <c r="C435" s="26"/>
      <c r="D435" s="79"/>
    </row>
    <row r="436" spans="1:4" x14ac:dyDescent="0.3">
      <c r="A436" s="5"/>
      <c r="B436" s="667"/>
      <c r="C436" s="26"/>
      <c r="D436" s="79"/>
    </row>
    <row r="437" spans="1:4" x14ac:dyDescent="0.3">
      <c r="A437" s="5"/>
      <c r="B437" s="667"/>
      <c r="C437" s="26"/>
      <c r="D437" s="79"/>
    </row>
    <row r="438" spans="1:4" x14ac:dyDescent="0.3">
      <c r="A438" s="5"/>
      <c r="B438" s="667"/>
      <c r="C438" s="26"/>
      <c r="D438" s="79"/>
    </row>
    <row r="439" spans="1:4" x14ac:dyDescent="0.3">
      <c r="A439" s="5"/>
      <c r="B439" s="667"/>
      <c r="C439" s="26"/>
      <c r="D439" s="79"/>
    </row>
    <row r="440" spans="1:4" x14ac:dyDescent="0.3">
      <c r="A440" s="5"/>
      <c r="B440" s="667"/>
      <c r="C440" s="26"/>
      <c r="D440" s="79"/>
    </row>
    <row r="441" spans="1:4" x14ac:dyDescent="0.3">
      <c r="A441" s="5"/>
      <c r="B441" s="667"/>
      <c r="C441" s="26"/>
      <c r="D441" s="79"/>
    </row>
    <row r="442" spans="1:4" x14ac:dyDescent="0.3">
      <c r="A442" s="5"/>
      <c r="B442" s="667"/>
      <c r="C442" s="26"/>
      <c r="D442" s="79"/>
    </row>
    <row r="443" spans="1:4" x14ac:dyDescent="0.3">
      <c r="D443" s="79"/>
    </row>
    <row r="444" spans="1:4" x14ac:dyDescent="0.3">
      <c r="D444" s="79"/>
    </row>
    <row r="445" spans="1:4" x14ac:dyDescent="0.3">
      <c r="D445" s="79"/>
    </row>
    <row r="446" spans="1:4" x14ac:dyDescent="0.3">
      <c r="D446" s="79"/>
    </row>
    <row r="447" spans="1:4" x14ac:dyDescent="0.3">
      <c r="D447" s="79"/>
    </row>
    <row r="448" spans="1:4" x14ac:dyDescent="0.3">
      <c r="D448" s="79"/>
    </row>
    <row r="449" spans="4:4" x14ac:dyDescent="0.3">
      <c r="D449" s="79"/>
    </row>
    <row r="450" spans="4:4" x14ac:dyDescent="0.3">
      <c r="D450" s="79"/>
    </row>
    <row r="451" spans="4:4" x14ac:dyDescent="0.3">
      <c r="D451" s="79"/>
    </row>
    <row r="452" spans="4:4" x14ac:dyDescent="0.3">
      <c r="D452" s="79"/>
    </row>
    <row r="453" spans="4:4" x14ac:dyDescent="0.3">
      <c r="D453" s="79"/>
    </row>
    <row r="454" spans="4:4" x14ac:dyDescent="0.3">
      <c r="D454" s="79"/>
    </row>
    <row r="455" spans="4:4" x14ac:dyDescent="0.3">
      <c r="D455" s="79"/>
    </row>
    <row r="456" spans="4:4" x14ac:dyDescent="0.3">
      <c r="D456" s="79"/>
    </row>
    <row r="457" spans="4:4" x14ac:dyDescent="0.3">
      <c r="D457" s="79"/>
    </row>
    <row r="458" spans="4:4" x14ac:dyDescent="0.3">
      <c r="D458" s="79"/>
    </row>
    <row r="459" spans="4:4" x14ac:dyDescent="0.3">
      <c r="D459" s="79"/>
    </row>
    <row r="460" spans="4:4" x14ac:dyDescent="0.3">
      <c r="D460" s="79"/>
    </row>
    <row r="461" spans="4:4" x14ac:dyDescent="0.3">
      <c r="D461" s="79"/>
    </row>
    <row r="462" spans="4:4" x14ac:dyDescent="0.3">
      <c r="D462" s="79"/>
    </row>
    <row r="463" spans="4:4" x14ac:dyDescent="0.3">
      <c r="D463" s="79"/>
    </row>
    <row r="464" spans="4:4" x14ac:dyDescent="0.3">
      <c r="D464" s="79"/>
    </row>
    <row r="465" spans="4:4" x14ac:dyDescent="0.3">
      <c r="D465" s="79"/>
    </row>
    <row r="466" spans="4:4" x14ac:dyDescent="0.3">
      <c r="D466" s="79"/>
    </row>
    <row r="467" spans="4:4" x14ac:dyDescent="0.3">
      <c r="D467" s="79"/>
    </row>
    <row r="468" spans="4:4" x14ac:dyDescent="0.3">
      <c r="D468" s="79"/>
    </row>
    <row r="469" spans="4:4" x14ac:dyDescent="0.3">
      <c r="D469" s="79"/>
    </row>
    <row r="470" spans="4:4" x14ac:dyDescent="0.3">
      <c r="D470" s="79"/>
    </row>
    <row r="471" spans="4:4" x14ac:dyDescent="0.3">
      <c r="D471" s="79"/>
    </row>
    <row r="472" spans="4:4" x14ac:dyDescent="0.3">
      <c r="D472" s="79"/>
    </row>
    <row r="473" spans="4:4" x14ac:dyDescent="0.3">
      <c r="D473" s="79"/>
    </row>
    <row r="474" spans="4:4" x14ac:dyDescent="0.3">
      <c r="D474" s="79"/>
    </row>
    <row r="475" spans="4:4" x14ac:dyDescent="0.3">
      <c r="D475" s="79"/>
    </row>
    <row r="476" spans="4:4" x14ac:dyDescent="0.3">
      <c r="D476" s="79"/>
    </row>
    <row r="477" spans="4:4" x14ac:dyDescent="0.3">
      <c r="D477" s="79"/>
    </row>
    <row r="478" spans="4:4" x14ac:dyDescent="0.3">
      <c r="D478" s="79"/>
    </row>
    <row r="479" spans="4:4" x14ac:dyDescent="0.3">
      <c r="D479" s="79"/>
    </row>
    <row r="480" spans="4:4" x14ac:dyDescent="0.3">
      <c r="D480" s="79"/>
    </row>
    <row r="481" spans="4:4" x14ac:dyDescent="0.3">
      <c r="D481" s="79"/>
    </row>
    <row r="482" spans="4:4" x14ac:dyDescent="0.3">
      <c r="D482" s="79"/>
    </row>
    <row r="483" spans="4:4" x14ac:dyDescent="0.3">
      <c r="D483" s="79"/>
    </row>
    <row r="484" spans="4:4" x14ac:dyDescent="0.3">
      <c r="D484" s="79"/>
    </row>
    <row r="485" spans="4:4" x14ac:dyDescent="0.3">
      <c r="D485" s="79"/>
    </row>
    <row r="486" spans="4:4" x14ac:dyDescent="0.3">
      <c r="D486" s="79"/>
    </row>
    <row r="487" spans="4:4" x14ac:dyDescent="0.3">
      <c r="D487" s="79"/>
    </row>
    <row r="488" spans="4:4" x14ac:dyDescent="0.3">
      <c r="D488" s="79"/>
    </row>
    <row r="489" spans="4:4" x14ac:dyDescent="0.3">
      <c r="D489" s="79"/>
    </row>
    <row r="490" spans="4:4" x14ac:dyDescent="0.3">
      <c r="D490" s="79"/>
    </row>
    <row r="491" spans="4:4" x14ac:dyDescent="0.3">
      <c r="D491" s="79"/>
    </row>
    <row r="492" spans="4:4" x14ac:dyDescent="0.3">
      <c r="D492" s="79"/>
    </row>
    <row r="493" spans="4:4" x14ac:dyDescent="0.3">
      <c r="D493" s="79"/>
    </row>
    <row r="494" spans="4:4" x14ac:dyDescent="0.3">
      <c r="D494" s="79"/>
    </row>
    <row r="495" spans="4:4" x14ac:dyDescent="0.3">
      <c r="D495" s="79"/>
    </row>
    <row r="496" spans="4:4" x14ac:dyDescent="0.3">
      <c r="D496" s="79"/>
    </row>
    <row r="497" spans="4:4" x14ac:dyDescent="0.3">
      <c r="D497" s="79"/>
    </row>
    <row r="498" spans="4:4" x14ac:dyDescent="0.3">
      <c r="D498" s="79"/>
    </row>
    <row r="499" spans="4:4" x14ac:dyDescent="0.3">
      <c r="D499" s="79"/>
    </row>
    <row r="500" spans="4:4" x14ac:dyDescent="0.3">
      <c r="D500" s="79"/>
    </row>
    <row r="501" spans="4:4" x14ac:dyDescent="0.3">
      <c r="D501" s="79"/>
    </row>
    <row r="502" spans="4:4" x14ac:dyDescent="0.3">
      <c r="D502" s="79"/>
    </row>
    <row r="503" spans="4:4" x14ac:dyDescent="0.3">
      <c r="D503" s="79"/>
    </row>
    <row r="504" spans="4:4" x14ac:dyDescent="0.3">
      <c r="D504" s="79"/>
    </row>
    <row r="505" spans="4:4" x14ac:dyDescent="0.3">
      <c r="D505" s="79"/>
    </row>
    <row r="506" spans="4:4" x14ac:dyDescent="0.3">
      <c r="D506" s="79"/>
    </row>
    <row r="507" spans="4:4" x14ac:dyDescent="0.3">
      <c r="D507" s="79"/>
    </row>
    <row r="508" spans="4:4" x14ac:dyDescent="0.3">
      <c r="D508" s="79"/>
    </row>
    <row r="509" spans="4:4" x14ac:dyDescent="0.3">
      <c r="D509" s="79"/>
    </row>
    <row r="510" spans="4:4" x14ac:dyDescent="0.3">
      <c r="D510" s="79"/>
    </row>
    <row r="511" spans="4:4" x14ac:dyDescent="0.3">
      <c r="D511" s="79"/>
    </row>
    <row r="512" spans="4:4" x14ac:dyDescent="0.3">
      <c r="D512" s="79"/>
    </row>
    <row r="513" spans="4:4" x14ac:dyDescent="0.3">
      <c r="D513" s="79"/>
    </row>
    <row r="514" spans="4:4" x14ac:dyDescent="0.3">
      <c r="D514" s="79"/>
    </row>
    <row r="515" spans="4:4" x14ac:dyDescent="0.3">
      <c r="D515" s="79"/>
    </row>
    <row r="516" spans="4:4" x14ac:dyDescent="0.3">
      <c r="D516" s="79"/>
    </row>
    <row r="517" spans="4:4" x14ac:dyDescent="0.3">
      <c r="D517" s="79"/>
    </row>
    <row r="518" spans="4:4" x14ac:dyDescent="0.3">
      <c r="D518" s="79"/>
    </row>
    <row r="519" spans="4:4" x14ac:dyDescent="0.3">
      <c r="D519" s="79"/>
    </row>
    <row r="520" spans="4:4" x14ac:dyDescent="0.3">
      <c r="D520" s="79"/>
    </row>
    <row r="521" spans="4:4" x14ac:dyDescent="0.3">
      <c r="D521" s="79"/>
    </row>
    <row r="522" spans="4:4" x14ac:dyDescent="0.3">
      <c r="D522" s="79"/>
    </row>
    <row r="523" spans="4:4" x14ac:dyDescent="0.3">
      <c r="D523" s="79"/>
    </row>
    <row r="524" spans="4:4" x14ac:dyDescent="0.3">
      <c r="D524" s="79"/>
    </row>
    <row r="525" spans="4:4" x14ac:dyDescent="0.3">
      <c r="D525" s="79"/>
    </row>
    <row r="526" spans="4:4" x14ac:dyDescent="0.3">
      <c r="D526" s="79"/>
    </row>
    <row r="527" spans="4:4" x14ac:dyDescent="0.3">
      <c r="D527" s="79"/>
    </row>
    <row r="528" spans="4:4" x14ac:dyDescent="0.3">
      <c r="D528" s="79"/>
    </row>
    <row r="529" spans="4:4" x14ac:dyDescent="0.3">
      <c r="D529" s="79"/>
    </row>
    <row r="530" spans="4:4" x14ac:dyDescent="0.3">
      <c r="D530" s="79"/>
    </row>
    <row r="531" spans="4:4" x14ac:dyDescent="0.3">
      <c r="D531" s="79"/>
    </row>
    <row r="532" spans="4:4" x14ac:dyDescent="0.3">
      <c r="D532" s="79"/>
    </row>
    <row r="533" spans="4:4" x14ac:dyDescent="0.3">
      <c r="D533" s="79"/>
    </row>
    <row r="534" spans="4:4" x14ac:dyDescent="0.3">
      <c r="D534" s="79"/>
    </row>
    <row r="535" spans="4:4" x14ac:dyDescent="0.3">
      <c r="D535" s="79"/>
    </row>
    <row r="536" spans="4:4" x14ac:dyDescent="0.3">
      <c r="D536" s="79"/>
    </row>
    <row r="537" spans="4:4" x14ac:dyDescent="0.3">
      <c r="D537" s="79"/>
    </row>
    <row r="538" spans="4:4" x14ac:dyDescent="0.3">
      <c r="D538" s="79"/>
    </row>
    <row r="539" spans="4:4" x14ac:dyDescent="0.3">
      <c r="D539" s="79"/>
    </row>
    <row r="540" spans="4:4" x14ac:dyDescent="0.3">
      <c r="D540" s="79"/>
    </row>
    <row r="541" spans="4:4" x14ac:dyDescent="0.3">
      <c r="D541" s="79"/>
    </row>
    <row r="542" spans="4:4" x14ac:dyDescent="0.3">
      <c r="D542" s="79"/>
    </row>
    <row r="543" spans="4:4" x14ac:dyDescent="0.3">
      <c r="D543" s="79"/>
    </row>
    <row r="544" spans="4:4" x14ac:dyDescent="0.3">
      <c r="D544" s="79"/>
    </row>
    <row r="545" spans="4:4" x14ac:dyDescent="0.3">
      <c r="D545" s="79"/>
    </row>
    <row r="546" spans="4:4" x14ac:dyDescent="0.3">
      <c r="D546" s="79"/>
    </row>
    <row r="547" spans="4:4" x14ac:dyDescent="0.3">
      <c r="D547" s="79"/>
    </row>
    <row r="548" spans="4:4" x14ac:dyDescent="0.3">
      <c r="D548" s="79"/>
    </row>
    <row r="549" spans="4:4" x14ac:dyDescent="0.3">
      <c r="D549" s="79"/>
    </row>
    <row r="550" spans="4:4" x14ac:dyDescent="0.3">
      <c r="D550" s="79"/>
    </row>
    <row r="551" spans="4:4" x14ac:dyDescent="0.3">
      <c r="D551" s="79"/>
    </row>
    <row r="552" spans="4:4" x14ac:dyDescent="0.3">
      <c r="D552" s="79"/>
    </row>
    <row r="553" spans="4:4" x14ac:dyDescent="0.3">
      <c r="D553" s="79"/>
    </row>
    <row r="554" spans="4:4" x14ac:dyDescent="0.3">
      <c r="D554" s="79"/>
    </row>
    <row r="555" spans="4:4" x14ac:dyDescent="0.3">
      <c r="D555" s="79"/>
    </row>
    <row r="556" spans="4:4" x14ac:dyDescent="0.3">
      <c r="D556" s="79"/>
    </row>
    <row r="557" spans="4:4" x14ac:dyDescent="0.3">
      <c r="D557" s="79"/>
    </row>
    <row r="558" spans="4:4" x14ac:dyDescent="0.3">
      <c r="D558" s="79"/>
    </row>
    <row r="559" spans="4:4" x14ac:dyDescent="0.3">
      <c r="D559" s="79"/>
    </row>
    <row r="560" spans="4:4" x14ac:dyDescent="0.3">
      <c r="D560" s="79"/>
    </row>
    <row r="561" spans="4:4" x14ac:dyDescent="0.3">
      <c r="D561" s="79"/>
    </row>
    <row r="562" spans="4:4" x14ac:dyDescent="0.3">
      <c r="D562" s="79"/>
    </row>
    <row r="563" spans="4:4" x14ac:dyDescent="0.3">
      <c r="D563" s="79"/>
    </row>
    <row r="564" spans="4:4" x14ac:dyDescent="0.3">
      <c r="D564" s="79"/>
    </row>
    <row r="565" spans="4:4" x14ac:dyDescent="0.3">
      <c r="D565" s="79"/>
    </row>
    <row r="566" spans="4:4" x14ac:dyDescent="0.3">
      <c r="D566" s="79"/>
    </row>
    <row r="567" spans="4:4" x14ac:dyDescent="0.3">
      <c r="D567" s="79"/>
    </row>
    <row r="568" spans="4:4" x14ac:dyDescent="0.3">
      <c r="D568" s="79"/>
    </row>
    <row r="569" spans="4:4" x14ac:dyDescent="0.3">
      <c r="D569" s="79"/>
    </row>
    <row r="570" spans="4:4" x14ac:dyDescent="0.3">
      <c r="D570" s="79"/>
    </row>
    <row r="571" spans="4:4" x14ac:dyDescent="0.3">
      <c r="D571" s="79"/>
    </row>
    <row r="572" spans="4:4" x14ac:dyDescent="0.3">
      <c r="D572" s="79"/>
    </row>
    <row r="573" spans="4:4" x14ac:dyDescent="0.3">
      <c r="D573" s="79"/>
    </row>
    <row r="574" spans="4:4" x14ac:dyDescent="0.3">
      <c r="D574" s="79"/>
    </row>
    <row r="575" spans="4:4" x14ac:dyDescent="0.3">
      <c r="D575" s="79"/>
    </row>
    <row r="576" spans="4:4" x14ac:dyDescent="0.3">
      <c r="D576" s="79"/>
    </row>
    <row r="577" spans="4:4" x14ac:dyDescent="0.3">
      <c r="D577" s="79"/>
    </row>
    <row r="578" spans="4:4" x14ac:dyDescent="0.3">
      <c r="D578" s="79"/>
    </row>
    <row r="579" spans="4:4" x14ac:dyDescent="0.3">
      <c r="D579" s="79"/>
    </row>
    <row r="580" spans="4:4" x14ac:dyDescent="0.3">
      <c r="D580" s="79"/>
    </row>
    <row r="581" spans="4:4" x14ac:dyDescent="0.3">
      <c r="D581" s="79"/>
    </row>
    <row r="582" spans="4:4" x14ac:dyDescent="0.3">
      <c r="D582" s="79"/>
    </row>
    <row r="583" spans="4:4" x14ac:dyDescent="0.3">
      <c r="D583" s="79"/>
    </row>
    <row r="584" spans="4:4" x14ac:dyDescent="0.3">
      <c r="D584" s="79"/>
    </row>
    <row r="585" spans="4:4" x14ac:dyDescent="0.3">
      <c r="D585" s="79"/>
    </row>
    <row r="586" spans="4:4" x14ac:dyDescent="0.3">
      <c r="D586" s="79"/>
    </row>
    <row r="587" spans="4:4" x14ac:dyDescent="0.3">
      <c r="D587" s="79"/>
    </row>
    <row r="588" spans="4:4" x14ac:dyDescent="0.3">
      <c r="D588" s="79"/>
    </row>
    <row r="589" spans="4:4" x14ac:dyDescent="0.3">
      <c r="D589" s="79"/>
    </row>
    <row r="590" spans="4:4" x14ac:dyDescent="0.3">
      <c r="D590" s="79"/>
    </row>
    <row r="591" spans="4:4" x14ac:dyDescent="0.3">
      <c r="D591" s="79"/>
    </row>
    <row r="592" spans="4:4" x14ac:dyDescent="0.3">
      <c r="D592" s="79"/>
    </row>
    <row r="593" spans="4:4" x14ac:dyDescent="0.3">
      <c r="D593" s="79"/>
    </row>
    <row r="594" spans="4:4" x14ac:dyDescent="0.3">
      <c r="D594" s="79"/>
    </row>
    <row r="595" spans="4:4" x14ac:dyDescent="0.3">
      <c r="D595" s="79"/>
    </row>
    <row r="596" spans="4:4" x14ac:dyDescent="0.3">
      <c r="D596" s="79"/>
    </row>
    <row r="597" spans="4:4" x14ac:dyDescent="0.3">
      <c r="D597" s="79"/>
    </row>
    <row r="598" spans="4:4" x14ac:dyDescent="0.3">
      <c r="D598" s="79"/>
    </row>
    <row r="599" spans="4:4" x14ac:dyDescent="0.3">
      <c r="D599" s="79"/>
    </row>
    <row r="600" spans="4:4" x14ac:dyDescent="0.3">
      <c r="D600" s="79"/>
    </row>
    <row r="601" spans="4:4" x14ac:dyDescent="0.3">
      <c r="D601" s="79"/>
    </row>
    <row r="602" spans="4:4" x14ac:dyDescent="0.3">
      <c r="D602" s="79"/>
    </row>
    <row r="603" spans="4:4" x14ac:dyDescent="0.3">
      <c r="D603" s="79"/>
    </row>
    <row r="604" spans="4:4" x14ac:dyDescent="0.3">
      <c r="D604" s="79"/>
    </row>
    <row r="605" spans="4:4" x14ac:dyDescent="0.3">
      <c r="D605" s="79"/>
    </row>
    <row r="606" spans="4:4" x14ac:dyDescent="0.3">
      <c r="D606" s="79"/>
    </row>
    <row r="607" spans="4:4" x14ac:dyDescent="0.3">
      <c r="D607" s="79"/>
    </row>
    <row r="608" spans="4:4" x14ac:dyDescent="0.3">
      <c r="D608" s="79"/>
    </row>
    <row r="609" spans="4:4" x14ac:dyDescent="0.3">
      <c r="D609" s="79"/>
    </row>
    <row r="610" spans="4:4" x14ac:dyDescent="0.3">
      <c r="D610" s="79"/>
    </row>
    <row r="611" spans="4:4" x14ac:dyDescent="0.3">
      <c r="D611" s="79"/>
    </row>
    <row r="612" spans="4:4" x14ac:dyDescent="0.3">
      <c r="D612" s="79"/>
    </row>
    <row r="613" spans="4:4" x14ac:dyDescent="0.3">
      <c r="D613" s="79"/>
    </row>
    <row r="614" spans="4:4" x14ac:dyDescent="0.3">
      <c r="D614" s="79"/>
    </row>
    <row r="615" spans="4:4" x14ac:dyDescent="0.3">
      <c r="D615" s="79"/>
    </row>
    <row r="616" spans="4:4" x14ac:dyDescent="0.3">
      <c r="D616" s="79"/>
    </row>
    <row r="617" spans="4:4" x14ac:dyDescent="0.3">
      <c r="D617" s="79"/>
    </row>
    <row r="618" spans="4:4" x14ac:dyDescent="0.3">
      <c r="D618" s="79"/>
    </row>
    <row r="619" spans="4:4" x14ac:dyDescent="0.3">
      <c r="D619" s="79"/>
    </row>
    <row r="620" spans="4:4" x14ac:dyDescent="0.3">
      <c r="D620" s="79"/>
    </row>
    <row r="621" spans="4:4" x14ac:dyDescent="0.3">
      <c r="D621" s="79"/>
    </row>
    <row r="622" spans="4:4" x14ac:dyDescent="0.3">
      <c r="D622" s="79"/>
    </row>
    <row r="623" spans="4:4" x14ac:dyDescent="0.3">
      <c r="D623" s="79"/>
    </row>
    <row r="624" spans="4:4" x14ac:dyDescent="0.3">
      <c r="D624" s="79"/>
    </row>
    <row r="625" spans="4:4" x14ac:dyDescent="0.3">
      <c r="D625" s="79"/>
    </row>
    <row r="626" spans="4:4" x14ac:dyDescent="0.3">
      <c r="D626" s="79"/>
    </row>
    <row r="627" spans="4:4" x14ac:dyDescent="0.3">
      <c r="D627" s="79"/>
    </row>
    <row r="628" spans="4:4" x14ac:dyDescent="0.3">
      <c r="D628" s="79"/>
    </row>
    <row r="629" spans="4:4" x14ac:dyDescent="0.3">
      <c r="D629" s="79"/>
    </row>
    <row r="630" spans="4:4" x14ac:dyDescent="0.3">
      <c r="D630" s="79"/>
    </row>
    <row r="631" spans="4:4" x14ac:dyDescent="0.3">
      <c r="D631" s="79"/>
    </row>
    <row r="632" spans="4:4" x14ac:dyDescent="0.3">
      <c r="D632" s="79"/>
    </row>
    <row r="633" spans="4:4" x14ac:dyDescent="0.3">
      <c r="D633" s="79"/>
    </row>
    <row r="634" spans="4:4" x14ac:dyDescent="0.3">
      <c r="D634" s="79"/>
    </row>
    <row r="635" spans="4:4" x14ac:dyDescent="0.3">
      <c r="D635" s="79"/>
    </row>
    <row r="636" spans="4:4" x14ac:dyDescent="0.3">
      <c r="D636" s="79"/>
    </row>
    <row r="637" spans="4:4" x14ac:dyDescent="0.3">
      <c r="D637" s="79"/>
    </row>
    <row r="638" spans="4:4" x14ac:dyDescent="0.3">
      <c r="D638" s="79"/>
    </row>
    <row r="639" spans="4:4" x14ac:dyDescent="0.3">
      <c r="D639" s="79"/>
    </row>
    <row r="640" spans="4:4" x14ac:dyDescent="0.3">
      <c r="D640" s="79"/>
    </row>
    <row r="641" spans="4:4" x14ac:dyDescent="0.3">
      <c r="D641" s="79"/>
    </row>
    <row r="642" spans="4:4" x14ac:dyDescent="0.3">
      <c r="D642" s="79"/>
    </row>
    <row r="643" spans="4:4" x14ac:dyDescent="0.3">
      <c r="D643" s="79"/>
    </row>
    <row r="644" spans="4:4" x14ac:dyDescent="0.3">
      <c r="D644" s="79"/>
    </row>
    <row r="645" spans="4:4" x14ac:dyDescent="0.3">
      <c r="D645" s="79"/>
    </row>
    <row r="646" spans="4:4" x14ac:dyDescent="0.3">
      <c r="D646" s="79"/>
    </row>
    <row r="647" spans="4:4" x14ac:dyDescent="0.3">
      <c r="D647" s="79"/>
    </row>
    <row r="648" spans="4:4" x14ac:dyDescent="0.3">
      <c r="D648" s="79"/>
    </row>
    <row r="649" spans="4:4" x14ac:dyDescent="0.3">
      <c r="D649" s="79"/>
    </row>
    <row r="650" spans="4:4" x14ac:dyDescent="0.3">
      <c r="D650" s="79"/>
    </row>
    <row r="651" spans="4:4" x14ac:dyDescent="0.3">
      <c r="D651" s="79"/>
    </row>
    <row r="652" spans="4:4" x14ac:dyDescent="0.3">
      <c r="D652" s="79"/>
    </row>
    <row r="653" spans="4:4" x14ac:dyDescent="0.3">
      <c r="D653" s="79"/>
    </row>
    <row r="654" spans="4:4" x14ac:dyDescent="0.3">
      <c r="D654" s="79"/>
    </row>
    <row r="655" spans="4:4" x14ac:dyDescent="0.3">
      <c r="D655" s="79"/>
    </row>
    <row r="656" spans="4:4" x14ac:dyDescent="0.3">
      <c r="D656" s="79"/>
    </row>
    <row r="657" spans="4:4" x14ac:dyDescent="0.3">
      <c r="D657" s="79"/>
    </row>
    <row r="658" spans="4:4" x14ac:dyDescent="0.3">
      <c r="D658" s="79"/>
    </row>
    <row r="659" spans="4:4" x14ac:dyDescent="0.3">
      <c r="D659" s="79"/>
    </row>
    <row r="660" spans="4:4" x14ac:dyDescent="0.3">
      <c r="D660" s="79"/>
    </row>
    <row r="661" spans="4:4" x14ac:dyDescent="0.3">
      <c r="D661" s="79"/>
    </row>
    <row r="662" spans="4:4" x14ac:dyDescent="0.3">
      <c r="D662" s="79"/>
    </row>
    <row r="663" spans="4:4" x14ac:dyDescent="0.3">
      <c r="D663" s="79"/>
    </row>
    <row r="664" spans="4:4" x14ac:dyDescent="0.3">
      <c r="D664" s="79"/>
    </row>
    <row r="665" spans="4:4" x14ac:dyDescent="0.3">
      <c r="D665" s="79"/>
    </row>
    <row r="666" spans="4:4" x14ac:dyDescent="0.3">
      <c r="D666" s="79"/>
    </row>
    <row r="667" spans="4:4" x14ac:dyDescent="0.3">
      <c r="D667" s="79"/>
    </row>
    <row r="668" spans="4:4" x14ac:dyDescent="0.3">
      <c r="D668" s="79"/>
    </row>
    <row r="669" spans="4:4" x14ac:dyDescent="0.3">
      <c r="D669" s="79"/>
    </row>
    <row r="670" spans="4:4" x14ac:dyDescent="0.3">
      <c r="D670" s="79"/>
    </row>
    <row r="671" spans="4:4" x14ac:dyDescent="0.3">
      <c r="D671" s="79"/>
    </row>
    <row r="672" spans="4:4" x14ac:dyDescent="0.3">
      <c r="D672" s="79"/>
    </row>
    <row r="673" spans="4:4" x14ac:dyDescent="0.3">
      <c r="D673" s="79"/>
    </row>
    <row r="674" spans="4:4" x14ac:dyDescent="0.3">
      <c r="D674" s="79"/>
    </row>
    <row r="675" spans="4:4" x14ac:dyDescent="0.3">
      <c r="D675" s="79"/>
    </row>
    <row r="676" spans="4:4" x14ac:dyDescent="0.3">
      <c r="D676" s="79"/>
    </row>
    <row r="677" spans="4:4" x14ac:dyDescent="0.3">
      <c r="D677" s="79"/>
    </row>
    <row r="678" spans="4:4" x14ac:dyDescent="0.3">
      <c r="D678" s="79"/>
    </row>
    <row r="679" spans="4:4" x14ac:dyDescent="0.3">
      <c r="D679" s="79"/>
    </row>
    <row r="680" spans="4:4" x14ac:dyDescent="0.3">
      <c r="D680" s="79"/>
    </row>
    <row r="681" spans="4:4" x14ac:dyDescent="0.3">
      <c r="D681" s="79"/>
    </row>
    <row r="682" spans="4:4" x14ac:dyDescent="0.3">
      <c r="D682" s="79"/>
    </row>
    <row r="683" spans="4:4" x14ac:dyDescent="0.3">
      <c r="D683" s="79"/>
    </row>
    <row r="684" spans="4:4" x14ac:dyDescent="0.3">
      <c r="D684" s="79"/>
    </row>
    <row r="685" spans="4:4" x14ac:dyDescent="0.3">
      <c r="D685" s="79"/>
    </row>
    <row r="686" spans="4:4" x14ac:dyDescent="0.3">
      <c r="D686" s="79"/>
    </row>
    <row r="687" spans="4:4" x14ac:dyDescent="0.3">
      <c r="D687" s="79"/>
    </row>
    <row r="688" spans="4:4" x14ac:dyDescent="0.3">
      <c r="D688" s="79"/>
    </row>
    <row r="689" spans="4:4" x14ac:dyDescent="0.3">
      <c r="D689" s="79"/>
    </row>
    <row r="690" spans="4:4" x14ac:dyDescent="0.3">
      <c r="D690" s="79"/>
    </row>
    <row r="691" spans="4:4" x14ac:dyDescent="0.3">
      <c r="D691" s="79"/>
    </row>
    <row r="692" spans="4:4" x14ac:dyDescent="0.3">
      <c r="D692" s="79"/>
    </row>
    <row r="693" spans="4:4" x14ac:dyDescent="0.3">
      <c r="D693" s="79"/>
    </row>
    <row r="694" spans="4:4" x14ac:dyDescent="0.3">
      <c r="D694" s="79"/>
    </row>
    <row r="695" spans="4:4" x14ac:dyDescent="0.3">
      <c r="D695" s="79"/>
    </row>
    <row r="696" spans="4:4" x14ac:dyDescent="0.3">
      <c r="D696" s="79"/>
    </row>
    <row r="697" spans="4:4" x14ac:dyDescent="0.3">
      <c r="D697" s="79"/>
    </row>
    <row r="698" spans="4:4" x14ac:dyDescent="0.3">
      <c r="D698" s="79"/>
    </row>
    <row r="699" spans="4:4" x14ac:dyDescent="0.3">
      <c r="D699" s="79"/>
    </row>
    <row r="700" spans="4:4" x14ac:dyDescent="0.3">
      <c r="D700" s="79"/>
    </row>
    <row r="701" spans="4:4" x14ac:dyDescent="0.3">
      <c r="D701" s="79"/>
    </row>
    <row r="702" spans="4:4" x14ac:dyDescent="0.3">
      <c r="D702" s="79"/>
    </row>
    <row r="703" spans="4:4" x14ac:dyDescent="0.3">
      <c r="D703" s="79"/>
    </row>
    <row r="704" spans="4:4" x14ac:dyDescent="0.3">
      <c r="D704" s="79"/>
    </row>
    <row r="705" spans="4:4" x14ac:dyDescent="0.3">
      <c r="D705" s="79"/>
    </row>
    <row r="706" spans="4:4" x14ac:dyDescent="0.3">
      <c r="D706" s="79"/>
    </row>
    <row r="707" spans="4:4" x14ac:dyDescent="0.3">
      <c r="D707" s="79"/>
    </row>
    <row r="708" spans="4:4" x14ac:dyDescent="0.3">
      <c r="D708" s="79"/>
    </row>
    <row r="709" spans="4:4" x14ac:dyDescent="0.3">
      <c r="D709" s="79"/>
    </row>
    <row r="710" spans="4:4" x14ac:dyDescent="0.3">
      <c r="D710" s="79"/>
    </row>
    <row r="711" spans="4:4" x14ac:dyDescent="0.3">
      <c r="D711" s="79"/>
    </row>
    <row r="712" spans="4:4" x14ac:dyDescent="0.3">
      <c r="D712" s="79"/>
    </row>
    <row r="713" spans="4:4" x14ac:dyDescent="0.3">
      <c r="D713" s="79"/>
    </row>
    <row r="714" spans="4:4" x14ac:dyDescent="0.3">
      <c r="D714" s="79"/>
    </row>
    <row r="715" spans="4:4" x14ac:dyDescent="0.3">
      <c r="D715" s="79"/>
    </row>
    <row r="716" spans="4:4" x14ac:dyDescent="0.3">
      <c r="D716" s="79"/>
    </row>
    <row r="717" spans="4:4" x14ac:dyDescent="0.3">
      <c r="D717" s="79"/>
    </row>
    <row r="718" spans="4:4" x14ac:dyDescent="0.3">
      <c r="D718" s="79"/>
    </row>
    <row r="719" spans="4:4" x14ac:dyDescent="0.3">
      <c r="D719" s="79"/>
    </row>
    <row r="720" spans="4:4" x14ac:dyDescent="0.3">
      <c r="D720" s="79"/>
    </row>
    <row r="721" spans="4:4" x14ac:dyDescent="0.3">
      <c r="D721" s="79"/>
    </row>
    <row r="722" spans="4:4" x14ac:dyDescent="0.3">
      <c r="D722" s="79"/>
    </row>
    <row r="723" spans="4:4" x14ac:dyDescent="0.3">
      <c r="D723" s="79"/>
    </row>
    <row r="724" spans="4:4" x14ac:dyDescent="0.3">
      <c r="D724" s="79"/>
    </row>
    <row r="725" spans="4:4" x14ac:dyDescent="0.3">
      <c r="D725" s="79"/>
    </row>
    <row r="726" spans="4:4" x14ac:dyDescent="0.3">
      <c r="D726" s="79"/>
    </row>
    <row r="727" spans="4:4" x14ac:dyDescent="0.3">
      <c r="D727" s="79"/>
    </row>
    <row r="728" spans="4:4" x14ac:dyDescent="0.3">
      <c r="D728" s="79"/>
    </row>
    <row r="729" spans="4:4" x14ac:dyDescent="0.3">
      <c r="D729" s="79"/>
    </row>
    <row r="730" spans="4:4" x14ac:dyDescent="0.3">
      <c r="D730" s="79"/>
    </row>
    <row r="731" spans="4:4" x14ac:dyDescent="0.3">
      <c r="D731" s="79"/>
    </row>
    <row r="732" spans="4:4" x14ac:dyDescent="0.3">
      <c r="D732" s="79"/>
    </row>
    <row r="733" spans="4:4" x14ac:dyDescent="0.3">
      <c r="D733" s="79"/>
    </row>
    <row r="734" spans="4:4" x14ac:dyDescent="0.3">
      <c r="D734" s="79"/>
    </row>
    <row r="735" spans="4:4" x14ac:dyDescent="0.3">
      <c r="D735" s="79"/>
    </row>
    <row r="736" spans="4:4" x14ac:dyDescent="0.3">
      <c r="D736" s="79"/>
    </row>
    <row r="737" spans="4:4" x14ac:dyDescent="0.3">
      <c r="D737" s="79"/>
    </row>
    <row r="738" spans="4:4" x14ac:dyDescent="0.3">
      <c r="D738" s="79"/>
    </row>
    <row r="739" spans="4:4" x14ac:dyDescent="0.3">
      <c r="D739" s="79"/>
    </row>
    <row r="740" spans="4:4" x14ac:dyDescent="0.3">
      <c r="D740" s="79"/>
    </row>
    <row r="741" spans="4:4" x14ac:dyDescent="0.3">
      <c r="D741" s="79"/>
    </row>
    <row r="742" spans="4:4" x14ac:dyDescent="0.3">
      <c r="D742" s="79"/>
    </row>
    <row r="743" spans="4:4" x14ac:dyDescent="0.3">
      <c r="D743" s="79"/>
    </row>
    <row r="744" spans="4:4" x14ac:dyDescent="0.3">
      <c r="D744" s="79"/>
    </row>
  </sheetData>
  <sheetProtection formatCells="0" formatColumns="0" formatRows="0"/>
  <conditionalFormatting sqref="G33">
    <cfRule type="cellIs" dxfId="52" priority="93" stopIfTrue="1" operator="notEqual">
      <formula>0</formula>
    </cfRule>
  </conditionalFormatting>
  <conditionalFormatting sqref="G34">
    <cfRule type="cellIs" dxfId="51" priority="92" stopIfTrue="1" operator="notEqual">
      <formula>0</formula>
    </cfRule>
  </conditionalFormatting>
  <conditionalFormatting sqref="G65">
    <cfRule type="cellIs" dxfId="50" priority="91" stopIfTrue="1" operator="notEqual">
      <formula>0</formula>
    </cfRule>
  </conditionalFormatting>
  <conditionalFormatting sqref="G79">
    <cfRule type="cellIs" dxfId="49" priority="90" stopIfTrue="1" operator="notEqual">
      <formula>0</formula>
    </cfRule>
  </conditionalFormatting>
  <conditionalFormatting sqref="G80:G90">
    <cfRule type="cellIs" dxfId="48" priority="89" stopIfTrue="1" operator="notEqual">
      <formula>0</formula>
    </cfRule>
  </conditionalFormatting>
  <conditionalFormatting sqref="G133">
    <cfRule type="cellIs" dxfId="47" priority="88" stopIfTrue="1" operator="notEqual">
      <formula>0</formula>
    </cfRule>
  </conditionalFormatting>
  <conditionalFormatting sqref="G151">
    <cfRule type="cellIs" dxfId="46" priority="87" stopIfTrue="1" operator="notEqual">
      <formula>0</formula>
    </cfRule>
  </conditionalFormatting>
  <conditionalFormatting sqref="G163">
    <cfRule type="cellIs" dxfId="45" priority="86" stopIfTrue="1" operator="notEqual">
      <formula>0</formula>
    </cfRule>
  </conditionalFormatting>
  <conditionalFormatting sqref="G164">
    <cfRule type="cellIs" dxfId="44" priority="85" stopIfTrue="1" operator="notEqual">
      <formula>0</formula>
    </cfRule>
  </conditionalFormatting>
  <conditionalFormatting sqref="G178">
    <cfRule type="cellIs" dxfId="43" priority="84" stopIfTrue="1" operator="notEqual">
      <formula>0</formula>
    </cfRule>
  </conditionalFormatting>
  <conditionalFormatting sqref="G179">
    <cfRule type="cellIs" dxfId="42" priority="83" stopIfTrue="1" operator="notEqual">
      <formula>0</formula>
    </cfRule>
  </conditionalFormatting>
  <conditionalFormatting sqref="H237:H239">
    <cfRule type="cellIs" priority="79" stopIfTrue="1" operator="equal">
      <formula>";;;"</formula>
    </cfRule>
  </conditionalFormatting>
  <conditionalFormatting sqref="H237">
    <cfRule type="cellIs" dxfId="41" priority="78" stopIfTrue="1" operator="equal">
      <formula>0</formula>
    </cfRule>
  </conditionalFormatting>
  <conditionalFormatting sqref="H238">
    <cfRule type="cellIs" dxfId="40" priority="77" stopIfTrue="1" operator="equal">
      <formula>0</formula>
    </cfRule>
  </conditionalFormatting>
  <conditionalFormatting sqref="H239">
    <cfRule type="cellIs" dxfId="39" priority="76" stopIfTrue="1" operator="equal">
      <formula>0</formula>
    </cfRule>
  </conditionalFormatting>
  <conditionalFormatting sqref="H239">
    <cfRule type="cellIs" dxfId="38" priority="75" stopIfTrue="1" operator="equal">
      <formula>0</formula>
    </cfRule>
  </conditionalFormatting>
  <conditionalFormatting sqref="H237">
    <cfRule type="cellIs" dxfId="37" priority="74" stopIfTrue="1" operator="equal">
      <formula>0</formula>
    </cfRule>
  </conditionalFormatting>
  <conditionalFormatting sqref="G21">
    <cfRule type="cellIs" dxfId="36" priority="73" stopIfTrue="1" operator="notEqual">
      <formula>0</formula>
    </cfRule>
  </conditionalFormatting>
  <conditionalFormatting sqref="G7">
    <cfRule type="containsText" dxfId="35" priority="71" stopIfTrue="1" operator="containsText" text="Included in error count">
      <formula>NOT(ISERROR(SEARCH("Included in error count",G7)))</formula>
    </cfRule>
    <cfRule type="cellIs" dxfId="34" priority="72" stopIfTrue="1" operator="equal">
      <formula>1</formula>
    </cfRule>
  </conditionalFormatting>
  <conditionalFormatting sqref="G55">
    <cfRule type="containsText" dxfId="33" priority="69" stopIfTrue="1" operator="containsText" text="Included in error count">
      <formula>NOT(ISERROR(SEARCH("Included in error count",G55)))</formula>
    </cfRule>
    <cfRule type="cellIs" dxfId="32" priority="70" stopIfTrue="1" operator="equal">
      <formula>1</formula>
    </cfRule>
  </conditionalFormatting>
  <conditionalFormatting sqref="G120:G121">
    <cfRule type="containsText" dxfId="31" priority="67" stopIfTrue="1" operator="containsText" text="Included in error count">
      <formula>NOT(ISERROR(SEARCH("Included in error count",G120)))</formula>
    </cfRule>
    <cfRule type="cellIs" dxfId="30" priority="68" stopIfTrue="1" operator="equal">
      <formula>1</formula>
    </cfRule>
  </conditionalFormatting>
  <conditionalFormatting sqref="G122">
    <cfRule type="containsText" dxfId="29" priority="65" stopIfTrue="1" operator="containsText" text="Included in error count">
      <formula>NOT(ISERROR(SEARCH("Included in error count",G122)))</formula>
    </cfRule>
    <cfRule type="cellIs" dxfId="28" priority="66" stopIfTrue="1" operator="equal">
      <formula>1</formula>
    </cfRule>
  </conditionalFormatting>
  <conditionalFormatting sqref="G131">
    <cfRule type="containsText" dxfId="27" priority="61" stopIfTrue="1" operator="containsText" text="Included in error count">
      <formula>NOT(ISERROR(SEARCH("Included in error count",G131)))</formula>
    </cfRule>
    <cfRule type="cellIs" dxfId="26" priority="62" stopIfTrue="1" operator="equal">
      <formula>1</formula>
    </cfRule>
  </conditionalFormatting>
  <conditionalFormatting sqref="G153">
    <cfRule type="containsText" dxfId="25" priority="57" stopIfTrue="1" operator="containsText" text="Included in error count">
      <formula>NOT(ISERROR(SEARCH("Included in error count",G153)))</formula>
    </cfRule>
    <cfRule type="cellIs" dxfId="24" priority="58" stopIfTrue="1" operator="equal">
      <formula>1</formula>
    </cfRule>
  </conditionalFormatting>
  <conditionalFormatting sqref="G237">
    <cfRule type="containsText" dxfId="23" priority="46" stopIfTrue="1" operator="containsText" text="Included in error count">
      <formula>NOT(ISERROR(SEARCH("Included in error count",G237)))</formula>
    </cfRule>
    <cfRule type="cellIs" dxfId="22" priority="47" stopIfTrue="1" operator="equal">
      <formula>1</formula>
    </cfRule>
  </conditionalFormatting>
  <conditionalFormatting sqref="G238">
    <cfRule type="containsText" dxfId="21" priority="44" stopIfTrue="1" operator="containsText" text="Included in error count">
      <formula>NOT(ISERROR(SEARCH("Included in error count",G238)))</formula>
    </cfRule>
    <cfRule type="cellIs" dxfId="20" priority="45" stopIfTrue="1" operator="equal">
      <formula>1</formula>
    </cfRule>
  </conditionalFormatting>
  <conditionalFormatting sqref="G239">
    <cfRule type="containsText" dxfId="19" priority="42" stopIfTrue="1" operator="containsText" text="Included in error count">
      <formula>NOT(ISERROR(SEARCH("Included in error count",G239)))</formula>
    </cfRule>
    <cfRule type="cellIs" dxfId="18" priority="43" stopIfTrue="1" operator="equal">
      <formula>1</formula>
    </cfRule>
  </conditionalFormatting>
  <conditionalFormatting sqref="G168">
    <cfRule type="containsText" dxfId="17" priority="40" stopIfTrue="1" operator="containsText" text="Included in error count">
      <formula>NOT(ISERROR(SEARCH("Included in error count",G168)))</formula>
    </cfRule>
    <cfRule type="cellIs" dxfId="16"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11"/>
  <sheetViews>
    <sheetView showGridLines="0" zoomScale="70" zoomScaleNormal="70" workbookViewId="0">
      <selection activeCell="A2" sqref="A2:H2"/>
    </sheetView>
  </sheetViews>
  <sheetFormatPr defaultColWidth="9.109375" defaultRowHeight="14.4" x14ac:dyDescent="0.3"/>
  <cols>
    <col min="1" max="1" width="44.5546875" style="954" customWidth="1"/>
    <col min="2" max="2" width="17.109375" style="954" customWidth="1"/>
    <col min="3" max="3" width="19" style="954" customWidth="1"/>
    <col min="4" max="4" width="19.109375" style="954" customWidth="1"/>
    <col min="5" max="5" width="15.109375" style="954" customWidth="1"/>
    <col min="6" max="6" width="12.88671875" style="954" customWidth="1"/>
    <col min="7" max="7" width="43.88671875" style="975" hidden="1" customWidth="1"/>
    <col min="8" max="8" width="77.5546875" style="954" customWidth="1"/>
    <col min="9" max="9" width="91" style="955" customWidth="1"/>
    <col min="10" max="10" width="46.109375" style="955" customWidth="1"/>
    <col min="11" max="11" width="9.109375" style="955" hidden="1" customWidth="1"/>
    <col min="12" max="12" width="36.88671875" style="270" hidden="1" customWidth="1"/>
    <col min="13" max="14" width="15.6640625" style="270" hidden="1" customWidth="1"/>
    <col min="15" max="15" width="56.33203125" style="270" customWidth="1"/>
    <col min="16" max="16" width="11.109375" style="953" customWidth="1"/>
    <col min="17" max="18" width="9.109375" style="954" customWidth="1"/>
    <col min="19" max="16384" width="9.109375" style="954"/>
  </cols>
  <sheetData>
    <row r="1" spans="1:81" ht="40.5" customHeight="1" thickBot="1" x14ac:dyDescent="0.35">
      <c r="A1" s="1154" t="s">
        <v>1315</v>
      </c>
      <c r="B1" s="1155"/>
      <c r="C1" s="1155"/>
      <c r="D1" s="1155"/>
      <c r="E1" s="1155"/>
      <c r="F1" s="1155"/>
      <c r="G1" s="1155"/>
      <c r="H1" s="1156"/>
      <c r="I1" s="1136" t="s">
        <v>1326</v>
      </c>
      <c r="J1" s="1137"/>
      <c r="K1" s="969"/>
    </row>
    <row r="2" spans="1:81" ht="72" customHeight="1" thickBot="1" x14ac:dyDescent="0.35">
      <c r="A2" s="1157" t="s">
        <v>1316</v>
      </c>
      <c r="B2" s="1158"/>
      <c r="C2" s="1158"/>
      <c r="D2" s="1158"/>
      <c r="E2" s="1158"/>
      <c r="F2" s="1158"/>
      <c r="G2" s="1158"/>
      <c r="H2" s="1159"/>
      <c r="I2" s="1138" t="s">
        <v>1325</v>
      </c>
      <c r="J2" s="1142" t="s">
        <v>1049</v>
      </c>
      <c r="K2" s="978"/>
    </row>
    <row r="3" spans="1:81" ht="15" customHeight="1" x14ac:dyDescent="0.3">
      <c r="A3" s="1068" t="s">
        <v>739</v>
      </c>
      <c r="B3" s="965"/>
      <c r="C3" s="965"/>
      <c r="D3" s="965"/>
      <c r="E3" s="1069"/>
      <c r="F3" s="1069"/>
      <c r="G3" s="1160"/>
      <c r="H3" s="1161"/>
      <c r="I3" s="1139"/>
      <c r="J3" s="1143"/>
      <c r="K3" s="978"/>
    </row>
    <row r="4" spans="1:81" ht="21.75" customHeight="1" x14ac:dyDescent="0.3">
      <c r="A4" s="956" t="s">
        <v>809</v>
      </c>
      <c r="B4" s="1162" t="str">
        <f>'Unit Data from Audit Worksheet'!D2</f>
        <v>Select Unit Name from Drop Down List</v>
      </c>
      <c r="C4" s="1162"/>
      <c r="D4" s="1162"/>
      <c r="E4" s="1163" t="s">
        <v>1317</v>
      </c>
      <c r="F4" s="1164"/>
      <c r="G4" s="957"/>
      <c r="H4" s="1167" t="s">
        <v>742</v>
      </c>
      <c r="I4" s="1140"/>
      <c r="J4" s="1143"/>
      <c r="K4" s="979"/>
      <c r="L4" s="958"/>
    </row>
    <row r="5" spans="1:81" ht="22.5" customHeight="1" thickBot="1" x14ac:dyDescent="0.35">
      <c r="A5" s="959" t="s">
        <v>741</v>
      </c>
      <c r="B5" s="1169" t="e">
        <f>'Unit Data from Audit Worksheet'!D3</f>
        <v>#N/A</v>
      </c>
      <c r="C5" s="1169"/>
      <c r="D5" s="1169"/>
      <c r="E5" s="1165"/>
      <c r="F5" s="1166"/>
      <c r="G5" s="960"/>
      <c r="H5" s="1168"/>
      <c r="I5" s="1141"/>
      <c r="J5" s="1144"/>
      <c r="K5" s="952"/>
      <c r="L5" s="170" t="s">
        <v>773</v>
      </c>
    </row>
    <row r="6" spans="1:81" s="270" customFormat="1" ht="18.600000000000001" thickBot="1" x14ac:dyDescent="0.35">
      <c r="A6" s="1148" t="s">
        <v>1319</v>
      </c>
      <c r="B6" s="1151"/>
      <c r="C6" s="1152"/>
      <c r="D6" s="283" t="s">
        <v>1318</v>
      </c>
      <c r="E6" s="284" t="s">
        <v>1320</v>
      </c>
      <c r="F6" s="965"/>
      <c r="G6" s="966"/>
      <c r="H6" s="967"/>
      <c r="I6" s="983"/>
      <c r="J6" s="967"/>
      <c r="K6" s="952"/>
      <c r="P6" s="953"/>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954"/>
      <c r="BF6" s="954"/>
      <c r="BG6" s="954"/>
      <c r="BH6" s="954"/>
      <c r="BI6" s="954"/>
      <c r="BJ6" s="954"/>
      <c r="BK6" s="954"/>
      <c r="BL6" s="954"/>
      <c r="BM6" s="954"/>
      <c r="BN6" s="954"/>
      <c r="BO6" s="954"/>
      <c r="BP6" s="954"/>
      <c r="BQ6" s="954"/>
      <c r="BR6" s="954"/>
      <c r="BS6" s="954"/>
      <c r="BT6" s="954"/>
      <c r="BU6" s="954"/>
      <c r="BV6" s="954"/>
      <c r="BW6" s="954"/>
      <c r="BX6" s="954"/>
      <c r="BY6" s="954"/>
      <c r="BZ6" s="954"/>
      <c r="CA6" s="954"/>
      <c r="CB6" s="954"/>
      <c r="CC6" s="954"/>
    </row>
    <row r="7" spans="1:81" s="270" customFormat="1" ht="92.25" customHeight="1" thickBot="1" x14ac:dyDescent="0.35">
      <c r="A7" s="1153" t="s">
        <v>1328</v>
      </c>
      <c r="B7" s="1153"/>
      <c r="C7" s="1153"/>
      <c r="D7" s="968" t="b">
        <f>IF(Import!L258=1,"Yes",IF(Import!L258=2,"No"))</f>
        <v>0</v>
      </c>
      <c r="E7" s="962" t="s">
        <v>1329</v>
      </c>
      <c r="F7" s="968" t="b">
        <f>D7</f>
        <v>0</v>
      </c>
      <c r="G7" s="963"/>
      <c r="H7" s="980" t="s">
        <v>1321</v>
      </c>
      <c r="I7" s="981" t="s">
        <v>762</v>
      </c>
      <c r="J7" s="982"/>
      <c r="K7" s="952"/>
      <c r="P7" s="953"/>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954"/>
      <c r="BI7" s="954"/>
      <c r="BJ7" s="954"/>
      <c r="BK7" s="954"/>
      <c r="BL7" s="954"/>
      <c r="BM7" s="954"/>
      <c r="BN7" s="954"/>
      <c r="BO7" s="954"/>
      <c r="BP7" s="954"/>
      <c r="BQ7" s="954"/>
      <c r="BR7" s="954"/>
      <c r="BS7" s="954"/>
      <c r="BT7" s="954"/>
      <c r="BU7" s="954"/>
      <c r="BV7" s="954"/>
      <c r="BW7" s="954"/>
      <c r="BX7" s="954"/>
      <c r="BY7" s="954"/>
      <c r="BZ7" s="954"/>
      <c r="CA7" s="954"/>
      <c r="CB7" s="954"/>
      <c r="CC7" s="954"/>
    </row>
    <row r="8" spans="1:81" s="270" customFormat="1" ht="66.75" customHeight="1" thickBot="1" x14ac:dyDescent="0.35">
      <c r="A8" s="1148" t="s">
        <v>984</v>
      </c>
      <c r="B8" s="1149"/>
      <c r="C8" s="1150"/>
      <c r="D8" s="964" t="str">
        <f>IF(Import!L257=1,"Yes",IF(Import!L257=2,"No",IF(Import!L257="0","This question must be answered")))</f>
        <v>This question must be answered</v>
      </c>
      <c r="E8" s="970"/>
      <c r="F8" s="964" t="str">
        <f>+D8</f>
        <v>This question must be answered</v>
      </c>
      <c r="G8" s="963"/>
      <c r="H8" s="977" t="s">
        <v>1322</v>
      </c>
      <c r="I8" s="984" t="s">
        <v>766</v>
      </c>
      <c r="J8" s="982"/>
      <c r="K8" s="952"/>
      <c r="P8" s="953"/>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c r="BE8" s="954"/>
      <c r="BF8" s="954"/>
      <c r="BG8" s="954"/>
      <c r="BH8" s="954"/>
      <c r="BI8" s="954"/>
      <c r="BJ8" s="954"/>
      <c r="BK8" s="954"/>
      <c r="BL8" s="954"/>
      <c r="BM8" s="954"/>
      <c r="BN8" s="954"/>
      <c r="BO8" s="954"/>
      <c r="BP8" s="954"/>
      <c r="BQ8" s="954"/>
      <c r="BR8" s="954"/>
      <c r="BS8" s="954"/>
      <c r="BT8" s="954"/>
      <c r="BU8" s="954"/>
      <c r="BV8" s="954"/>
      <c r="BW8" s="954"/>
      <c r="BX8" s="954"/>
      <c r="BY8" s="954"/>
      <c r="BZ8" s="954"/>
      <c r="CA8" s="954"/>
      <c r="CB8" s="954"/>
      <c r="CC8" s="954"/>
    </row>
    <row r="9" spans="1:81" s="270" customFormat="1" ht="69" customHeight="1" thickBot="1" x14ac:dyDescent="0.35">
      <c r="A9" s="1145" t="s">
        <v>1001</v>
      </c>
      <c r="B9" s="1146"/>
      <c r="C9" s="1147"/>
      <c r="D9" s="964" t="str">
        <f>IF(Import!L253=1,"Yes",IF(Import!L253=2,"No",IF(Import!L253=3,"N/A",IF(Import!L253=0,"This question must be answered"))))</f>
        <v>This question must be answered</v>
      </c>
      <c r="E9" s="970"/>
      <c r="F9" s="964" t="str">
        <f>D9</f>
        <v>This question must be answered</v>
      </c>
      <c r="G9" s="963"/>
      <c r="H9" s="977" t="s">
        <v>1323</v>
      </c>
      <c r="I9" s="981" t="s">
        <v>1002</v>
      </c>
      <c r="J9" s="982"/>
      <c r="K9" s="952"/>
      <c r="P9" s="953"/>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4"/>
      <c r="AY9" s="954"/>
      <c r="AZ9" s="954"/>
      <c r="BA9" s="954"/>
      <c r="BB9" s="954"/>
      <c r="BC9" s="954"/>
      <c r="BD9" s="954"/>
      <c r="BE9" s="954"/>
      <c r="BF9" s="954"/>
      <c r="BG9" s="954"/>
      <c r="BH9" s="954"/>
      <c r="BI9" s="954"/>
      <c r="BJ9" s="954"/>
      <c r="BK9" s="954"/>
      <c r="BL9" s="954"/>
      <c r="BM9" s="954"/>
      <c r="BN9" s="954"/>
      <c r="BO9" s="954"/>
      <c r="BP9" s="954"/>
      <c r="BQ9" s="954"/>
      <c r="BR9" s="954"/>
      <c r="BS9" s="954"/>
      <c r="BT9" s="954"/>
      <c r="BU9" s="954"/>
      <c r="BV9" s="954"/>
      <c r="BW9" s="954"/>
      <c r="BX9" s="954"/>
      <c r="BY9" s="954"/>
      <c r="BZ9" s="954"/>
      <c r="CA9" s="954"/>
      <c r="CB9" s="954"/>
      <c r="CC9" s="954"/>
    </row>
    <row r="10" spans="1:81" s="270" customFormat="1" ht="68.25" customHeight="1" thickBot="1" x14ac:dyDescent="0.35">
      <c r="A10" s="1145" t="s">
        <v>744</v>
      </c>
      <c r="B10" s="1146"/>
      <c r="C10" s="1147"/>
      <c r="D10" s="971" t="e">
        <f>+M10+N10+L10+Import!L250+Import!L251+Import!L254</f>
        <v>#VALUE!</v>
      </c>
      <c r="E10" s="970"/>
      <c r="F10" s="972"/>
      <c r="G10" s="963"/>
      <c r="H10" s="977" t="s">
        <v>1324</v>
      </c>
      <c r="I10" s="981" t="s">
        <v>763</v>
      </c>
      <c r="J10" s="982"/>
      <c r="K10" s="952"/>
      <c r="L10" s="961">
        <f>IF(Import!L247=1,1,0)</f>
        <v>0</v>
      </c>
      <c r="M10" s="961">
        <f>IF(Import!L248=1,1,0)</f>
        <v>0</v>
      </c>
      <c r="N10" s="961">
        <f>IF(Import!L249=1,1,0)</f>
        <v>0</v>
      </c>
      <c r="P10" s="953"/>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4"/>
      <c r="BJ10" s="954"/>
      <c r="BK10" s="954"/>
      <c r="BL10" s="954"/>
      <c r="BM10" s="954"/>
      <c r="BN10" s="954"/>
      <c r="BO10" s="954"/>
      <c r="BP10" s="954"/>
      <c r="BQ10" s="954"/>
      <c r="BR10" s="954"/>
      <c r="BS10" s="954"/>
      <c r="BT10" s="954"/>
      <c r="BU10" s="954"/>
      <c r="BV10" s="954"/>
      <c r="BW10" s="954"/>
      <c r="BX10" s="954"/>
      <c r="BY10" s="954"/>
      <c r="BZ10" s="954"/>
      <c r="CA10" s="954"/>
      <c r="CB10" s="954"/>
      <c r="CC10" s="954"/>
    </row>
    <row r="11" spans="1:81" s="955" customFormat="1" x14ac:dyDescent="0.3">
      <c r="A11" s="973"/>
      <c r="B11" s="973"/>
      <c r="C11" s="973"/>
      <c r="D11" s="973"/>
      <c r="E11" s="973"/>
      <c r="F11" s="973"/>
      <c r="G11" s="974"/>
      <c r="H11" s="973"/>
      <c r="I11" s="976"/>
      <c r="J11" s="976"/>
      <c r="L11" s="270"/>
      <c r="M11" s="270"/>
      <c r="N11" s="270"/>
      <c r="O11" s="270"/>
      <c r="P11" s="953"/>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4"/>
      <c r="BJ11" s="954"/>
      <c r="BK11" s="954"/>
      <c r="BL11" s="954"/>
      <c r="BM11" s="954"/>
      <c r="BN11" s="954"/>
      <c r="BO11" s="954"/>
      <c r="BP11" s="954"/>
      <c r="BQ11" s="954"/>
      <c r="BR11" s="954"/>
      <c r="BS11" s="954"/>
      <c r="BT11" s="954"/>
      <c r="BU11" s="954"/>
      <c r="BV11" s="954"/>
      <c r="BW11" s="954"/>
      <c r="BX11" s="954"/>
      <c r="BY11" s="954"/>
      <c r="BZ11" s="954"/>
      <c r="CA11" s="954"/>
      <c r="CB11" s="954"/>
      <c r="CC11" s="954"/>
    </row>
  </sheetData>
  <mergeCells count="15">
    <mergeCell ref="I1:J1"/>
    <mergeCell ref="I2:I5"/>
    <mergeCell ref="J2:J5"/>
    <mergeCell ref="A10:C10"/>
    <mergeCell ref="A8:C8"/>
    <mergeCell ref="A9:C9"/>
    <mergeCell ref="A6:C6"/>
    <mergeCell ref="A7:C7"/>
    <mergeCell ref="A1:H1"/>
    <mergeCell ref="A2:H2"/>
    <mergeCell ref="G3:H3"/>
    <mergeCell ref="B4:D4"/>
    <mergeCell ref="E4:F5"/>
    <mergeCell ref="H4:H5"/>
    <mergeCell ref="B5:D5"/>
  </mergeCells>
  <conditionalFormatting sqref="F7">
    <cfRule type="cellIs" dxfId="15" priority="21" operator="equal">
      <formula>"No"</formula>
    </cfRule>
  </conditionalFormatting>
  <conditionalFormatting sqref="F8">
    <cfRule type="cellIs" dxfId="14" priority="18" operator="equal">
      <formula>"Yes"</formula>
    </cfRule>
  </conditionalFormatting>
  <conditionalFormatting sqref="F9">
    <cfRule type="cellIs" dxfId="13" priority="17" operator="equal">
      <formula>"Yes"</formula>
    </cfRule>
  </conditionalFormatting>
  <conditionalFormatting sqref="F10">
    <cfRule type="expression" dxfId="12" priority="9">
      <formula>$D$10&gt;0</formula>
    </cfRule>
  </conditionalFormatting>
  <pageMargins left="0.25" right="0.25" top="0.05" bottom="0.0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24"/>
  <sheetViews>
    <sheetView showGridLines="0" zoomScale="80" zoomScaleNormal="80" workbookViewId="0">
      <pane ySplit="4" topLeftCell="A11" activePane="bottomLeft" state="frozen"/>
      <selection activeCell="A2" sqref="A2:H2"/>
      <selection pane="bottomLeft" activeCell="A2" sqref="A2:H2"/>
    </sheetView>
  </sheetViews>
  <sheetFormatPr defaultColWidth="9.109375" defaultRowHeight="14.4" x14ac:dyDescent="0.3"/>
  <cols>
    <col min="1" max="1" width="44.5546875" style="488" customWidth="1"/>
    <col min="2" max="2" width="17.33203125" style="488" customWidth="1"/>
    <col min="3" max="3" width="17.88671875" style="488" customWidth="1"/>
    <col min="4" max="4" width="20.88671875" style="488" customWidth="1"/>
    <col min="5" max="5" width="16.109375" style="488" customWidth="1"/>
    <col min="6" max="6" width="14.88671875" style="488" customWidth="1"/>
    <col min="7" max="7" width="46.109375" style="495" customWidth="1"/>
    <col min="8" max="8" width="77.5546875" style="488" customWidth="1"/>
    <col min="9" max="9" width="34" style="488" customWidth="1"/>
    <col min="10" max="10" width="9.109375" style="488" customWidth="1"/>
    <col min="11" max="11" width="36.88671875" style="488" customWidth="1"/>
    <col min="12" max="12" width="15" style="488" customWidth="1"/>
    <col min="13" max="13" width="11.88671875" style="488" customWidth="1"/>
    <col min="14" max="24" width="9.109375" style="488" customWidth="1"/>
    <col min="25" max="25" width="9.109375" style="296" customWidth="1"/>
    <col min="26" max="26" width="36.88671875" style="546" hidden="1" customWidth="1"/>
    <col min="27" max="16384" width="9.109375" style="488"/>
  </cols>
  <sheetData>
    <row r="1" spans="1:78" x14ac:dyDescent="0.3">
      <c r="A1" s="489" t="s">
        <v>739</v>
      </c>
      <c r="B1" s="490"/>
      <c r="C1" s="490"/>
      <c r="D1" s="490"/>
      <c r="E1" s="491" t="s">
        <v>740</v>
      </c>
      <c r="F1" s="491">
        <v>2021</v>
      </c>
      <c r="G1" s="1172"/>
      <c r="H1" s="1173"/>
      <c r="I1" s="492"/>
      <c r="Z1" s="539" t="s">
        <v>1005</v>
      </c>
    </row>
    <row r="2" spans="1:78" ht="98.25" customHeight="1" x14ac:dyDescent="0.3">
      <c r="A2" s="493" t="s">
        <v>809</v>
      </c>
      <c r="B2" s="1174" t="str">
        <f>'Unit Data from Audit Worksheet'!D2</f>
        <v>Select Unit Name from Drop Down List</v>
      </c>
      <c r="C2" s="1174"/>
      <c r="D2" s="1174"/>
      <c r="E2" s="1178" t="s">
        <v>1250</v>
      </c>
      <c r="F2" s="1178"/>
      <c r="G2" s="1178"/>
      <c r="H2" s="1175" t="s">
        <v>1011</v>
      </c>
      <c r="I2" s="494"/>
      <c r="J2" s="495"/>
      <c r="K2" s="496"/>
      <c r="Z2" s="162"/>
    </row>
    <row r="3" spans="1:78" ht="38.25" customHeight="1" x14ac:dyDescent="0.3">
      <c r="A3" s="497" t="s">
        <v>741</v>
      </c>
      <c r="B3" s="1177" t="e">
        <f>'Unit Data from Audit Worksheet'!D3</f>
        <v>#N/A</v>
      </c>
      <c r="C3" s="1177"/>
      <c r="D3" s="1177"/>
      <c r="E3" s="1179"/>
      <c r="F3" s="1179"/>
      <c r="G3" s="1179"/>
      <c r="H3" s="1176"/>
      <c r="I3" s="492"/>
      <c r="K3" s="498" t="s">
        <v>773</v>
      </c>
      <c r="Z3" s="162"/>
    </row>
    <row r="4" spans="1:78" ht="106.5" customHeight="1" x14ac:dyDescent="0.3">
      <c r="A4" s="553"/>
      <c r="B4" s="554">
        <v>2019</v>
      </c>
      <c r="C4" s="554">
        <v>2020</v>
      </c>
      <c r="D4" s="554">
        <v>2021</v>
      </c>
      <c r="E4" s="555" t="s">
        <v>1009</v>
      </c>
      <c r="F4" s="554" t="s">
        <v>745</v>
      </c>
      <c r="G4" s="556"/>
      <c r="H4" s="554" t="s">
        <v>742</v>
      </c>
      <c r="I4" s="555" t="s">
        <v>1049</v>
      </c>
      <c r="J4" s="499"/>
      <c r="Z4" s="162"/>
    </row>
    <row r="5" spans="1:78" x14ac:dyDescent="0.3">
      <c r="A5" s="549" t="s">
        <v>423</v>
      </c>
      <c r="B5" s="550"/>
      <c r="C5" s="550"/>
      <c r="D5" s="550"/>
      <c r="E5" s="551"/>
      <c r="F5" s="548"/>
      <c r="G5" s="551"/>
      <c r="H5" s="550"/>
      <c r="I5" s="552"/>
      <c r="J5" s="499"/>
      <c r="K5" s="501">
        <f>+(Import!$L$72+Import!$L$77+Import!$L$74-Import!$L$75-Import!$L$76)</f>
        <v>0</v>
      </c>
      <c r="L5" s="488" t="s">
        <v>818</v>
      </c>
      <c r="Z5" s="541"/>
    </row>
    <row r="6" spans="1:78" ht="143.25" customHeight="1" x14ac:dyDescent="0.3">
      <c r="A6" s="394" t="s">
        <v>567</v>
      </c>
      <c r="B6" s="390" t="e">
        <f>HLOOKUP($B$3,'2019 Data(H)'!$E$2:$CZ$299,291,FALSE)</f>
        <v>#N/A</v>
      </c>
      <c r="C6" s="390" t="e">
        <f>HLOOKUP($B$2,'2020 Data(H)'!$E$1:$AB$426,339,FALSE)</f>
        <v>#N/A</v>
      </c>
      <c r="D6" s="390" t="str">
        <f>IFERROR((Import!$L$52+Import!$L$53-Import!$L$57-Import!$L$58-Import!$L$230-Import!$L$62+Import!$L$89)/(Import!$L$72+Import!$L$77+Import!$L$74-Import!$L$75-Import!$L$76),"")</f>
        <v/>
      </c>
      <c r="E6" s="526" t="b">
        <f>IF(K5&gt;10000000,"25% -- Average of similar units is 46%",IF(K5&gt;999999,"34% -- Average of similar units is 63%",IF(K5&gt;99999,"71% -- Average of similar units is 132%",IF(K5&gt;1,"100 %-- Average of similar units is 260%"))))</f>
        <v>0</v>
      </c>
      <c r="F6" s="926"/>
      <c r="G6" s="935" t="s">
        <v>1211</v>
      </c>
      <c r="H6" s="915" t="s">
        <v>1251</v>
      </c>
      <c r="I6" s="525"/>
      <c r="J6" s="499"/>
      <c r="K6" s="502" t="b">
        <f>IF($K$5&gt;10000000,"25%",IF($K$5&gt;999999,"34%",IF($K$5&gt;99999,"71%",IF($K$5&gt;1,"100%"))))</f>
        <v>0</v>
      </c>
      <c r="L6" s="503" t="e">
        <f>+D6-K6</f>
        <v>#VALUE!</v>
      </c>
      <c r="Z6" s="162" t="s">
        <v>1006</v>
      </c>
    </row>
    <row r="7" spans="1:78" ht="22.5" customHeight="1" x14ac:dyDescent="0.3">
      <c r="A7" s="394"/>
      <c r="B7" s="392"/>
      <c r="C7" s="392"/>
      <c r="D7" s="392"/>
      <c r="E7" s="526"/>
      <c r="F7" s="393"/>
      <c r="G7" s="524"/>
      <c r="H7" s="522"/>
      <c r="I7" s="944"/>
      <c r="J7" s="499"/>
      <c r="K7" s="527"/>
      <c r="L7" s="503"/>
      <c r="Z7" s="162"/>
    </row>
    <row r="8" spans="1:78" ht="137.25" customHeight="1" x14ac:dyDescent="0.3">
      <c r="A8" s="924" t="s">
        <v>1255</v>
      </c>
      <c r="B8" s="925" t="e">
        <f>HLOOKUP($B$3,'2019 Data(H)'!$E$2:$CZ$299,291,FALSE)</f>
        <v>#N/A</v>
      </c>
      <c r="C8" s="925" t="e">
        <f>HLOOKUP($B$2,'2020 Data(H)'!$E$1:$AB$426,339,FALSE)</f>
        <v>#N/A</v>
      </c>
      <c r="D8" s="925" t="str">
        <f>IFERROR((Import!$L$52+Import!$L$53-Import!$L$57-Import!$L$58-Import!$L$230-Import!$L$62+Import!$L$89)/(Import!$L$72+Import!$L$77+Import!$L$74-Import!$L$75-Import!$L$76),"")</f>
        <v/>
      </c>
      <c r="E8" s="941" t="str">
        <f>IF($K$5&gt;99999999,"16%--Median of simiar units is 32%","20%--Median of similar units is 39%")</f>
        <v>20%--Median of similar units is 39%</v>
      </c>
      <c r="F8" s="926"/>
      <c r="G8" s="936" t="s">
        <v>746</v>
      </c>
      <c r="H8" s="937" t="s">
        <v>978</v>
      </c>
      <c r="I8" s="927"/>
      <c r="J8" s="499"/>
      <c r="K8" s="542">
        <f>IF($K$5&gt;99999999,16%,20%)</f>
        <v>0.2</v>
      </c>
      <c r="L8" s="503" t="e">
        <f>+D8-K8</f>
        <v>#VALUE!</v>
      </c>
      <c r="Z8" s="162" t="s">
        <v>1212</v>
      </c>
    </row>
    <row r="9" spans="1:78" ht="120" customHeight="1" x14ac:dyDescent="0.3">
      <c r="A9" s="923" t="s">
        <v>1257</v>
      </c>
      <c r="B9" s="925" t="e">
        <f>HLOOKUP($B$3,'2019 Data(H)'!$E$2:$CZ$299,291,FALSE)</f>
        <v>#N/A</v>
      </c>
      <c r="C9" s="925" t="e">
        <f>HLOOKUP($B$2,'2020 Data(H)'!$E$1:$AB$426,339,FALSE)</f>
        <v>#N/A</v>
      </c>
      <c r="D9" s="925" t="str">
        <f>IFERROR((Import!$L$52+Import!$L$53-Import!$L$57-Import!$L$58-Import!$L$230-Import!$L$62+Import!$L$89)/(Import!$L$72+Import!$L$77+Import!$L$74-Import!$L$75-Import!$L$76),"")</f>
        <v/>
      </c>
      <c r="E9" s="941">
        <v>0.08</v>
      </c>
      <c r="F9" s="926" t="str">
        <f>+K9</f>
        <v/>
      </c>
      <c r="G9" s="936" t="s">
        <v>746</v>
      </c>
      <c r="H9" s="937" t="s">
        <v>1253</v>
      </c>
      <c r="I9" s="521"/>
      <c r="J9" s="499"/>
      <c r="K9" s="925" t="str">
        <f>+IF(D9&gt;7.9999%,D9,"Less than 8%")</f>
        <v/>
      </c>
      <c r="L9" s="503"/>
      <c r="Z9" s="162"/>
    </row>
    <row r="10" spans="1:78" ht="152.25" customHeight="1" thickBot="1" x14ac:dyDescent="0.35">
      <c r="A10" s="923" t="s">
        <v>767</v>
      </c>
      <c r="B10" s="553"/>
      <c r="C10" s="553"/>
      <c r="D10" s="928">
        <f>+Import!L65</f>
        <v>0</v>
      </c>
      <c r="E10" s="929"/>
      <c r="F10" s="928">
        <f>+D10</f>
        <v>0</v>
      </c>
      <c r="G10" s="532" t="s">
        <v>768</v>
      </c>
      <c r="H10" s="532" t="s">
        <v>980</v>
      </c>
      <c r="I10" s="520"/>
      <c r="J10" s="499"/>
      <c r="Z10" s="162" t="s">
        <v>1213</v>
      </c>
    </row>
    <row r="11" spans="1:78" ht="78" customHeight="1" x14ac:dyDescent="0.3">
      <c r="A11" s="540" t="s">
        <v>425</v>
      </c>
      <c r="B11" s="289">
        <f>+B4</f>
        <v>2019</v>
      </c>
      <c r="C11" s="289">
        <f>+C4</f>
        <v>2020</v>
      </c>
      <c r="D11" s="289">
        <f>+D4</f>
        <v>2021</v>
      </c>
      <c r="E11" s="507"/>
      <c r="F11" s="508"/>
      <c r="G11" s="1180" t="s">
        <v>1010</v>
      </c>
      <c r="H11" s="1181"/>
      <c r="I11" s="523"/>
      <c r="J11" s="499"/>
      <c r="K11" s="1039" t="e">
        <f>HLOOKUP($B$3,'2019 Data(H)'!$E$2:$CZ$305,244,FALSE)</f>
        <v>#N/A</v>
      </c>
      <c r="L11" s="509" t="e">
        <f>HLOOKUP(B3,'2020 Data(H)'!E2:AB350,244,FALSE)</f>
        <v>#N/A</v>
      </c>
      <c r="M11" s="509" t="e">
        <f>Import!L268</f>
        <v>#N/A</v>
      </c>
      <c r="N11" s="510"/>
      <c r="O11" s="510"/>
      <c r="P11" s="510"/>
      <c r="Q11" s="510"/>
      <c r="R11" s="510"/>
      <c r="S11" s="510"/>
      <c r="T11" s="510"/>
      <c r="U11" s="510"/>
      <c r="V11" s="510"/>
      <c r="W11" s="510"/>
      <c r="X11" s="510"/>
      <c r="Z11" s="162"/>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row>
    <row r="12" spans="1:78" ht="119.4" customHeight="1" x14ac:dyDescent="0.3">
      <c r="A12" s="398" t="s">
        <v>422</v>
      </c>
      <c r="B12" s="530" t="e">
        <f>IF(K11=0,"Not Applicable",(K12))</f>
        <v>#N/A</v>
      </c>
      <c r="C12" s="530" t="e">
        <f>IF(L11=0,"Not Applicable",(L12))</f>
        <v>#N/A</v>
      </c>
      <c r="D12" s="530" t="e">
        <f>IF(M11=0,"Not Applicable",M12)</f>
        <v>#N/A</v>
      </c>
      <c r="E12" s="531" t="s">
        <v>743</v>
      </c>
      <c r="F12" s="918" t="str">
        <f>M12</f>
        <v/>
      </c>
      <c r="G12" s="531" t="s">
        <v>747</v>
      </c>
      <c r="H12" s="532" t="s">
        <v>770</v>
      </c>
      <c r="I12" s="525"/>
      <c r="J12" s="499"/>
      <c r="K12" s="1039" t="e">
        <f>HLOOKUP($B$3,'2019 Data(H)'!$E$2:$CZ$305,299,FALSE)</f>
        <v>#N/A</v>
      </c>
      <c r="L12" s="509" t="e">
        <f>HLOOKUP(B2,'2020 Data(H)'!E1:L426,347,FALSE)</f>
        <v>#N/A</v>
      </c>
      <c r="M12" s="511" t="str">
        <f>IFERROR((Import!$L$120-Import!$L$121-Import!$L$118-Import!$L$119)/(Import!$L$124-Import!$L$125-Import!$L$126-Import!$L$127-Import!$L$128-Import!$L$129-Import!$L$123),"")</f>
        <v/>
      </c>
      <c r="Z12" s="162" t="s">
        <v>1007</v>
      </c>
    </row>
    <row r="13" spans="1:78" ht="69.599999999999994" customHeight="1" x14ac:dyDescent="0.3">
      <c r="A13" s="398" t="s">
        <v>778</v>
      </c>
      <c r="B13" s="533" t="e">
        <f>IF(K11=0,"Not Applicable",K13)</f>
        <v>#N/A</v>
      </c>
      <c r="C13" s="396" t="e">
        <f>IF(L11=0,"Not Applicable",L13)</f>
        <v>#N/A</v>
      </c>
      <c r="D13" s="534" t="e">
        <f>IF(M11=0,"Not Applicable",M13)</f>
        <v>#N/A</v>
      </c>
      <c r="E13" s="531" t="s">
        <v>1014</v>
      </c>
      <c r="F13" s="919" t="e">
        <f>D13</f>
        <v>#N/A</v>
      </c>
      <c r="G13" s="531" t="s">
        <v>779</v>
      </c>
      <c r="H13" s="532" t="s">
        <v>771</v>
      </c>
      <c r="I13" s="525"/>
      <c r="J13" s="499"/>
      <c r="K13" s="1040" t="e">
        <f>HLOOKUP(B3,'2019 Data(H)'!E2:CB305,300,FALSE)</f>
        <v>#N/A</v>
      </c>
      <c r="L13" s="268" t="e">
        <f>HLOOKUP(B2,'2020 Data(H)'!F1:AB426,348,FALSE)</f>
        <v>#N/A</v>
      </c>
      <c r="M13" s="911">
        <f>+Import!$L$153-Import!$L$155+Import!$L$154-Import!$L$182</f>
        <v>0</v>
      </c>
      <c r="Z13" s="162" t="s">
        <v>1007</v>
      </c>
    </row>
    <row r="14" spans="1:78" ht="109.95" customHeight="1" x14ac:dyDescent="0.3">
      <c r="A14" s="398" t="s">
        <v>801</v>
      </c>
      <c r="B14" s="397" t="e">
        <f>IF(K11=0,"Not Applicable",K14)</f>
        <v>#N/A</v>
      </c>
      <c r="C14" s="397" t="e">
        <f>IF(L11=0,"Not Applicable",L14)</f>
        <v>#N/A</v>
      </c>
      <c r="D14" s="397" t="e">
        <f>IF(M11=0,"Not Applicable",M14)</f>
        <v>#N/A</v>
      </c>
      <c r="E14" s="531" t="s">
        <v>1247</v>
      </c>
      <c r="F14" s="391" t="e">
        <f>D14</f>
        <v>#N/A</v>
      </c>
      <c r="G14" s="531" t="s">
        <v>780</v>
      </c>
      <c r="H14" s="532" t="s">
        <v>979</v>
      </c>
      <c r="I14" s="525"/>
      <c r="J14" s="499"/>
      <c r="K14" s="1041" t="e">
        <f>HLOOKUP(B3,'2019 Data(H)'!E2:CZ305,301,FALSE)</f>
        <v>#N/A</v>
      </c>
      <c r="L14" s="269" t="e">
        <f>HLOOKUP(B2,'2020 Data(H)'!F1:AB426,349,FALSE)</f>
        <v>#N/A</v>
      </c>
      <c r="M14" s="269" t="str">
        <f>IFERROR(Import!L116/(Import!L155+Import!L158-Import!L154+Import!L182),"")</f>
        <v/>
      </c>
      <c r="Z14" s="162" t="s">
        <v>1007</v>
      </c>
    </row>
    <row r="15" spans="1:78" ht="99.75" customHeight="1" thickBot="1" x14ac:dyDescent="0.35">
      <c r="A15" s="1170" t="s">
        <v>1248</v>
      </c>
      <c r="B15" s="1171"/>
      <c r="C15" s="1171"/>
      <c r="D15" s="912" t="str">
        <f>IF(K15&lt;0,"Yes","No")</f>
        <v>No</v>
      </c>
      <c r="E15" s="943"/>
      <c r="F15" s="913" t="str">
        <f>D15</f>
        <v>No</v>
      </c>
      <c r="G15" s="528" t="s">
        <v>1249</v>
      </c>
      <c r="H15" s="535" t="s">
        <v>772</v>
      </c>
      <c r="I15" s="529"/>
      <c r="J15" s="499"/>
      <c r="K15" s="288">
        <f>((Import!L158+Import!L155)*0.03)-Import!L161</f>
        <v>0</v>
      </c>
      <c r="Z15" s="162" t="s">
        <v>1007</v>
      </c>
    </row>
    <row r="16" spans="1:78" ht="37.5" customHeight="1" thickBot="1" x14ac:dyDescent="0.35">
      <c r="A16" s="287"/>
      <c r="B16" s="504"/>
      <c r="C16" s="504"/>
      <c r="D16" s="504"/>
      <c r="E16" s="505"/>
      <c r="F16" s="504"/>
      <c r="G16" s="506"/>
      <c r="H16" s="504"/>
      <c r="I16" s="504"/>
      <c r="Z16" s="543"/>
    </row>
    <row r="17" spans="1:26" ht="116.25" customHeight="1" thickBot="1" x14ac:dyDescent="0.35">
      <c r="A17" s="500" t="s">
        <v>424</v>
      </c>
      <c r="B17" s="290">
        <f>+B4</f>
        <v>2019</v>
      </c>
      <c r="C17" s="290">
        <f>+C4</f>
        <v>2020</v>
      </c>
      <c r="D17" s="290">
        <f>+D4</f>
        <v>2021</v>
      </c>
      <c r="E17" s="512"/>
      <c r="F17" s="513"/>
      <c r="G17" s="547" t="s">
        <v>800</v>
      </c>
      <c r="H17" s="916" t="s">
        <v>769</v>
      </c>
      <c r="I17" s="514"/>
      <c r="J17" s="499"/>
      <c r="K17" s="509" t="e">
        <f>HLOOKUP(B3,'2019 Data(H)'!E2:CZ310,243,FALSE)</f>
        <v>#N/A</v>
      </c>
      <c r="L17" s="271" t="e">
        <f>HLOOKUP(B3,'2020 Data(H)'!E2:AB350,243,FALSE)</f>
        <v>#N/A</v>
      </c>
      <c r="M17" s="515" t="e">
        <f>+Import!L267</f>
        <v>#N/A</v>
      </c>
      <c r="Z17" s="541"/>
    </row>
    <row r="18" spans="1:26" ht="78" customHeight="1" x14ac:dyDescent="0.3">
      <c r="A18" s="291" t="s">
        <v>422</v>
      </c>
      <c r="B18" s="516" t="e">
        <f>IF(K17=0,"Not Applicable",K18)</f>
        <v>#N/A</v>
      </c>
      <c r="C18" s="516" t="e">
        <f>IF(L17=0,"Not Applicable",L18)</f>
        <v>#N/A</v>
      </c>
      <c r="D18" s="516" t="e">
        <f>IF(M17=0,"Not Applicable",M18)</f>
        <v>#N/A</v>
      </c>
      <c r="E18" s="531" t="s">
        <v>743</v>
      </c>
      <c r="F18" s="920" t="str">
        <f>+M18</f>
        <v/>
      </c>
      <c r="G18" s="931" t="s">
        <v>787</v>
      </c>
      <c r="H18" s="932" t="s">
        <v>770</v>
      </c>
      <c r="I18" s="525"/>
      <c r="J18" s="499"/>
      <c r="K18" s="271" t="e">
        <f>HLOOKUP(B3,'2019 Data(H)'!E2:CZ310,302,FALSE)</f>
        <v>#N/A</v>
      </c>
      <c r="L18" s="509" t="e">
        <f>HLOOKUP(B2,'2020 Data(H)'!F1:AB426,350,FALSE)</f>
        <v>#N/A</v>
      </c>
      <c r="M18" s="509" t="str">
        <f>IFERROR((Import!L138-Import!L139-Import!L137-Import!L136)/(Import!L143-Import!L144-Import!L145-Import!L146-Import!L147-Import!L148-Import!L142),"")</f>
        <v/>
      </c>
      <c r="Z18" s="544" t="s">
        <v>1008</v>
      </c>
    </row>
    <row r="19" spans="1:26" ht="60.75" customHeight="1" x14ac:dyDescent="0.3">
      <c r="A19" s="285" t="s">
        <v>778</v>
      </c>
      <c r="B19" s="378" t="e">
        <f>IF(K17=0,"Not Applicable",K19)</f>
        <v>#N/A</v>
      </c>
      <c r="C19" s="378" t="e">
        <f>IF(L17=0,"Not Applicable",L19)</f>
        <v>#N/A</v>
      </c>
      <c r="D19" s="378" t="e">
        <f>IF(M17=0,"Not Applicable",M19)</f>
        <v>#N/A</v>
      </c>
      <c r="E19" s="531" t="s">
        <v>1014</v>
      </c>
      <c r="F19" s="921" t="e">
        <f>D19</f>
        <v>#N/A</v>
      </c>
      <c r="G19" s="931" t="s">
        <v>781</v>
      </c>
      <c r="H19" s="932" t="s">
        <v>771</v>
      </c>
      <c r="I19" s="525"/>
      <c r="J19" s="499"/>
      <c r="K19" s="268" t="e">
        <f>HLOOKUP(B3,'2019 Data(H)'!E2:CZ310,303,FALSE)</f>
        <v>#N/A</v>
      </c>
      <c r="L19" s="268" t="e">
        <f>HLOOKUP(B2,'2020 Data(H)'!F1:AB426,351,FALSE)</f>
        <v>#N/A</v>
      </c>
      <c r="M19" s="268">
        <f>+Import!L168-Import!L171+Import!L170-Import!L185</f>
        <v>0</v>
      </c>
      <c r="Z19" s="544" t="s">
        <v>1008</v>
      </c>
    </row>
    <row r="20" spans="1:26" ht="88.5" customHeight="1" thickBot="1" x14ac:dyDescent="0.35">
      <c r="A20" s="292" t="s">
        <v>801</v>
      </c>
      <c r="B20" s="379" t="e">
        <f>IF(K17=0,"Not Applicable",K20)</f>
        <v>#N/A</v>
      </c>
      <c r="C20" s="379" t="e">
        <f>IF(L17=0,"Not Applicable",L20)</f>
        <v>#N/A</v>
      </c>
      <c r="D20" s="379" t="e">
        <f>IF(M17=0,"Not Applicable",M20)</f>
        <v>#N/A</v>
      </c>
      <c r="E20" s="942" t="s">
        <v>1247</v>
      </c>
      <c r="F20" s="922" t="str">
        <f>+M20</f>
        <v/>
      </c>
      <c r="G20" s="934" t="s">
        <v>791</v>
      </c>
      <c r="H20" s="933" t="s">
        <v>979</v>
      </c>
      <c r="I20" s="529"/>
      <c r="J20" s="499"/>
      <c r="K20" s="269" t="e">
        <f>HLOOKUP(B3,'2019 Data(H)'!E2:CZ310,304,FALSE)</f>
        <v>#N/A</v>
      </c>
      <c r="L20" s="269" t="e">
        <f>HLOOKUP(B2,'2020 Data(H)'!F1:AB426,352,FALSE)</f>
        <v>#N/A</v>
      </c>
      <c r="M20" s="269" t="str">
        <f>IFERROR(Import!L134/(Import!L174+Import!L171-Import!L170+Import!L185),"")</f>
        <v/>
      </c>
      <c r="Z20" s="544" t="s">
        <v>1008</v>
      </c>
    </row>
    <row r="21" spans="1:26" ht="15.75" customHeight="1" x14ac:dyDescent="0.3">
      <c r="A21" s="399"/>
      <c r="B21" s="400"/>
      <c r="C21" s="400"/>
      <c r="D21" s="400"/>
      <c r="E21" s="536"/>
      <c r="F21" s="537"/>
      <c r="G21" s="538"/>
      <c r="H21" s="538"/>
      <c r="I21" s="939"/>
      <c r="J21" s="499"/>
      <c r="K21" s="269"/>
      <c r="L21" s="269"/>
      <c r="M21" s="269"/>
      <c r="Z21" s="544"/>
    </row>
    <row r="22" spans="1:26" ht="50.25" customHeight="1" x14ac:dyDescent="0.3">
      <c r="A22" s="940" t="s">
        <v>1012</v>
      </c>
      <c r="B22" s="400"/>
      <c r="C22" s="400"/>
      <c r="D22" s="400"/>
      <c r="E22" s="536"/>
      <c r="F22" s="537"/>
      <c r="G22" s="538"/>
      <c r="H22" s="538"/>
      <c r="I22" s="939"/>
      <c r="J22" s="499"/>
      <c r="K22" s="269"/>
      <c r="L22" s="269"/>
      <c r="M22" s="269"/>
      <c r="Z22" s="544"/>
    </row>
    <row r="23" spans="1:26" ht="88.5" customHeight="1" x14ac:dyDescent="0.3">
      <c r="A23" s="395" t="s">
        <v>422</v>
      </c>
      <c r="B23" s="401"/>
      <c r="C23" s="401"/>
      <c r="D23" s="946" t="str">
        <f>+M23</f>
        <v/>
      </c>
      <c r="E23" s="531" t="s">
        <v>743</v>
      </c>
      <c r="F23" s="945" t="str">
        <f>+M23</f>
        <v/>
      </c>
      <c r="G23" s="532" t="s">
        <v>1254</v>
      </c>
      <c r="H23" s="532" t="s">
        <v>770</v>
      </c>
      <c r="I23" s="521"/>
      <c r="J23" s="499"/>
      <c r="K23" s="269">
        <v>1000</v>
      </c>
      <c r="L23" s="269"/>
      <c r="M23" s="938" t="str">
        <f>IFERROR((+Import!L94-Import!L93)/Import!L95,"")</f>
        <v/>
      </c>
      <c r="Z23" s="544" t="s">
        <v>1013</v>
      </c>
    </row>
    <row r="24" spans="1:26" x14ac:dyDescent="0.3">
      <c r="A24" s="286"/>
      <c r="B24" s="517"/>
      <c r="C24" s="517"/>
      <c r="D24" s="517"/>
      <c r="E24" s="518"/>
      <c r="F24" s="517"/>
      <c r="G24" s="519"/>
      <c r="H24" s="517"/>
      <c r="I24" s="517"/>
      <c r="M24" s="275"/>
      <c r="Z24" s="545"/>
    </row>
  </sheetData>
  <sheetProtection algorithmName="SHA-512" hashValue="U3ZLofiORNC/ghMKccnOTOXcvkrL2YAYWXhlxODIxVw8oGU4pTOKg/4pc6HGd/iTU7u+m3sGX9/NZ6K4eSjZRQ==" saltValue="8eDnxe4c0nI3hlJyf9lhKA==" spinCount="100000" sheet="1" objects="1" scenarios="1"/>
  <mergeCells count="7">
    <mergeCell ref="A15:C15"/>
    <mergeCell ref="G1:H1"/>
    <mergeCell ref="B2:D2"/>
    <mergeCell ref="H2:H3"/>
    <mergeCell ref="B3:D3"/>
    <mergeCell ref="E2:G3"/>
    <mergeCell ref="G11:H11"/>
  </mergeCells>
  <conditionalFormatting sqref="F12">
    <cfRule type="cellIs" dxfId="11" priority="50" operator="lessThan">
      <formula>1</formula>
    </cfRule>
  </conditionalFormatting>
  <conditionalFormatting sqref="F13">
    <cfRule type="cellIs" dxfId="10" priority="49" operator="lessThan">
      <formula>0</formula>
    </cfRule>
  </conditionalFormatting>
  <conditionalFormatting sqref="F14">
    <cfRule type="cellIs" dxfId="9" priority="48" operator="lessThan">
      <formula>0.16</formula>
    </cfRule>
  </conditionalFormatting>
  <conditionalFormatting sqref="F18">
    <cfRule type="cellIs" dxfId="8" priority="43" operator="lessThan">
      <formula>1</formula>
    </cfRule>
  </conditionalFormatting>
  <conditionalFormatting sqref="F19">
    <cfRule type="cellIs" dxfId="7" priority="42" operator="lessThan">
      <formula>0</formula>
    </cfRule>
  </conditionalFormatting>
  <conditionalFormatting sqref="F20">
    <cfRule type="cellIs" dxfId="6" priority="41" operator="lessThan">
      <formula>0.16</formula>
    </cfRule>
  </conditionalFormatting>
  <conditionalFormatting sqref="F10">
    <cfRule type="cellIs" dxfId="5" priority="30" operator="lessThan">
      <formula>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A2" sqref="A2:H2"/>
    </sheetView>
  </sheetViews>
  <sheetFormatPr defaultColWidth="9.109375" defaultRowHeight="14.4" x14ac:dyDescent="0.3"/>
  <cols>
    <col min="1" max="1" width="9.109375" style="296"/>
    <col min="2" max="2" width="10.44140625" style="296" bestFit="1" customWidth="1"/>
    <col min="3" max="3" width="29.88671875" style="296" customWidth="1"/>
    <col min="4" max="4" width="40.5546875" style="296" customWidth="1"/>
    <col min="5" max="5" width="3.6640625" style="296" customWidth="1"/>
    <col min="6" max="6" width="13.44140625" style="296" customWidth="1"/>
    <col min="7" max="7" width="3.5546875" style="296" customWidth="1"/>
    <col min="8" max="8" width="14.109375" style="296" customWidth="1"/>
    <col min="9" max="16384" width="9.109375" style="296"/>
  </cols>
  <sheetData>
    <row r="2" spans="1:8" ht="54.75" customHeight="1" x14ac:dyDescent="0.3">
      <c r="A2" s="1185" t="s">
        <v>112</v>
      </c>
      <c r="B2" s="1185"/>
      <c r="C2" s="1185"/>
      <c r="D2" s="1185"/>
      <c r="E2" s="1185"/>
      <c r="F2" s="449"/>
      <c r="G2" s="449"/>
      <c r="H2" s="450"/>
    </row>
    <row r="4" spans="1:8" ht="15.6" x14ac:dyDescent="0.3">
      <c r="A4" s="450"/>
      <c r="B4" s="451" t="str">
        <f>'Unit Data from Audit Worksheet'!D2</f>
        <v>Select Unit Name from Drop Down List</v>
      </c>
      <c r="C4" s="452"/>
      <c r="D4" s="19"/>
      <c r="E4" s="20"/>
      <c r="F4" s="453">
        <f>'Unit Data from Audit Worksheet'!F5</f>
        <v>2021</v>
      </c>
      <c r="G4" s="450"/>
      <c r="H4" s="453">
        <f>'Unit Data from Audit Worksheet'!F5</f>
        <v>2021</v>
      </c>
    </row>
    <row r="5" spans="1:8" ht="41.4" x14ac:dyDescent="0.4">
      <c r="A5" s="454"/>
      <c r="B5" s="455" t="s">
        <v>72</v>
      </c>
      <c r="C5" s="454"/>
      <c r="D5" s="454"/>
      <c r="E5" s="454"/>
      <c r="F5" s="453" t="s">
        <v>73</v>
      </c>
      <c r="G5" s="454"/>
      <c r="H5" s="456" t="s">
        <v>74</v>
      </c>
    </row>
    <row r="6" spans="1:8" x14ac:dyDescent="0.3">
      <c r="A6" s="450"/>
      <c r="B6" s="457" t="s">
        <v>75</v>
      </c>
      <c r="C6" s="450"/>
      <c r="D6" s="458"/>
      <c r="E6" s="458"/>
      <c r="F6" s="458"/>
      <c r="G6" s="458"/>
      <c r="H6" s="458"/>
    </row>
    <row r="7" spans="1:8" x14ac:dyDescent="0.3">
      <c r="A7" s="450"/>
      <c r="B7" s="458" t="s">
        <v>76</v>
      </c>
      <c r="C7" s="450"/>
      <c r="D7" s="458"/>
      <c r="E7" s="458" t="s">
        <v>31</v>
      </c>
      <c r="F7" s="459">
        <f>Import!L52</f>
        <v>0</v>
      </c>
      <c r="G7" s="460"/>
      <c r="H7" s="459">
        <f>F7</f>
        <v>0</v>
      </c>
    </row>
    <row r="8" spans="1:8" ht="44.25" customHeight="1" x14ac:dyDescent="0.3">
      <c r="A8" s="450"/>
      <c r="B8" s="1182" t="s">
        <v>77</v>
      </c>
      <c r="C8" s="1182"/>
      <c r="D8" s="1182"/>
      <c r="E8" s="458" t="s">
        <v>31</v>
      </c>
      <c r="F8" s="461">
        <f>Import!L53</f>
        <v>0</v>
      </c>
      <c r="G8" s="462"/>
      <c r="H8" s="462"/>
    </row>
    <row r="9" spans="1:8" x14ac:dyDescent="0.3">
      <c r="A9" s="450"/>
      <c r="B9" s="450"/>
      <c r="C9" s="458" t="s">
        <v>181</v>
      </c>
      <c r="D9" s="450"/>
      <c r="E9" s="458" t="s">
        <v>31</v>
      </c>
      <c r="F9" s="463">
        <f>Import!L57</f>
        <v>0</v>
      </c>
      <c r="G9" s="462"/>
      <c r="H9" s="448">
        <f>F9</f>
        <v>0</v>
      </c>
    </row>
    <row r="10" spans="1:8" x14ac:dyDescent="0.3">
      <c r="A10" s="450"/>
      <c r="B10" s="450"/>
      <c r="C10" s="458" t="s">
        <v>78</v>
      </c>
      <c r="D10" s="450"/>
      <c r="E10" s="458" t="s">
        <v>31</v>
      </c>
      <c r="F10" s="448">
        <f>Import!L230</f>
        <v>0</v>
      </c>
      <c r="G10" s="462"/>
      <c r="H10" s="448">
        <f>F10</f>
        <v>0</v>
      </c>
    </row>
    <row r="11" spans="1:8" x14ac:dyDescent="0.3">
      <c r="A11" s="450"/>
      <c r="B11" s="450"/>
      <c r="C11" s="458" t="s">
        <v>79</v>
      </c>
      <c r="D11" s="450"/>
      <c r="E11" s="458" t="s">
        <v>31</v>
      </c>
      <c r="F11" s="464">
        <f>Import!L58</f>
        <v>0</v>
      </c>
      <c r="G11" s="465"/>
      <c r="H11" s="464">
        <f>F11</f>
        <v>0</v>
      </c>
    </row>
    <row r="12" spans="1:8" x14ac:dyDescent="0.3">
      <c r="A12" s="450"/>
      <c r="B12" s="21" t="s">
        <v>80</v>
      </c>
      <c r="C12" s="466" t="s">
        <v>81</v>
      </c>
      <c r="D12" s="467"/>
      <c r="E12" s="468" t="s">
        <v>31</v>
      </c>
      <c r="F12" s="469">
        <f>F7+F8-SUM(F9:F11)</f>
        <v>0</v>
      </c>
      <c r="G12" s="470"/>
      <c r="H12" s="469">
        <f>H7+H8-SUM(H9:H11)</f>
        <v>0</v>
      </c>
    </row>
    <row r="13" spans="1:8" x14ac:dyDescent="0.3">
      <c r="A13" s="450"/>
      <c r="B13" s="450"/>
      <c r="C13" s="458"/>
      <c r="D13" s="458"/>
      <c r="E13" s="458" t="s">
        <v>31</v>
      </c>
      <c r="F13" s="458"/>
      <c r="G13" s="458"/>
      <c r="H13" s="458"/>
    </row>
    <row r="14" spans="1:8" x14ac:dyDescent="0.3">
      <c r="A14" s="450"/>
      <c r="B14" s="458" t="s">
        <v>82</v>
      </c>
      <c r="C14" s="450"/>
      <c r="D14" s="458"/>
      <c r="E14" s="458" t="s">
        <v>31</v>
      </c>
      <c r="F14" s="471">
        <f>Import!L65</f>
        <v>0</v>
      </c>
      <c r="G14" s="458"/>
      <c r="H14" s="458"/>
    </row>
    <row r="15" spans="1:8" x14ac:dyDescent="0.3">
      <c r="A15" s="450"/>
      <c r="B15" s="458" t="s">
        <v>83</v>
      </c>
      <c r="C15" s="450"/>
      <c r="D15" s="458"/>
      <c r="E15" s="458" t="s">
        <v>31</v>
      </c>
      <c r="F15" s="472">
        <f>F14-F12</f>
        <v>0</v>
      </c>
      <c r="G15" s="458"/>
      <c r="H15" s="458"/>
    </row>
    <row r="16" spans="1:8" x14ac:dyDescent="0.3">
      <c r="A16" s="450"/>
      <c r="B16" s="473" t="s">
        <v>84</v>
      </c>
      <c r="C16" s="450"/>
      <c r="D16" s="458"/>
      <c r="E16" s="458"/>
      <c r="F16" s="458"/>
      <c r="G16" s="458"/>
      <c r="H16" s="458"/>
    </row>
    <row r="17" spans="2:8" x14ac:dyDescent="0.3">
      <c r="B17" s="474" t="s">
        <v>85</v>
      </c>
      <c r="C17" s="458" t="s">
        <v>86</v>
      </c>
      <c r="D17" s="450"/>
      <c r="E17" s="458" t="s">
        <v>31</v>
      </c>
      <c r="F17" s="475">
        <f>Import!L61</f>
        <v>0</v>
      </c>
      <c r="G17" s="458"/>
      <c r="H17" s="458"/>
    </row>
    <row r="18" spans="2:8" ht="15" thickBot="1" x14ac:dyDescent="0.35">
      <c r="B18" s="21" t="s">
        <v>80</v>
      </c>
      <c r="C18" s="466" t="s">
        <v>87</v>
      </c>
      <c r="D18" s="467"/>
      <c r="E18" s="468" t="s">
        <v>31</v>
      </c>
      <c r="F18" s="476">
        <f>(F15-SUM(F17:F17))</f>
        <v>0</v>
      </c>
      <c r="G18" s="458"/>
      <c r="H18" s="458"/>
    </row>
    <row r="19" spans="2:8" ht="15" thickTop="1" x14ac:dyDescent="0.3">
      <c r="B19" s="450"/>
      <c r="C19" s="458"/>
      <c r="D19" s="458"/>
      <c r="E19" s="458"/>
      <c r="F19" s="458"/>
      <c r="G19" s="458"/>
      <c r="H19" s="458"/>
    </row>
    <row r="20" spans="2:8" ht="15" thickBot="1" x14ac:dyDescent="0.35">
      <c r="B20" s="458" t="s">
        <v>88</v>
      </c>
      <c r="C20" s="450"/>
      <c r="D20" s="458"/>
      <c r="E20" s="458" t="s">
        <v>31</v>
      </c>
      <c r="F20" s="477">
        <f>Import!L60</f>
        <v>0</v>
      </c>
      <c r="G20" s="458"/>
      <c r="H20" s="458"/>
    </row>
    <row r="21" spans="2:8" ht="15.6" thickTop="1" thickBot="1" x14ac:dyDescent="0.35">
      <c r="B21" s="450"/>
      <c r="C21" s="478"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50"/>
      <c r="E21" s="458" t="s">
        <v>31</v>
      </c>
      <c r="F21" s="479">
        <f>ABS(F18-F20)</f>
        <v>0</v>
      </c>
      <c r="G21" s="458"/>
      <c r="H21" s="458"/>
    </row>
    <row r="22" spans="2:8" ht="50.25" customHeight="1" thickTop="1" x14ac:dyDescent="0.3">
      <c r="B22" s="450"/>
      <c r="C22" s="1183" t="str">
        <f>IF(F18&gt;F20,"Since Restricted-Stabilization by State Statute was understated, verfiy that the unit did not appropriate fund balance in excess of legal amount available in row 12 above.","")</f>
        <v/>
      </c>
      <c r="D22" s="1183"/>
      <c r="E22" s="1183"/>
      <c r="F22" s="1183"/>
      <c r="G22" s="458"/>
      <c r="H22" s="458"/>
    </row>
    <row r="23" spans="2:8" x14ac:dyDescent="0.3">
      <c r="B23" s="450"/>
      <c r="C23" s="1184" t="s">
        <v>89</v>
      </c>
      <c r="D23" s="458"/>
      <c r="E23" s="458"/>
      <c r="F23" s="458"/>
      <c r="G23" s="458"/>
      <c r="H23" s="480" t="s">
        <v>90</v>
      </c>
    </row>
    <row r="24" spans="2:8" x14ac:dyDescent="0.3">
      <c r="B24" s="450"/>
      <c r="C24" s="1184"/>
      <c r="D24" s="458"/>
      <c r="E24" s="458"/>
      <c r="F24" s="453" t="s">
        <v>91</v>
      </c>
      <c r="G24" s="458"/>
      <c r="H24" s="453" t="s">
        <v>99</v>
      </c>
    </row>
    <row r="25" spans="2:8" x14ac:dyDescent="0.3">
      <c r="B25" s="450"/>
      <c r="C25" s="457" t="s">
        <v>92</v>
      </c>
      <c r="D25" s="458"/>
      <c r="E25" s="458"/>
      <c r="F25" s="458"/>
      <c r="G25" s="458"/>
      <c r="H25" s="458"/>
    </row>
    <row r="26" spans="2:8" ht="25.2" customHeight="1" x14ac:dyDescent="0.3">
      <c r="B26" s="450"/>
      <c r="C26" s="458" t="s">
        <v>93</v>
      </c>
      <c r="D26" s="458"/>
      <c r="E26" s="458" t="s">
        <v>31</v>
      </c>
      <c r="F26" s="459">
        <f>Import!L72</f>
        <v>0</v>
      </c>
      <c r="G26" s="460"/>
      <c r="H26" s="481">
        <f>F26</f>
        <v>0</v>
      </c>
    </row>
    <row r="27" spans="2:8" x14ac:dyDescent="0.3">
      <c r="B27" s="450"/>
      <c r="C27" s="474" t="s">
        <v>94</v>
      </c>
      <c r="D27" s="458"/>
      <c r="E27" s="458"/>
      <c r="F27" s="458"/>
      <c r="G27" s="458"/>
      <c r="H27" s="458"/>
    </row>
    <row r="28" spans="2:8" x14ac:dyDescent="0.3">
      <c r="B28" s="450"/>
      <c r="C28" s="458" t="s">
        <v>95</v>
      </c>
      <c r="D28" s="450"/>
      <c r="E28" s="458" t="s">
        <v>31</v>
      </c>
      <c r="F28" s="482">
        <f>Import!L74</f>
        <v>0</v>
      </c>
      <c r="G28" s="462"/>
      <c r="H28" s="483">
        <f>F28</f>
        <v>0</v>
      </c>
    </row>
    <row r="29" spans="2:8" x14ac:dyDescent="0.3">
      <c r="B29" s="450"/>
      <c r="C29" s="458" t="s">
        <v>96</v>
      </c>
      <c r="D29" s="450"/>
      <c r="E29" s="458" t="s">
        <v>31</v>
      </c>
      <c r="F29" s="484">
        <f>Import!L75+Import!L76</f>
        <v>0</v>
      </c>
      <c r="G29" s="462"/>
      <c r="H29" s="485">
        <f>F29</f>
        <v>0</v>
      </c>
    </row>
    <row r="30" spans="2:8" ht="15" thickBot="1" x14ac:dyDescent="0.35">
      <c r="B30" s="450"/>
      <c r="C30" s="458" t="s">
        <v>97</v>
      </c>
      <c r="D30" s="458"/>
      <c r="E30" s="458" t="s">
        <v>31</v>
      </c>
      <c r="F30" s="486">
        <f>SUM(F26:F28)-F29</f>
        <v>0</v>
      </c>
      <c r="G30" s="460"/>
      <c r="H30" s="486">
        <f>SUM(H26:H28)-H29</f>
        <v>0</v>
      </c>
    </row>
    <row r="31" spans="2:8" ht="15" thickTop="1" x14ac:dyDescent="0.3">
      <c r="B31" s="450"/>
      <c r="C31" s="458"/>
      <c r="D31" s="458"/>
      <c r="E31" s="458"/>
      <c r="F31" s="458"/>
      <c r="G31" s="458"/>
      <c r="H31" s="458"/>
    </row>
    <row r="32" spans="2:8" ht="15" thickBot="1" x14ac:dyDescent="0.35">
      <c r="B32" s="21" t="s">
        <v>80</v>
      </c>
      <c r="C32" s="478" t="s">
        <v>98</v>
      </c>
      <c r="D32" s="21"/>
      <c r="E32" s="478" t="s">
        <v>31</v>
      </c>
      <c r="F32" s="487" t="e">
        <f>F12/F30</f>
        <v>#DIV/0!</v>
      </c>
      <c r="G32" s="458"/>
      <c r="H32" s="487" t="e">
        <f>H12/H30</f>
        <v>#DIV/0!</v>
      </c>
    </row>
    <row r="33" spans="1:8" ht="15" thickTop="1" x14ac:dyDescent="0.3">
      <c r="C33" s="458"/>
      <c r="D33" s="458"/>
      <c r="E33" s="458"/>
      <c r="F33" s="458"/>
      <c r="G33" s="458"/>
      <c r="H33" s="458"/>
    </row>
    <row r="34" spans="1:8" ht="15.6" x14ac:dyDescent="0.3">
      <c r="A34" s="23"/>
      <c r="C34" s="22"/>
    </row>
    <row r="36" spans="1:8" x14ac:dyDescent="0.3">
      <c r="F36" s="297"/>
    </row>
    <row r="37" spans="1:8" x14ac:dyDescent="0.3">
      <c r="F37" s="130"/>
    </row>
    <row r="38" spans="1:8" x14ac:dyDescent="0.3">
      <c r="F38" s="130"/>
    </row>
    <row r="39" spans="1:8" x14ac:dyDescent="0.3">
      <c r="F39" s="130"/>
    </row>
    <row r="40" spans="1:8" x14ac:dyDescent="0.3">
      <c r="F40" s="130"/>
    </row>
    <row r="41" spans="1:8" x14ac:dyDescent="0.3">
      <c r="F41" s="130"/>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activeCell="A2" sqref="A2:H2"/>
      <selection pane="topRight" activeCell="A2" sqref="A2:H2"/>
      <selection pane="bottomLeft" activeCell="A2" sqref="A2:H2"/>
      <selection pane="bottomRight" activeCell="A2" sqref="A2:H2"/>
    </sheetView>
  </sheetViews>
  <sheetFormatPr defaultColWidth="9.109375" defaultRowHeight="14.4" x14ac:dyDescent="0.3"/>
  <cols>
    <col min="1" max="3" width="22.6640625" style="296" customWidth="1"/>
    <col min="4" max="4" width="18.6640625" style="687" customWidth="1"/>
    <col min="5" max="10" width="18.6640625" style="296" customWidth="1"/>
    <col min="11" max="16384" width="9.109375" style="296"/>
  </cols>
  <sheetData>
    <row r="3" spans="1:13" x14ac:dyDescent="0.3">
      <c r="D3" s="691">
        <v>2019</v>
      </c>
      <c r="E3" s="691">
        <v>2018</v>
      </c>
      <c r="F3" s="691">
        <v>2017</v>
      </c>
      <c r="G3" s="691">
        <v>2016</v>
      </c>
      <c r="H3" s="691">
        <v>2015</v>
      </c>
      <c r="I3" s="691">
        <v>2014</v>
      </c>
      <c r="J3" s="691">
        <v>2013</v>
      </c>
      <c r="K3" s="687"/>
      <c r="L3" s="687"/>
      <c r="M3" s="687"/>
    </row>
    <row r="4" spans="1:13" x14ac:dyDescent="0.3">
      <c r="A4" s="299" t="s">
        <v>475</v>
      </c>
      <c r="B4" s="299"/>
      <c r="C4" s="299" t="s">
        <v>476</v>
      </c>
      <c r="D4" s="690" t="s">
        <v>421</v>
      </c>
      <c r="E4" s="690" t="s">
        <v>421</v>
      </c>
      <c r="F4" s="690" t="s">
        <v>421</v>
      </c>
      <c r="G4" s="690" t="s">
        <v>421</v>
      </c>
      <c r="H4" s="690" t="s">
        <v>421</v>
      </c>
      <c r="I4" s="690" t="s">
        <v>421</v>
      </c>
      <c r="J4" s="690" t="s">
        <v>421</v>
      </c>
      <c r="K4" s="703"/>
    </row>
    <row r="5" spans="1:13" x14ac:dyDescent="0.3">
      <c r="A5" s="299">
        <v>5119</v>
      </c>
      <c r="B5" s="299" t="s">
        <v>452</v>
      </c>
      <c r="C5" s="299">
        <v>647</v>
      </c>
      <c r="D5" s="687">
        <v>20578691</v>
      </c>
      <c r="E5" s="687">
        <v>3249248</v>
      </c>
      <c r="F5" s="687">
        <v>2957570</v>
      </c>
      <c r="G5" s="687">
        <v>5709008</v>
      </c>
      <c r="H5" s="687">
        <v>5114434</v>
      </c>
      <c r="I5" s="687">
        <v>4562229</v>
      </c>
      <c r="J5" s="687">
        <v>4029652</v>
      </c>
    </row>
    <row r="6" spans="1:13" x14ac:dyDescent="0.3">
      <c r="A6" s="299">
        <v>5120</v>
      </c>
      <c r="B6" s="299" t="s">
        <v>453</v>
      </c>
      <c r="C6" s="299">
        <v>647</v>
      </c>
      <c r="D6" s="687">
        <v>0</v>
      </c>
      <c r="E6" s="687">
        <v>0</v>
      </c>
      <c r="F6" s="687">
        <v>0</v>
      </c>
      <c r="G6" s="687">
        <v>0</v>
      </c>
      <c r="H6" s="687">
        <v>0</v>
      </c>
      <c r="I6" s="687">
        <v>0</v>
      </c>
      <c r="J6" s="687">
        <v>0</v>
      </c>
    </row>
    <row r="7" spans="1:13" x14ac:dyDescent="0.3">
      <c r="A7" s="299">
        <v>5131</v>
      </c>
      <c r="B7" s="299" t="s">
        <v>454</v>
      </c>
      <c r="C7" s="299">
        <v>647</v>
      </c>
      <c r="D7" s="687">
        <v>37089245</v>
      </c>
      <c r="E7" s="687">
        <v>20299814</v>
      </c>
      <c r="F7" s="687">
        <v>8051571</v>
      </c>
      <c r="G7" s="687">
        <v>7371500</v>
      </c>
      <c r="H7" s="687">
        <v>5966665</v>
      </c>
      <c r="I7" s="687">
        <v>8207298</v>
      </c>
      <c r="J7" s="687">
        <v>7347048</v>
      </c>
    </row>
    <row r="8" spans="1:13" x14ac:dyDescent="0.3">
      <c r="A8" s="299">
        <v>5135</v>
      </c>
      <c r="B8" s="299" t="s">
        <v>455</v>
      </c>
      <c r="C8" s="299">
        <v>647</v>
      </c>
      <c r="D8" s="687">
        <v>0</v>
      </c>
      <c r="E8" s="687">
        <v>0</v>
      </c>
      <c r="F8" s="687">
        <v>4056482</v>
      </c>
      <c r="G8" s="687">
        <v>3922669</v>
      </c>
      <c r="H8" s="687">
        <v>3148233</v>
      </c>
      <c r="I8" s="687">
        <v>2755127</v>
      </c>
      <c r="J8" s="687">
        <v>2755127</v>
      </c>
    </row>
    <row r="9" spans="1:13" x14ac:dyDescent="0.3">
      <c r="A9" s="299">
        <v>5144</v>
      </c>
      <c r="B9" s="299" t="s">
        <v>456</v>
      </c>
      <c r="C9" s="299">
        <v>647</v>
      </c>
      <c r="D9" s="687">
        <v>7441890</v>
      </c>
      <c r="E9" s="687">
        <v>7441890</v>
      </c>
      <c r="F9" s="687">
        <v>4932241</v>
      </c>
      <c r="G9" s="687">
        <v>590997</v>
      </c>
      <c r="H9" s="687">
        <v>0</v>
      </c>
      <c r="I9" s="687">
        <v>3000000</v>
      </c>
      <c r="J9" s="687">
        <v>2390166</v>
      </c>
    </row>
    <row r="10" spans="1:13" x14ac:dyDescent="0.3">
      <c r="A10" s="299">
        <v>5155</v>
      </c>
      <c r="B10" s="299" t="s">
        <v>457</v>
      </c>
      <c r="C10" s="299">
        <v>647</v>
      </c>
      <c r="D10" s="687">
        <v>1008755</v>
      </c>
      <c r="E10" s="687">
        <v>781534</v>
      </c>
      <c r="F10" s="687">
        <v>663572</v>
      </c>
      <c r="G10" s="687">
        <v>6557774</v>
      </c>
      <c r="H10" s="687">
        <v>611355</v>
      </c>
      <c r="I10" s="687">
        <v>784361</v>
      </c>
      <c r="J10" s="687">
        <v>1022379</v>
      </c>
    </row>
    <row r="11" spans="1:13" x14ac:dyDescent="0.3">
      <c r="A11" s="299">
        <v>5158</v>
      </c>
      <c r="B11" s="299" t="s">
        <v>458</v>
      </c>
      <c r="C11" s="299">
        <v>647</v>
      </c>
      <c r="D11" s="687">
        <v>9</v>
      </c>
      <c r="E11" s="687">
        <v>9</v>
      </c>
      <c r="F11" s="687">
        <v>9</v>
      </c>
      <c r="G11" s="687">
        <v>9</v>
      </c>
      <c r="H11" s="687">
        <v>9</v>
      </c>
      <c r="I11" s="687">
        <v>9</v>
      </c>
      <c r="J11" s="687">
        <v>9</v>
      </c>
    </row>
    <row r="12" spans="1:13" x14ac:dyDescent="0.3">
      <c r="A12" s="299">
        <v>5159</v>
      </c>
      <c r="B12" s="299" t="s">
        <v>459</v>
      </c>
      <c r="C12" s="299">
        <v>647</v>
      </c>
      <c r="D12" s="687">
        <v>225639888</v>
      </c>
      <c r="E12" s="687">
        <v>219009306</v>
      </c>
      <c r="F12" s="687">
        <v>181812071</v>
      </c>
      <c r="G12" s="687">
        <v>193933610</v>
      </c>
      <c r="H12" s="687">
        <v>181583886</v>
      </c>
      <c r="I12" s="687">
        <v>0</v>
      </c>
      <c r="J12" s="687">
        <v>0</v>
      </c>
    </row>
    <row r="13" spans="1:13" x14ac:dyDescent="0.3">
      <c r="A13" s="299">
        <v>5164</v>
      </c>
      <c r="B13" s="299" t="s">
        <v>460</v>
      </c>
      <c r="C13" s="299">
        <v>647</v>
      </c>
      <c r="D13" s="687">
        <v>7132135</v>
      </c>
      <c r="E13" s="687">
        <v>5438631</v>
      </c>
      <c r="F13" s="687">
        <v>2427428</v>
      </c>
      <c r="G13" s="687">
        <v>157674</v>
      </c>
      <c r="H13" s="687">
        <v>0</v>
      </c>
      <c r="I13" s="687">
        <v>0</v>
      </c>
      <c r="J13" s="687">
        <v>0</v>
      </c>
    </row>
    <row r="14" spans="1:13" x14ac:dyDescent="0.3">
      <c r="A14" s="299">
        <v>5173</v>
      </c>
      <c r="B14" s="299" t="s">
        <v>461</v>
      </c>
      <c r="C14" s="299">
        <v>647</v>
      </c>
      <c r="D14" s="687">
        <v>422216</v>
      </c>
      <c r="E14" s="687">
        <v>2615544</v>
      </c>
      <c r="F14" s="687">
        <v>880554</v>
      </c>
      <c r="G14" s="687">
        <v>154942</v>
      </c>
      <c r="H14" s="687">
        <v>107456</v>
      </c>
      <c r="I14" s="687">
        <v>46240</v>
      </c>
      <c r="J14" s="687">
        <v>23390</v>
      </c>
    </row>
    <row r="15" spans="1:13" x14ac:dyDescent="0.3">
      <c r="A15" s="299">
        <v>5178</v>
      </c>
      <c r="B15" s="299" t="s">
        <v>462</v>
      </c>
      <c r="C15" s="299">
        <v>647</v>
      </c>
      <c r="D15" s="687">
        <v>75835</v>
      </c>
      <c r="E15" s="687">
        <v>66039</v>
      </c>
      <c r="F15" s="687">
        <v>57100</v>
      </c>
      <c r="G15" s="687">
        <v>52316</v>
      </c>
      <c r="H15" s="687">
        <v>23715</v>
      </c>
      <c r="I15" s="687">
        <v>899285</v>
      </c>
      <c r="J15" s="687">
        <v>1169608</v>
      </c>
    </row>
    <row r="16" spans="1:13" x14ac:dyDescent="0.3">
      <c r="A16" s="299">
        <v>5180</v>
      </c>
      <c r="B16" s="299" t="s">
        <v>463</v>
      </c>
      <c r="C16" s="299">
        <v>647</v>
      </c>
      <c r="D16" s="687">
        <v>4586780</v>
      </c>
      <c r="E16" s="687">
        <v>5165281</v>
      </c>
      <c r="F16" s="687">
        <v>4432068</v>
      </c>
      <c r="G16" s="687">
        <v>3558985</v>
      </c>
      <c r="H16" s="687">
        <v>2657915</v>
      </c>
      <c r="I16" s="687">
        <v>2071596</v>
      </c>
      <c r="J16" s="687">
        <v>1986034</v>
      </c>
    </row>
    <row r="17" spans="1:10" x14ac:dyDescent="0.3">
      <c r="A17" s="299">
        <v>5191</v>
      </c>
      <c r="B17" s="299" t="s">
        <v>464</v>
      </c>
      <c r="C17" s="299">
        <v>647</v>
      </c>
      <c r="D17" s="687">
        <v>111303046</v>
      </c>
      <c r="E17" s="687">
        <v>108974619</v>
      </c>
      <c r="F17" s="687">
        <v>120290900</v>
      </c>
      <c r="G17" s="687">
        <v>127448981</v>
      </c>
      <c r="H17" s="687">
        <v>153873846</v>
      </c>
      <c r="I17" s="687">
        <v>135252125</v>
      </c>
      <c r="J17" s="687">
        <v>169055200</v>
      </c>
    </row>
    <row r="18" spans="1:10" x14ac:dyDescent="0.3">
      <c r="A18" s="299">
        <v>50074</v>
      </c>
      <c r="B18" s="299" t="s">
        <v>465</v>
      </c>
      <c r="C18" s="299">
        <v>647</v>
      </c>
      <c r="D18" s="687">
        <v>7494829</v>
      </c>
      <c r="E18" s="687">
        <v>7189658</v>
      </c>
      <c r="F18" s="687">
        <v>7048523</v>
      </c>
      <c r="G18" s="687">
        <v>6615510</v>
      </c>
      <c r="H18" s="687">
        <v>5452410</v>
      </c>
      <c r="I18" s="687">
        <v>4803926</v>
      </c>
      <c r="J18" s="687">
        <v>5340180</v>
      </c>
    </row>
    <row r="19" spans="1:10" x14ac:dyDescent="0.3">
      <c r="A19" s="299">
        <v>50075</v>
      </c>
      <c r="B19" s="299" t="s">
        <v>466</v>
      </c>
      <c r="C19" s="299">
        <v>647</v>
      </c>
      <c r="D19" s="687">
        <v>266214000</v>
      </c>
      <c r="E19" s="687">
        <v>265541000</v>
      </c>
      <c r="F19" s="687">
        <v>274532000</v>
      </c>
      <c r="G19" s="687">
        <v>286138000</v>
      </c>
      <c r="H19" s="687">
        <v>295124000</v>
      </c>
      <c r="I19" s="687">
        <v>264645000</v>
      </c>
      <c r="J19" s="687">
        <v>231434000</v>
      </c>
    </row>
    <row r="20" spans="1:10" x14ac:dyDescent="0.3">
      <c r="A20" s="299">
        <v>50110</v>
      </c>
      <c r="B20" s="299" t="s">
        <v>467</v>
      </c>
      <c r="C20" s="299">
        <v>647</v>
      </c>
      <c r="D20" s="687">
        <v>46833536</v>
      </c>
      <c r="E20" s="687">
        <v>45660075</v>
      </c>
      <c r="F20" s="687">
        <v>8463820</v>
      </c>
      <c r="G20" s="687">
        <v>2663591</v>
      </c>
      <c r="H20" s="687">
        <v>2371109</v>
      </c>
      <c r="I20" s="687">
        <v>2878268</v>
      </c>
      <c r="J20" s="687">
        <v>4203755</v>
      </c>
    </row>
    <row r="21" spans="1:10" x14ac:dyDescent="0.3">
      <c r="A21" s="299">
        <v>50144</v>
      </c>
      <c r="B21" s="299" t="s">
        <v>468</v>
      </c>
      <c r="C21" s="299">
        <v>647</v>
      </c>
      <c r="D21" s="687">
        <v>4258932</v>
      </c>
      <c r="E21" s="687">
        <v>853434</v>
      </c>
      <c r="F21" s="687">
        <v>1622119</v>
      </c>
      <c r="G21" s="687">
        <v>1743258</v>
      </c>
      <c r="H21" s="687">
        <v>1740179</v>
      </c>
      <c r="I21" s="687">
        <v>1739958</v>
      </c>
      <c r="J21" s="687">
        <v>1739695</v>
      </c>
    </row>
    <row r="22" spans="1:10" x14ac:dyDescent="0.3">
      <c r="A22" s="299">
        <v>50159</v>
      </c>
      <c r="B22" s="299" t="s">
        <v>469</v>
      </c>
      <c r="C22" s="299">
        <v>647</v>
      </c>
      <c r="D22" s="687">
        <v>28636370</v>
      </c>
      <c r="E22" s="687">
        <v>23180822</v>
      </c>
      <c r="F22" s="687">
        <v>16487675</v>
      </c>
      <c r="G22" s="687">
        <v>10909425</v>
      </c>
      <c r="H22" s="687">
        <v>7878571</v>
      </c>
      <c r="I22" s="687">
        <v>5300679</v>
      </c>
      <c r="J22" s="687">
        <v>4801051</v>
      </c>
    </row>
    <row r="23" spans="1:10" x14ac:dyDescent="0.3">
      <c r="A23" s="299">
        <v>50160</v>
      </c>
      <c r="B23" s="299" t="s">
        <v>470</v>
      </c>
      <c r="C23" s="299">
        <v>647</v>
      </c>
      <c r="D23" s="687">
        <v>1134799</v>
      </c>
      <c r="E23" s="687">
        <v>894858</v>
      </c>
      <c r="F23" s="687">
        <v>1002425</v>
      </c>
      <c r="G23" s="687">
        <v>354061</v>
      </c>
      <c r="H23" s="687">
        <v>392698</v>
      </c>
      <c r="I23" s="687">
        <v>442800</v>
      </c>
      <c r="J23" s="687">
        <v>942821</v>
      </c>
    </row>
    <row r="24" spans="1:10" x14ac:dyDescent="0.3">
      <c r="A24" s="299">
        <v>50180</v>
      </c>
      <c r="B24" s="299" t="s">
        <v>471</v>
      </c>
      <c r="C24" s="299">
        <v>647</v>
      </c>
      <c r="D24" s="687">
        <v>13193040</v>
      </c>
      <c r="E24" s="687">
        <v>17058564</v>
      </c>
      <c r="F24" s="687">
        <v>16187505</v>
      </c>
      <c r="G24" s="687">
        <v>16428100</v>
      </c>
      <c r="H24" s="687">
        <v>16688416</v>
      </c>
      <c r="I24" s="687">
        <v>17840940</v>
      </c>
      <c r="J24" s="687">
        <v>18042019</v>
      </c>
    </row>
    <row r="25" spans="1:10" x14ac:dyDescent="0.3">
      <c r="A25" s="299">
        <v>50405</v>
      </c>
      <c r="B25" s="299" t="s">
        <v>472</v>
      </c>
      <c r="C25" s="299">
        <v>647</v>
      </c>
      <c r="D25" s="687">
        <v>302046</v>
      </c>
      <c r="E25" s="687">
        <v>1055143</v>
      </c>
      <c r="F25" s="687">
        <v>0</v>
      </c>
      <c r="G25" s="687">
        <v>0</v>
      </c>
      <c r="H25" s="687">
        <v>0</v>
      </c>
      <c r="I25" s="687">
        <v>0</v>
      </c>
      <c r="J25" s="687">
        <v>0</v>
      </c>
    </row>
    <row r="26" spans="1:10" x14ac:dyDescent="0.3">
      <c r="A26" s="299">
        <v>50425</v>
      </c>
      <c r="B26" s="299" t="s">
        <v>473</v>
      </c>
      <c r="C26" s="299">
        <v>647</v>
      </c>
      <c r="D26" s="687">
        <v>20836222</v>
      </c>
      <c r="E26" s="687">
        <v>16328642</v>
      </c>
      <c r="F26" s="687">
        <v>15202516</v>
      </c>
      <c r="G26" s="687">
        <v>12384500</v>
      </c>
      <c r="H26" s="687">
        <v>9788553</v>
      </c>
      <c r="I26" s="687">
        <v>7967199</v>
      </c>
      <c r="J26" s="687">
        <v>6398918</v>
      </c>
    </row>
    <row r="27" spans="1:10" x14ac:dyDescent="0.3">
      <c r="A27" s="299">
        <v>50431</v>
      </c>
      <c r="B27" s="299" t="s">
        <v>474</v>
      </c>
      <c r="C27" s="299">
        <v>647</v>
      </c>
      <c r="D27" s="687">
        <v>25542629</v>
      </c>
      <c r="E27" s="687">
        <v>24964077</v>
      </c>
      <c r="F27" s="687">
        <v>23618105</v>
      </c>
      <c r="G27" s="687">
        <v>22744716</v>
      </c>
      <c r="H27" s="687">
        <v>16714796</v>
      </c>
      <c r="I27" s="687">
        <v>13788676</v>
      </c>
      <c r="J27" s="687">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A2" sqref="A2:H2"/>
    </sheetView>
  </sheetViews>
  <sheetFormatPr defaultColWidth="9.109375" defaultRowHeight="14.4" x14ac:dyDescent="0.3"/>
  <cols>
    <col min="1" max="1" width="9.109375" style="270"/>
    <col min="2" max="2" width="54.109375" style="270" customWidth="1"/>
    <col min="3" max="3" width="23.6640625" style="270" customWidth="1"/>
    <col min="4" max="4" width="19.6640625" style="270" customWidth="1"/>
    <col min="5" max="10" width="9.109375" style="270"/>
    <col min="11" max="11" width="54.109375" style="270" customWidth="1"/>
    <col min="12" max="16384" width="9.109375" style="270"/>
  </cols>
  <sheetData>
    <row r="1" spans="1:11" ht="43.2" x14ac:dyDescent="0.3">
      <c r="A1" s="270" t="s">
        <v>475</v>
      </c>
      <c r="B1" s="270" t="s">
        <v>614</v>
      </c>
      <c r="C1" s="278" t="s">
        <v>579</v>
      </c>
      <c r="D1" s="279" t="s">
        <v>799</v>
      </c>
      <c r="E1" s="270" t="s">
        <v>1260</v>
      </c>
    </row>
    <row r="3" spans="1:11" ht="23.4" x14ac:dyDescent="0.45">
      <c r="A3" s="270">
        <v>50001</v>
      </c>
      <c r="B3" s="270" t="s">
        <v>615</v>
      </c>
      <c r="C3" s="270">
        <v>50</v>
      </c>
      <c r="D3" s="170" t="s">
        <v>51</v>
      </c>
      <c r="E3" s="304" t="s">
        <v>937</v>
      </c>
    </row>
    <row r="4" spans="1:11" x14ac:dyDescent="0.3">
      <c r="A4" s="270">
        <v>50006</v>
      </c>
      <c r="B4" s="270" t="s">
        <v>616</v>
      </c>
      <c r="C4" s="270">
        <v>50</v>
      </c>
      <c r="D4" s="170" t="s">
        <v>51</v>
      </c>
    </row>
    <row r="5" spans="1:11" x14ac:dyDescent="0.3">
      <c r="A5" s="270">
        <v>50013</v>
      </c>
      <c r="B5" s="270" t="s">
        <v>618</v>
      </c>
      <c r="C5" s="270">
        <v>50</v>
      </c>
      <c r="D5" s="170" t="s">
        <v>51</v>
      </c>
    </row>
    <row r="6" spans="1:11" x14ac:dyDescent="0.3">
      <c r="A6" s="270">
        <v>50016</v>
      </c>
      <c r="B6" s="950" t="s">
        <v>1261</v>
      </c>
      <c r="C6" s="270">
        <v>50</v>
      </c>
      <c r="D6" s="170" t="s">
        <v>51</v>
      </c>
      <c r="K6" s="950"/>
    </row>
    <row r="7" spans="1:11" x14ac:dyDescent="0.3">
      <c r="A7" s="270">
        <v>50019</v>
      </c>
      <c r="B7" s="950" t="s">
        <v>1262</v>
      </c>
      <c r="C7" s="270">
        <v>50</v>
      </c>
      <c r="D7" s="170" t="s">
        <v>51</v>
      </c>
      <c r="K7" s="950"/>
    </row>
    <row r="8" spans="1:11" x14ac:dyDescent="0.3">
      <c r="A8" s="270">
        <v>50504</v>
      </c>
      <c r="B8" s="270" t="s">
        <v>619</v>
      </c>
      <c r="C8" s="270">
        <v>50</v>
      </c>
      <c r="D8" s="170" t="s">
        <v>51</v>
      </c>
    </row>
    <row r="9" spans="1:11" x14ac:dyDescent="0.3">
      <c r="A9" s="270">
        <v>50021</v>
      </c>
      <c r="B9" s="950" t="s">
        <v>1263</v>
      </c>
      <c r="C9" s="270">
        <v>50</v>
      </c>
      <c r="D9" s="170" t="s">
        <v>51</v>
      </c>
      <c r="K9" s="950"/>
    </row>
    <row r="10" spans="1:11" x14ac:dyDescent="0.3">
      <c r="A10" s="270">
        <v>50024</v>
      </c>
      <c r="B10" s="270" t="s">
        <v>620</v>
      </c>
      <c r="C10" s="270">
        <v>50</v>
      </c>
      <c r="D10" s="170" t="s">
        <v>51</v>
      </c>
    </row>
    <row r="11" spans="1:11" x14ac:dyDescent="0.3">
      <c r="A11" s="270">
        <v>50029</v>
      </c>
      <c r="B11" s="270" t="s">
        <v>621</v>
      </c>
      <c r="C11" s="270">
        <v>50</v>
      </c>
      <c r="D11" s="170" t="s">
        <v>51</v>
      </c>
    </row>
    <row r="12" spans="1:11" x14ac:dyDescent="0.3">
      <c r="A12" s="270">
        <v>50031</v>
      </c>
      <c r="B12" s="950" t="s">
        <v>1264</v>
      </c>
      <c r="C12" s="270">
        <v>50</v>
      </c>
      <c r="D12" s="170" t="s">
        <v>51</v>
      </c>
      <c r="K12" s="950"/>
    </row>
    <row r="13" spans="1:11" x14ac:dyDescent="0.3">
      <c r="A13" s="270">
        <v>50469</v>
      </c>
      <c r="B13" s="270" t="s">
        <v>622</v>
      </c>
      <c r="C13" s="270">
        <v>50</v>
      </c>
      <c r="D13" s="170" t="s">
        <v>51</v>
      </c>
    </row>
    <row r="14" spans="1:11" x14ac:dyDescent="0.3">
      <c r="A14" s="270">
        <v>50034</v>
      </c>
      <c r="B14" s="270" t="s">
        <v>624</v>
      </c>
      <c r="C14" s="270">
        <v>50</v>
      </c>
      <c r="D14" s="170" t="s">
        <v>51</v>
      </c>
    </row>
    <row r="15" spans="1:11" x14ac:dyDescent="0.3">
      <c r="A15" s="270">
        <v>50038</v>
      </c>
      <c r="B15" s="270" t="s">
        <v>625</v>
      </c>
      <c r="C15" s="270">
        <v>50</v>
      </c>
      <c r="D15" s="170" t="s">
        <v>51</v>
      </c>
    </row>
    <row r="16" spans="1:11" x14ac:dyDescent="0.3">
      <c r="A16" s="270">
        <v>50506</v>
      </c>
      <c r="B16" s="270" t="s">
        <v>626</v>
      </c>
      <c r="C16" s="270">
        <v>50</v>
      </c>
      <c r="D16" s="170" t="s">
        <v>51</v>
      </c>
    </row>
    <row r="17" spans="1:11" x14ac:dyDescent="0.3">
      <c r="A17" s="270">
        <v>50045</v>
      </c>
      <c r="B17" s="270" t="s">
        <v>627</v>
      </c>
      <c r="C17" s="270">
        <v>50</v>
      </c>
      <c r="D17" s="170" t="s">
        <v>51</v>
      </c>
    </row>
    <row r="18" spans="1:11" x14ac:dyDescent="0.3">
      <c r="A18" s="270">
        <v>50049</v>
      </c>
      <c r="B18" s="270" t="s">
        <v>628</v>
      </c>
      <c r="C18" s="270">
        <v>50</v>
      </c>
      <c r="D18" s="170" t="s">
        <v>51</v>
      </c>
    </row>
    <row r="19" spans="1:11" x14ac:dyDescent="0.3">
      <c r="A19" s="270">
        <v>50055</v>
      </c>
      <c r="B19" s="950" t="s">
        <v>1265</v>
      </c>
      <c r="C19" s="270">
        <v>50</v>
      </c>
      <c r="D19" s="170" t="s">
        <v>51</v>
      </c>
      <c r="K19" s="950"/>
    </row>
    <row r="20" spans="1:11" x14ac:dyDescent="0.3">
      <c r="A20" s="270">
        <v>50466</v>
      </c>
      <c r="B20" s="270" t="s">
        <v>1266</v>
      </c>
      <c r="C20" s="270">
        <v>50</v>
      </c>
      <c r="D20" s="170" t="s">
        <v>51</v>
      </c>
    </row>
    <row r="21" spans="1:11" x14ac:dyDescent="0.3">
      <c r="A21" s="270">
        <v>50069</v>
      </c>
      <c r="B21" s="270" t="s">
        <v>629</v>
      </c>
      <c r="C21" s="270">
        <v>50</v>
      </c>
      <c r="D21" s="170" t="s">
        <v>51</v>
      </c>
    </row>
    <row r="22" spans="1:11" x14ac:dyDescent="0.3">
      <c r="A22" s="270">
        <v>50467</v>
      </c>
      <c r="B22" s="270" t="s">
        <v>630</v>
      </c>
      <c r="C22" s="270">
        <v>50</v>
      </c>
      <c r="D22" s="170" t="s">
        <v>51</v>
      </c>
    </row>
    <row r="23" spans="1:11" x14ac:dyDescent="0.3">
      <c r="A23" s="270">
        <v>50510</v>
      </c>
      <c r="B23" s="270" t="s">
        <v>631</v>
      </c>
      <c r="C23" s="270">
        <v>50</v>
      </c>
      <c r="D23" s="170" t="s">
        <v>51</v>
      </c>
    </row>
    <row r="24" spans="1:11" x14ac:dyDescent="0.3">
      <c r="A24" s="270">
        <v>50078</v>
      </c>
      <c r="B24" s="270" t="s">
        <v>1267</v>
      </c>
      <c r="C24" s="270">
        <v>50</v>
      </c>
      <c r="D24" s="170" t="s">
        <v>51</v>
      </c>
    </row>
    <row r="25" spans="1:11" x14ac:dyDescent="0.3">
      <c r="A25" s="270">
        <v>50080</v>
      </c>
      <c r="B25" s="270" t="s">
        <v>1268</v>
      </c>
      <c r="C25" s="270">
        <v>50</v>
      </c>
      <c r="D25" s="170" t="s">
        <v>51</v>
      </c>
    </row>
    <row r="26" spans="1:11" x14ac:dyDescent="0.3">
      <c r="A26" s="270">
        <v>50468</v>
      </c>
      <c r="B26" s="950" t="s">
        <v>1269</v>
      </c>
      <c r="C26" s="270">
        <v>50</v>
      </c>
      <c r="D26" s="170" t="s">
        <v>51</v>
      </c>
      <c r="K26" s="950"/>
    </row>
    <row r="27" spans="1:11" x14ac:dyDescent="0.3">
      <c r="A27" s="270">
        <v>50086</v>
      </c>
      <c r="B27" s="270" t="s">
        <v>633</v>
      </c>
      <c r="C27" s="270">
        <v>50</v>
      </c>
      <c r="D27" s="170" t="s">
        <v>51</v>
      </c>
    </row>
    <row r="28" spans="1:11" x14ac:dyDescent="0.3">
      <c r="A28" s="270">
        <v>50087</v>
      </c>
      <c r="B28" s="270" t="s">
        <v>634</v>
      </c>
      <c r="C28" s="270">
        <v>50</v>
      </c>
      <c r="D28" s="170" t="s">
        <v>51</v>
      </c>
    </row>
    <row r="29" spans="1:11" x14ac:dyDescent="0.3">
      <c r="A29" s="270">
        <v>50091</v>
      </c>
      <c r="B29" s="950" t="s">
        <v>1270</v>
      </c>
      <c r="C29" s="270">
        <v>50</v>
      </c>
      <c r="D29" s="170" t="s">
        <v>51</v>
      </c>
      <c r="K29" s="950"/>
    </row>
    <row r="30" spans="1:11" x14ac:dyDescent="0.3">
      <c r="A30" s="270">
        <v>50098</v>
      </c>
      <c r="B30" s="270" t="s">
        <v>1271</v>
      </c>
      <c r="C30" s="270">
        <v>50</v>
      </c>
      <c r="D30" s="170" t="s">
        <v>51</v>
      </c>
    </row>
    <row r="31" spans="1:11" x14ac:dyDescent="0.3">
      <c r="A31" s="270">
        <v>50100</v>
      </c>
      <c r="B31" s="270" t="s">
        <v>1272</v>
      </c>
      <c r="C31" s="270">
        <v>50</v>
      </c>
      <c r="D31" s="170" t="s">
        <v>51</v>
      </c>
    </row>
    <row r="32" spans="1:11" x14ac:dyDescent="0.3">
      <c r="A32" s="270">
        <v>50513</v>
      </c>
      <c r="B32" s="270" t="s">
        <v>635</v>
      </c>
      <c r="C32" s="270">
        <v>50</v>
      </c>
      <c r="D32" s="170" t="s">
        <v>51</v>
      </c>
    </row>
    <row r="33" spans="1:11" x14ac:dyDescent="0.3">
      <c r="A33" s="270">
        <v>50106</v>
      </c>
      <c r="B33" s="270" t="s">
        <v>636</v>
      </c>
      <c r="C33" s="270">
        <v>50</v>
      </c>
      <c r="D33" s="170" t="s">
        <v>51</v>
      </c>
    </row>
    <row r="34" spans="1:11" x14ac:dyDescent="0.3">
      <c r="A34" s="270">
        <v>50472</v>
      </c>
      <c r="B34" s="270" t="s">
        <v>637</v>
      </c>
      <c r="C34" s="270">
        <v>50</v>
      </c>
      <c r="D34" s="170" t="s">
        <v>51</v>
      </c>
    </row>
    <row r="35" spans="1:11" x14ac:dyDescent="0.3">
      <c r="A35" s="270">
        <v>50112</v>
      </c>
      <c r="B35" s="270" t="s">
        <v>638</v>
      </c>
      <c r="C35" s="270">
        <v>50</v>
      </c>
      <c r="D35" s="170" t="s">
        <v>51</v>
      </c>
    </row>
    <row r="36" spans="1:11" x14ac:dyDescent="0.3">
      <c r="A36" s="270">
        <v>50113</v>
      </c>
      <c r="B36" s="270" t="s">
        <v>639</v>
      </c>
      <c r="C36" s="270">
        <v>50</v>
      </c>
      <c r="D36" s="170" t="s">
        <v>51</v>
      </c>
    </row>
    <row r="37" spans="1:11" x14ac:dyDescent="0.3">
      <c r="A37" s="270">
        <v>50116</v>
      </c>
      <c r="B37" s="950" t="s">
        <v>1273</v>
      </c>
      <c r="C37" s="270">
        <v>50</v>
      </c>
      <c r="D37" s="170" t="s">
        <v>51</v>
      </c>
      <c r="K37" s="950"/>
    </row>
    <row r="38" spans="1:11" x14ac:dyDescent="0.3">
      <c r="A38" s="270">
        <v>50121</v>
      </c>
      <c r="B38" s="270" t="s">
        <v>641</v>
      </c>
      <c r="C38" s="270">
        <v>50</v>
      </c>
      <c r="D38" s="170" t="s">
        <v>51</v>
      </c>
    </row>
    <row r="39" spans="1:11" x14ac:dyDescent="0.3">
      <c r="A39" s="270">
        <v>50122</v>
      </c>
      <c r="B39" s="270" t="s">
        <v>642</v>
      </c>
      <c r="C39" s="270">
        <v>50</v>
      </c>
      <c r="D39" s="170" t="s">
        <v>51</v>
      </c>
    </row>
    <row r="40" spans="1:11" x14ac:dyDescent="0.3">
      <c r="A40" s="270">
        <v>50125</v>
      </c>
      <c r="B40" s="270" t="s">
        <v>643</v>
      </c>
      <c r="C40" s="270">
        <v>50</v>
      </c>
      <c r="D40" s="170" t="s">
        <v>51</v>
      </c>
    </row>
    <row r="41" spans="1:11" x14ac:dyDescent="0.3">
      <c r="A41" s="270">
        <v>50126</v>
      </c>
      <c r="B41" s="950" t="s">
        <v>1274</v>
      </c>
      <c r="C41" s="270">
        <v>50</v>
      </c>
      <c r="D41" s="170" t="s">
        <v>51</v>
      </c>
      <c r="K41" s="950"/>
    </row>
    <row r="42" spans="1:11" x14ac:dyDescent="0.3">
      <c r="A42" s="270">
        <v>50127</v>
      </c>
      <c r="B42" s="270" t="s">
        <v>1275</v>
      </c>
      <c r="C42" s="270">
        <v>50</v>
      </c>
      <c r="D42" s="170" t="s">
        <v>51</v>
      </c>
    </row>
    <row r="43" spans="1:11" x14ac:dyDescent="0.3">
      <c r="A43" s="270">
        <v>50128</v>
      </c>
      <c r="B43" s="270" t="s">
        <v>645</v>
      </c>
      <c r="C43" s="270">
        <v>50</v>
      </c>
      <c r="D43" s="170" t="s">
        <v>51</v>
      </c>
    </row>
    <row r="44" spans="1:11" x14ac:dyDescent="0.3">
      <c r="A44" s="270">
        <v>50129</v>
      </c>
      <c r="B44" s="270" t="s">
        <v>646</v>
      </c>
      <c r="C44" s="270">
        <v>50</v>
      </c>
      <c r="D44" s="170" t="s">
        <v>51</v>
      </c>
    </row>
    <row r="45" spans="1:11" x14ac:dyDescent="0.3">
      <c r="A45" s="270">
        <v>50130</v>
      </c>
      <c r="B45" s="270" t="s">
        <v>647</v>
      </c>
      <c r="C45" s="270">
        <v>50</v>
      </c>
      <c r="D45" s="170" t="s">
        <v>51</v>
      </c>
    </row>
    <row r="46" spans="1:11" x14ac:dyDescent="0.3">
      <c r="A46" s="270">
        <v>50570</v>
      </c>
      <c r="B46" s="270" t="s">
        <v>648</v>
      </c>
      <c r="C46" s="270">
        <v>50</v>
      </c>
      <c r="D46" s="170" t="s">
        <v>51</v>
      </c>
    </row>
    <row r="47" spans="1:11" x14ac:dyDescent="0.3">
      <c r="A47" s="270">
        <v>50139</v>
      </c>
      <c r="B47" s="270" t="s">
        <v>650</v>
      </c>
      <c r="C47" s="270">
        <v>50</v>
      </c>
      <c r="D47" s="170" t="s">
        <v>51</v>
      </c>
    </row>
    <row r="48" spans="1:11" x14ac:dyDescent="0.3">
      <c r="A48" s="270">
        <v>50142</v>
      </c>
      <c r="B48" s="270" t="s">
        <v>651</v>
      </c>
      <c r="C48" s="270">
        <v>50</v>
      </c>
      <c r="D48" s="170" t="s">
        <v>51</v>
      </c>
    </row>
    <row r="49" spans="1:11" x14ac:dyDescent="0.3">
      <c r="A49" s="270">
        <v>50143</v>
      </c>
      <c r="B49" s="270" t="s">
        <v>652</v>
      </c>
      <c r="C49" s="270">
        <v>50</v>
      </c>
      <c r="D49" s="170" t="s">
        <v>51</v>
      </c>
    </row>
    <row r="50" spans="1:11" x14ac:dyDescent="0.3">
      <c r="A50" s="270">
        <v>50148</v>
      </c>
      <c r="B50" s="270" t="s">
        <v>455</v>
      </c>
      <c r="C50" s="270">
        <v>50</v>
      </c>
      <c r="D50" s="170" t="s">
        <v>51</v>
      </c>
    </row>
    <row r="51" spans="1:11" x14ac:dyDescent="0.3">
      <c r="A51" s="270">
        <v>50151</v>
      </c>
      <c r="B51" s="270" t="s">
        <v>1276</v>
      </c>
      <c r="C51" s="270">
        <v>50</v>
      </c>
      <c r="D51" s="170" t="s">
        <v>51</v>
      </c>
    </row>
    <row r="52" spans="1:11" x14ac:dyDescent="0.3">
      <c r="A52" s="270">
        <v>50153</v>
      </c>
      <c r="B52" s="270" t="s">
        <v>653</v>
      </c>
      <c r="C52" s="270">
        <v>50</v>
      </c>
      <c r="D52" s="170" t="s">
        <v>51</v>
      </c>
    </row>
    <row r="53" spans="1:11" x14ac:dyDescent="0.3">
      <c r="A53" s="270">
        <v>50154</v>
      </c>
      <c r="B53" s="270" t="s">
        <v>654</v>
      </c>
      <c r="C53" s="270">
        <v>50</v>
      </c>
      <c r="D53" s="170" t="s">
        <v>51</v>
      </c>
    </row>
    <row r="54" spans="1:11" x14ac:dyDescent="0.3">
      <c r="A54" s="270">
        <v>50517</v>
      </c>
      <c r="B54" s="950" t="s">
        <v>1277</v>
      </c>
      <c r="C54" s="270">
        <v>50</v>
      </c>
      <c r="D54" s="170" t="s">
        <v>51</v>
      </c>
      <c r="K54" s="950"/>
    </row>
    <row r="55" spans="1:11" x14ac:dyDescent="0.3">
      <c r="A55" s="270">
        <v>50448</v>
      </c>
      <c r="B55" s="270" t="s">
        <v>655</v>
      </c>
      <c r="C55" s="270">
        <v>50</v>
      </c>
      <c r="D55" s="170" t="s">
        <v>51</v>
      </c>
    </row>
    <row r="56" spans="1:11" x14ac:dyDescent="0.3">
      <c r="A56" s="270">
        <v>50163</v>
      </c>
      <c r="B56" s="270" t="s">
        <v>656</v>
      </c>
      <c r="C56" s="270">
        <v>50</v>
      </c>
      <c r="D56" s="170" t="s">
        <v>51</v>
      </c>
    </row>
    <row r="57" spans="1:11" x14ac:dyDescent="0.3">
      <c r="A57" s="270">
        <v>50165</v>
      </c>
      <c r="B57" s="270" t="s">
        <v>657</v>
      </c>
      <c r="C57" s="270">
        <v>50</v>
      </c>
      <c r="D57" s="170" t="s">
        <v>51</v>
      </c>
    </row>
    <row r="58" spans="1:11" x14ac:dyDescent="0.3">
      <c r="A58" s="270">
        <v>50166</v>
      </c>
      <c r="B58" s="270" t="s">
        <v>658</v>
      </c>
      <c r="C58" s="270">
        <v>50</v>
      </c>
      <c r="D58" s="170" t="s">
        <v>51</v>
      </c>
    </row>
    <row r="59" spans="1:11" x14ac:dyDescent="0.3">
      <c r="A59" s="270">
        <v>50167</v>
      </c>
      <c r="B59" s="270" t="s">
        <v>659</v>
      </c>
      <c r="C59" s="270">
        <v>50</v>
      </c>
      <c r="D59" s="170" t="s">
        <v>51</v>
      </c>
    </row>
    <row r="60" spans="1:11" x14ac:dyDescent="0.3">
      <c r="A60" s="270">
        <v>50171</v>
      </c>
      <c r="B60" s="950" t="s">
        <v>1278</v>
      </c>
      <c r="C60" s="270">
        <v>50</v>
      </c>
      <c r="D60" s="170" t="s">
        <v>51</v>
      </c>
      <c r="K60" s="950"/>
    </row>
    <row r="61" spans="1:11" x14ac:dyDescent="0.3">
      <c r="A61" s="270">
        <v>50440</v>
      </c>
      <c r="B61" s="270" t="s">
        <v>1279</v>
      </c>
      <c r="C61" s="270">
        <v>50</v>
      </c>
      <c r="D61" s="170" t="s">
        <v>51</v>
      </c>
    </row>
    <row r="62" spans="1:11" x14ac:dyDescent="0.3">
      <c r="A62" s="270">
        <v>50175</v>
      </c>
      <c r="B62" s="950" t="s">
        <v>456</v>
      </c>
      <c r="C62" s="270">
        <v>50</v>
      </c>
      <c r="D62" s="170" t="s">
        <v>51</v>
      </c>
      <c r="K62" s="950"/>
    </row>
    <row r="63" spans="1:11" x14ac:dyDescent="0.3">
      <c r="A63" s="270">
        <v>50177</v>
      </c>
      <c r="B63" s="950" t="s">
        <v>1280</v>
      </c>
      <c r="C63" s="270">
        <v>50</v>
      </c>
      <c r="D63" s="170" t="s">
        <v>51</v>
      </c>
      <c r="K63" s="950"/>
    </row>
    <row r="64" spans="1:11" x14ac:dyDescent="0.3">
      <c r="A64" s="270">
        <v>50183</v>
      </c>
      <c r="B64" s="270" t="s">
        <v>660</v>
      </c>
      <c r="C64" s="270">
        <v>50</v>
      </c>
      <c r="D64" s="170" t="s">
        <v>51</v>
      </c>
    </row>
    <row r="65" spans="1:11" x14ac:dyDescent="0.3">
      <c r="A65" s="270">
        <v>50184</v>
      </c>
      <c r="B65" s="270" t="s">
        <v>661</v>
      </c>
      <c r="C65" s="270">
        <v>50</v>
      </c>
      <c r="D65" s="170" t="s">
        <v>51</v>
      </c>
    </row>
    <row r="66" spans="1:11" x14ac:dyDescent="0.3">
      <c r="A66" s="270">
        <v>50186</v>
      </c>
      <c r="B66" s="270" t="s">
        <v>662</v>
      </c>
      <c r="C66" s="270">
        <v>50</v>
      </c>
      <c r="D66" s="170" t="s">
        <v>51</v>
      </c>
    </row>
    <row r="67" spans="1:11" x14ac:dyDescent="0.3">
      <c r="A67" s="270">
        <v>50476</v>
      </c>
      <c r="B67" s="270" t="s">
        <v>529</v>
      </c>
      <c r="C67" s="270">
        <v>50</v>
      </c>
      <c r="D67" s="170" t="s">
        <v>51</v>
      </c>
    </row>
    <row r="68" spans="1:11" x14ac:dyDescent="0.3">
      <c r="A68" s="270">
        <v>50192</v>
      </c>
      <c r="B68" s="270" t="s">
        <v>530</v>
      </c>
      <c r="C68" s="270">
        <v>50</v>
      </c>
      <c r="D68" s="170" t="s">
        <v>51</v>
      </c>
    </row>
    <row r="69" spans="1:11" x14ac:dyDescent="0.3">
      <c r="A69" s="270">
        <v>50518</v>
      </c>
      <c r="B69" s="270" t="s">
        <v>531</v>
      </c>
      <c r="C69" s="270">
        <v>50</v>
      </c>
      <c r="D69" s="170" t="s">
        <v>51</v>
      </c>
    </row>
    <row r="70" spans="1:11" x14ac:dyDescent="0.3">
      <c r="A70" s="270">
        <v>50231</v>
      </c>
      <c r="B70" s="270" t="s">
        <v>532</v>
      </c>
      <c r="C70" s="270">
        <v>50</v>
      </c>
      <c r="D70" s="170" t="s">
        <v>51</v>
      </c>
    </row>
    <row r="71" spans="1:11" x14ac:dyDescent="0.3">
      <c r="A71" s="270">
        <v>50235</v>
      </c>
      <c r="B71" s="270" t="s">
        <v>534</v>
      </c>
      <c r="C71" s="270">
        <v>50</v>
      </c>
      <c r="D71" s="170" t="s">
        <v>51</v>
      </c>
    </row>
    <row r="72" spans="1:11" x14ac:dyDescent="0.3">
      <c r="A72" s="270">
        <v>50233</v>
      </c>
      <c r="B72" s="270" t="s">
        <v>533</v>
      </c>
      <c r="C72" s="270">
        <v>50</v>
      </c>
      <c r="D72" s="170" t="s">
        <v>51</v>
      </c>
    </row>
    <row r="73" spans="1:11" x14ac:dyDescent="0.3">
      <c r="A73" s="270">
        <v>50236</v>
      </c>
      <c r="B73" s="270" t="s">
        <v>535</v>
      </c>
      <c r="C73" s="270">
        <v>50</v>
      </c>
      <c r="D73" s="170" t="s">
        <v>51</v>
      </c>
    </row>
    <row r="74" spans="1:11" x14ac:dyDescent="0.3">
      <c r="A74" s="270">
        <v>50239</v>
      </c>
      <c r="B74" s="270" t="s">
        <v>536</v>
      </c>
      <c r="C74" s="270">
        <v>50</v>
      </c>
      <c r="D74" s="170" t="s">
        <v>51</v>
      </c>
    </row>
    <row r="75" spans="1:11" x14ac:dyDescent="0.3">
      <c r="A75" s="270">
        <v>50249</v>
      </c>
      <c r="B75" s="270" t="s">
        <v>537</v>
      </c>
      <c r="C75" s="270">
        <v>50</v>
      </c>
      <c r="D75" s="170" t="s">
        <v>51</v>
      </c>
    </row>
    <row r="76" spans="1:11" x14ac:dyDescent="0.3">
      <c r="A76" s="270">
        <v>50254</v>
      </c>
      <c r="B76" s="270" t="s">
        <v>1281</v>
      </c>
      <c r="C76" s="270">
        <v>50</v>
      </c>
      <c r="D76" s="170" t="s">
        <v>51</v>
      </c>
    </row>
    <row r="77" spans="1:11" x14ac:dyDescent="0.3">
      <c r="A77" s="270">
        <v>50255</v>
      </c>
      <c r="B77" s="950" t="s">
        <v>1282</v>
      </c>
      <c r="C77" s="270">
        <v>50</v>
      </c>
      <c r="D77" s="170" t="s">
        <v>51</v>
      </c>
      <c r="K77" s="950"/>
    </row>
    <row r="78" spans="1:11" x14ac:dyDescent="0.3">
      <c r="A78" s="270">
        <v>50257</v>
      </c>
      <c r="B78" s="270" t="s">
        <v>665</v>
      </c>
      <c r="C78" s="270">
        <v>50</v>
      </c>
      <c r="D78" s="170" t="s">
        <v>51</v>
      </c>
    </row>
    <row r="79" spans="1:11" x14ac:dyDescent="0.3">
      <c r="A79" s="270">
        <v>50452</v>
      </c>
      <c r="B79" s="950" t="s">
        <v>1283</v>
      </c>
      <c r="C79" s="270">
        <v>50</v>
      </c>
      <c r="D79" s="170" t="s">
        <v>51</v>
      </c>
      <c r="K79" s="950"/>
    </row>
    <row r="80" spans="1:11" x14ac:dyDescent="0.3">
      <c r="A80" s="270">
        <v>50260</v>
      </c>
      <c r="B80" s="270" t="s">
        <v>666</v>
      </c>
      <c r="C80" s="270">
        <v>50</v>
      </c>
      <c r="D80" s="170" t="s">
        <v>51</v>
      </c>
    </row>
    <row r="81" spans="1:11" x14ac:dyDescent="0.3">
      <c r="A81" s="270">
        <v>50268</v>
      </c>
      <c r="B81" s="950" t="s">
        <v>1284</v>
      </c>
      <c r="C81" s="270">
        <v>50</v>
      </c>
      <c r="D81" s="170" t="s">
        <v>51</v>
      </c>
      <c r="K81" s="950"/>
    </row>
    <row r="82" spans="1:11" x14ac:dyDescent="0.3">
      <c r="A82" s="270">
        <v>50269</v>
      </c>
      <c r="B82" s="270" t="s">
        <v>667</v>
      </c>
      <c r="C82" s="270">
        <v>50</v>
      </c>
      <c r="D82" s="170" t="s">
        <v>51</v>
      </c>
    </row>
    <row r="83" spans="1:11" x14ac:dyDescent="0.3">
      <c r="A83" s="270">
        <v>50480</v>
      </c>
      <c r="B83" s="270" t="s">
        <v>668</v>
      </c>
      <c r="C83" s="270">
        <v>50</v>
      </c>
      <c r="D83" s="170" t="s">
        <v>51</v>
      </c>
    </row>
    <row r="84" spans="1:11" x14ac:dyDescent="0.3">
      <c r="A84" s="270">
        <v>50278</v>
      </c>
      <c r="B84" s="270" t="s">
        <v>669</v>
      </c>
      <c r="C84" s="270">
        <v>50</v>
      </c>
      <c r="D84" s="170" t="s">
        <v>51</v>
      </c>
    </row>
    <row r="85" spans="1:11" x14ac:dyDescent="0.3">
      <c r="A85" s="270">
        <v>50280</v>
      </c>
      <c r="B85" s="270" t="s">
        <v>670</v>
      </c>
      <c r="C85" s="270">
        <v>50</v>
      </c>
      <c r="D85" s="170" t="s">
        <v>51</v>
      </c>
    </row>
    <row r="86" spans="1:11" x14ac:dyDescent="0.3">
      <c r="A86" s="270">
        <v>50281</v>
      </c>
      <c r="B86" s="270" t="s">
        <v>671</v>
      </c>
      <c r="C86" s="270">
        <v>50</v>
      </c>
      <c r="D86" s="170" t="s">
        <v>51</v>
      </c>
    </row>
    <row r="87" spans="1:11" x14ac:dyDescent="0.3">
      <c r="A87" s="270">
        <v>50478</v>
      </c>
      <c r="B87" s="270" t="s">
        <v>672</v>
      </c>
      <c r="C87" s="270">
        <v>50</v>
      </c>
      <c r="D87" s="170" t="s">
        <v>51</v>
      </c>
    </row>
    <row r="88" spans="1:11" x14ac:dyDescent="0.3">
      <c r="A88" s="270">
        <v>50283</v>
      </c>
      <c r="B88" s="270" t="s">
        <v>674</v>
      </c>
      <c r="C88" s="270">
        <v>50</v>
      </c>
      <c r="D88" s="170" t="s">
        <v>51</v>
      </c>
    </row>
    <row r="89" spans="1:11" x14ac:dyDescent="0.3">
      <c r="A89" s="270">
        <v>50285</v>
      </c>
      <c r="B89" s="270" t="s">
        <v>675</v>
      </c>
      <c r="C89" s="270">
        <v>50</v>
      </c>
      <c r="D89" s="170" t="s">
        <v>51</v>
      </c>
    </row>
    <row r="90" spans="1:11" x14ac:dyDescent="0.3">
      <c r="A90" s="270">
        <v>50296</v>
      </c>
      <c r="B90" s="270" t="s">
        <v>678</v>
      </c>
      <c r="C90" s="270">
        <v>50</v>
      </c>
      <c r="D90" s="170" t="s">
        <v>51</v>
      </c>
    </row>
    <row r="91" spans="1:11" x14ac:dyDescent="0.3">
      <c r="A91" s="270">
        <v>50297</v>
      </c>
      <c r="B91" s="270" t="s">
        <v>679</v>
      </c>
      <c r="C91" s="270">
        <v>50</v>
      </c>
      <c r="D91" s="170" t="s">
        <v>51</v>
      </c>
    </row>
    <row r="92" spans="1:11" x14ac:dyDescent="0.3">
      <c r="A92" s="270">
        <v>50305</v>
      </c>
      <c r="B92" s="950" t="s">
        <v>1285</v>
      </c>
      <c r="C92" s="270">
        <v>50</v>
      </c>
      <c r="D92" s="170" t="s">
        <v>51</v>
      </c>
      <c r="K92" s="950"/>
    </row>
    <row r="93" spans="1:11" x14ac:dyDescent="0.3">
      <c r="A93" s="270">
        <v>50479</v>
      </c>
      <c r="B93" s="270" t="s">
        <v>680</v>
      </c>
      <c r="C93" s="270">
        <v>50</v>
      </c>
      <c r="D93" s="170" t="s">
        <v>51</v>
      </c>
    </row>
    <row r="94" spans="1:11" x14ac:dyDescent="0.3">
      <c r="A94" s="270">
        <v>50307</v>
      </c>
      <c r="B94" s="270" t="s">
        <v>681</v>
      </c>
      <c r="C94" s="270">
        <v>50</v>
      </c>
      <c r="D94" s="170" t="s">
        <v>51</v>
      </c>
    </row>
    <row r="95" spans="1:11" x14ac:dyDescent="0.3">
      <c r="A95" s="270">
        <v>50310</v>
      </c>
      <c r="B95" s="270" t="s">
        <v>682</v>
      </c>
      <c r="C95" s="270">
        <v>50</v>
      </c>
      <c r="D95" s="170" t="s">
        <v>51</v>
      </c>
    </row>
    <row r="96" spans="1:11" x14ac:dyDescent="0.3">
      <c r="A96" s="270">
        <v>50311</v>
      </c>
      <c r="B96" s="270" t="s">
        <v>683</v>
      </c>
      <c r="C96" s="270">
        <v>50</v>
      </c>
      <c r="D96" s="170" t="s">
        <v>51</v>
      </c>
    </row>
    <row r="97" spans="1:11" x14ac:dyDescent="0.3">
      <c r="A97" s="270">
        <v>50314</v>
      </c>
      <c r="B97" s="270" t="s">
        <v>684</v>
      </c>
      <c r="C97" s="270">
        <v>50</v>
      </c>
      <c r="D97" s="170" t="s">
        <v>51</v>
      </c>
    </row>
    <row r="98" spans="1:11" x14ac:dyDescent="0.3">
      <c r="A98" s="270">
        <v>50316</v>
      </c>
      <c r="B98" s="270" t="s">
        <v>685</v>
      </c>
      <c r="C98" s="270">
        <v>50</v>
      </c>
      <c r="D98" s="170" t="s">
        <v>51</v>
      </c>
    </row>
    <row r="99" spans="1:11" x14ac:dyDescent="0.3">
      <c r="A99" s="270">
        <v>50318</v>
      </c>
      <c r="B99" s="270" t="s">
        <v>686</v>
      </c>
      <c r="C99" s="270">
        <v>50</v>
      </c>
      <c r="D99" s="170" t="s">
        <v>51</v>
      </c>
    </row>
    <row r="100" spans="1:11" x14ac:dyDescent="0.3">
      <c r="A100" s="270">
        <v>50323</v>
      </c>
      <c r="B100" s="270" t="s">
        <v>687</v>
      </c>
      <c r="C100" s="270">
        <v>50</v>
      </c>
      <c r="D100" s="170" t="s">
        <v>51</v>
      </c>
    </row>
    <row r="101" spans="1:11" x14ac:dyDescent="0.3">
      <c r="A101" s="270">
        <v>50321</v>
      </c>
      <c r="B101" s="270" t="s">
        <v>1286</v>
      </c>
      <c r="C101" s="270">
        <v>50</v>
      </c>
      <c r="D101" s="170" t="s">
        <v>51</v>
      </c>
    </row>
    <row r="102" spans="1:11" x14ac:dyDescent="0.3">
      <c r="A102" s="270">
        <v>50325</v>
      </c>
      <c r="B102" s="270" t="s">
        <v>688</v>
      </c>
      <c r="C102" s="270">
        <v>50</v>
      </c>
      <c r="D102" s="170" t="s">
        <v>51</v>
      </c>
    </row>
    <row r="103" spans="1:11" x14ac:dyDescent="0.3">
      <c r="A103" s="270">
        <v>50327</v>
      </c>
      <c r="B103" s="270" t="s">
        <v>689</v>
      </c>
      <c r="C103" s="270">
        <v>50</v>
      </c>
      <c r="D103" s="170" t="s">
        <v>51</v>
      </c>
    </row>
    <row r="104" spans="1:11" x14ac:dyDescent="0.3">
      <c r="A104" s="270">
        <v>50328</v>
      </c>
      <c r="B104" s="270" t="s">
        <v>462</v>
      </c>
      <c r="C104" s="270">
        <v>50</v>
      </c>
      <c r="D104" s="170" t="s">
        <v>51</v>
      </c>
    </row>
    <row r="105" spans="1:11" x14ac:dyDescent="0.3">
      <c r="A105" s="270">
        <v>50332</v>
      </c>
      <c r="B105" s="270" t="s">
        <v>690</v>
      </c>
      <c r="C105" s="270">
        <v>50</v>
      </c>
      <c r="D105" s="170" t="s">
        <v>51</v>
      </c>
    </row>
    <row r="106" spans="1:11" x14ac:dyDescent="0.3">
      <c r="A106" s="270">
        <v>50334</v>
      </c>
      <c r="B106" s="950" t="s">
        <v>1287</v>
      </c>
      <c r="C106" s="270">
        <v>50</v>
      </c>
      <c r="D106" s="170" t="s">
        <v>51</v>
      </c>
      <c r="K106" s="950"/>
    </row>
    <row r="107" spans="1:11" x14ac:dyDescent="0.3">
      <c r="A107" s="270">
        <v>50336</v>
      </c>
      <c r="B107" s="270" t="s">
        <v>1288</v>
      </c>
      <c r="C107" s="270">
        <v>50</v>
      </c>
      <c r="D107" s="170" t="s">
        <v>51</v>
      </c>
    </row>
    <row r="108" spans="1:11" x14ac:dyDescent="0.3">
      <c r="A108" s="270">
        <v>50337</v>
      </c>
      <c r="B108" s="950" t="s">
        <v>1289</v>
      </c>
      <c r="C108" s="270">
        <v>50</v>
      </c>
      <c r="D108" s="170" t="s">
        <v>51</v>
      </c>
      <c r="K108" s="950"/>
    </row>
    <row r="109" spans="1:11" x14ac:dyDescent="0.3">
      <c r="A109" s="270">
        <v>50338</v>
      </c>
      <c r="B109" s="950" t="s">
        <v>1290</v>
      </c>
      <c r="C109" s="270">
        <v>50</v>
      </c>
      <c r="D109" s="170" t="s">
        <v>51</v>
      </c>
      <c r="K109" s="950"/>
    </row>
    <row r="110" spans="1:11" x14ac:dyDescent="0.3">
      <c r="A110" s="270">
        <v>50340</v>
      </c>
      <c r="B110" s="270" t="s">
        <v>1291</v>
      </c>
      <c r="C110" s="270">
        <v>50</v>
      </c>
      <c r="D110" s="170" t="s">
        <v>51</v>
      </c>
    </row>
    <row r="111" spans="1:11" x14ac:dyDescent="0.3">
      <c r="A111" s="270">
        <v>50343</v>
      </c>
      <c r="B111" s="270" t="s">
        <v>691</v>
      </c>
      <c r="C111" s="270">
        <v>50</v>
      </c>
      <c r="D111" s="170" t="s">
        <v>51</v>
      </c>
    </row>
    <row r="112" spans="1:11" x14ac:dyDescent="0.3">
      <c r="A112" s="270">
        <v>50348</v>
      </c>
      <c r="B112" s="270" t="s">
        <v>693</v>
      </c>
      <c r="C112" s="270">
        <v>50</v>
      </c>
      <c r="D112" s="170" t="s">
        <v>51</v>
      </c>
    </row>
    <row r="113" spans="1:11" x14ac:dyDescent="0.3">
      <c r="A113" s="270">
        <v>50541</v>
      </c>
      <c r="B113" s="270" t="s">
        <v>694</v>
      </c>
      <c r="C113" s="270">
        <v>50</v>
      </c>
      <c r="D113" s="170" t="s">
        <v>51</v>
      </c>
    </row>
    <row r="114" spans="1:11" x14ac:dyDescent="0.3">
      <c r="A114" s="270">
        <v>50355</v>
      </c>
      <c r="B114" s="270" t="s">
        <v>695</v>
      </c>
      <c r="C114" s="270">
        <v>50</v>
      </c>
      <c r="D114" s="170" t="s">
        <v>51</v>
      </c>
    </row>
    <row r="115" spans="1:11" x14ac:dyDescent="0.3">
      <c r="A115" s="270">
        <v>50357</v>
      </c>
      <c r="B115" s="950" t="s">
        <v>1292</v>
      </c>
      <c r="C115" s="270">
        <v>50</v>
      </c>
      <c r="D115" s="170" t="s">
        <v>51</v>
      </c>
      <c r="K115" s="950"/>
    </row>
    <row r="116" spans="1:11" x14ac:dyDescent="0.3">
      <c r="A116" s="270">
        <v>50360</v>
      </c>
      <c r="B116" s="270" t="s">
        <v>696</v>
      </c>
      <c r="C116" s="270">
        <v>50</v>
      </c>
      <c r="D116" s="170" t="s">
        <v>51</v>
      </c>
    </row>
    <row r="117" spans="1:11" x14ac:dyDescent="0.3">
      <c r="A117" s="270">
        <v>50370</v>
      </c>
      <c r="B117" s="270" t="s">
        <v>697</v>
      </c>
      <c r="C117" s="270">
        <v>50</v>
      </c>
      <c r="D117" s="170" t="s">
        <v>51</v>
      </c>
    </row>
    <row r="118" spans="1:11" x14ac:dyDescent="0.3">
      <c r="A118" s="270">
        <v>50374</v>
      </c>
      <c r="B118" s="270" t="s">
        <v>1293</v>
      </c>
      <c r="C118" s="270">
        <v>50</v>
      </c>
      <c r="D118" s="170" t="s">
        <v>51</v>
      </c>
    </row>
    <row r="119" spans="1:11" x14ac:dyDescent="0.3">
      <c r="A119" s="270">
        <v>50483</v>
      </c>
      <c r="B119" s="270" t="s">
        <v>1294</v>
      </c>
      <c r="C119" s="270">
        <v>50</v>
      </c>
      <c r="D119" s="170" t="s">
        <v>51</v>
      </c>
    </row>
    <row r="120" spans="1:11" x14ac:dyDescent="0.3">
      <c r="A120" s="270">
        <v>50386</v>
      </c>
      <c r="B120" s="270" t="s">
        <v>1295</v>
      </c>
      <c r="C120" s="270">
        <v>50</v>
      </c>
      <c r="D120" s="170" t="s">
        <v>51</v>
      </c>
    </row>
    <row r="121" spans="1:11" x14ac:dyDescent="0.3">
      <c r="A121" s="270">
        <v>50389</v>
      </c>
      <c r="B121" s="270" t="s">
        <v>699</v>
      </c>
      <c r="C121" s="270">
        <v>50</v>
      </c>
      <c r="D121" s="170" t="s">
        <v>51</v>
      </c>
    </row>
    <row r="122" spans="1:11" x14ac:dyDescent="0.3">
      <c r="A122" s="270">
        <v>50500</v>
      </c>
      <c r="B122" s="270" t="s">
        <v>700</v>
      </c>
      <c r="C122" s="270">
        <v>50</v>
      </c>
      <c r="D122" s="170" t="s">
        <v>51</v>
      </c>
    </row>
    <row r="123" spans="1:11" x14ac:dyDescent="0.3">
      <c r="A123" s="270">
        <v>50390</v>
      </c>
      <c r="B123" s="950" t="s">
        <v>1296</v>
      </c>
      <c r="C123" s="270">
        <v>50</v>
      </c>
      <c r="D123" s="170" t="s">
        <v>51</v>
      </c>
      <c r="K123" s="950"/>
    </row>
    <row r="124" spans="1:11" x14ac:dyDescent="0.3">
      <c r="A124" s="270">
        <v>50396</v>
      </c>
      <c r="B124" s="270" t="s">
        <v>701</v>
      </c>
      <c r="C124" s="270">
        <v>50</v>
      </c>
      <c r="D124" s="170" t="s">
        <v>51</v>
      </c>
    </row>
    <row r="125" spans="1:11" x14ac:dyDescent="0.3">
      <c r="A125" s="270">
        <v>50399</v>
      </c>
      <c r="B125" s="270" t="s">
        <v>703</v>
      </c>
      <c r="C125" s="270">
        <v>50</v>
      </c>
      <c r="D125" s="170" t="s">
        <v>51</v>
      </c>
    </row>
    <row r="126" spans="1:11" x14ac:dyDescent="0.3">
      <c r="A126" s="270">
        <v>50401</v>
      </c>
      <c r="B126" s="270" t="s">
        <v>704</v>
      </c>
      <c r="C126" s="270">
        <v>50</v>
      </c>
      <c r="D126" s="170" t="s">
        <v>51</v>
      </c>
    </row>
    <row r="127" spans="1:11" x14ac:dyDescent="0.3">
      <c r="A127" s="270">
        <v>50402</v>
      </c>
      <c r="B127" s="950" t="s">
        <v>1297</v>
      </c>
      <c r="C127" s="270">
        <v>50</v>
      </c>
      <c r="D127" s="170" t="s">
        <v>51</v>
      </c>
      <c r="K127" s="950"/>
    </row>
    <row r="128" spans="1:11" x14ac:dyDescent="0.3">
      <c r="A128" s="270">
        <v>50486</v>
      </c>
      <c r="B128" s="270" t="s">
        <v>1298</v>
      </c>
      <c r="C128" s="270">
        <v>50</v>
      </c>
      <c r="D128" s="170" t="s">
        <v>51</v>
      </c>
    </row>
    <row r="129" spans="1:11" x14ac:dyDescent="0.3">
      <c r="A129" s="270">
        <v>50409</v>
      </c>
      <c r="B129" s="270" t="s">
        <v>1299</v>
      </c>
      <c r="C129" s="270">
        <v>50</v>
      </c>
      <c r="D129" s="170" t="s">
        <v>51</v>
      </c>
    </row>
    <row r="130" spans="1:11" x14ac:dyDescent="0.3">
      <c r="A130" s="270">
        <v>50420</v>
      </c>
      <c r="B130" s="270" t="s">
        <v>705</v>
      </c>
      <c r="C130" s="270">
        <v>50</v>
      </c>
      <c r="D130" s="170" t="s">
        <v>51</v>
      </c>
    </row>
    <row r="131" spans="1:11" x14ac:dyDescent="0.3">
      <c r="A131" s="270">
        <v>50421</v>
      </c>
      <c r="B131" s="950" t="s">
        <v>1300</v>
      </c>
      <c r="C131" s="270">
        <v>50</v>
      </c>
      <c r="D131" s="170" t="s">
        <v>51</v>
      </c>
      <c r="K131" s="950"/>
    </row>
    <row r="132" spans="1:11" x14ac:dyDescent="0.3">
      <c r="A132" s="270">
        <v>50423</v>
      </c>
      <c r="B132" s="270" t="s">
        <v>706</v>
      </c>
      <c r="C132" s="270">
        <v>50</v>
      </c>
      <c r="D132" s="170" t="s">
        <v>51</v>
      </c>
    </row>
    <row r="133" spans="1:11" x14ac:dyDescent="0.3">
      <c r="A133" s="270">
        <v>50432</v>
      </c>
      <c r="B133" s="950" t="s">
        <v>1301</v>
      </c>
      <c r="C133" s="270">
        <v>50</v>
      </c>
      <c r="D133" s="170" t="s">
        <v>51</v>
      </c>
      <c r="K133" s="950"/>
    </row>
    <row r="134" spans="1:11" x14ac:dyDescent="0.3">
      <c r="A134" s="270">
        <v>50499</v>
      </c>
      <c r="B134" s="950" t="s">
        <v>1302</v>
      </c>
      <c r="C134" s="270">
        <v>50</v>
      </c>
      <c r="D134" s="170" t="s">
        <v>51</v>
      </c>
      <c r="K134" s="950"/>
    </row>
    <row r="135" spans="1:11" x14ac:dyDescent="0.3">
      <c r="A135" s="270">
        <v>5103</v>
      </c>
      <c r="B135" s="270" t="s">
        <v>617</v>
      </c>
      <c r="C135" s="270">
        <v>51</v>
      </c>
      <c r="D135" s="170" t="s">
        <v>51</v>
      </c>
    </row>
    <row r="136" spans="1:11" x14ac:dyDescent="0.3">
      <c r="A136" s="270">
        <v>5107</v>
      </c>
      <c r="B136" s="270" t="s">
        <v>623</v>
      </c>
      <c r="C136" s="270">
        <v>51</v>
      </c>
      <c r="D136" s="170" t="s">
        <v>51</v>
      </c>
    </row>
    <row r="137" spans="1:11" x14ac:dyDescent="0.3">
      <c r="A137" s="270">
        <v>5116</v>
      </c>
      <c r="B137" s="950" t="s">
        <v>1303</v>
      </c>
      <c r="C137" s="270">
        <v>51</v>
      </c>
      <c r="D137" s="170" t="s">
        <v>51</v>
      </c>
      <c r="K137" s="950"/>
    </row>
    <row r="138" spans="1:11" x14ac:dyDescent="0.3">
      <c r="A138" s="270">
        <v>5119</v>
      </c>
      <c r="B138" s="950" t="s">
        <v>1304</v>
      </c>
      <c r="C138" s="270">
        <v>51</v>
      </c>
      <c r="D138" s="170" t="s">
        <v>51</v>
      </c>
      <c r="K138" s="950"/>
    </row>
    <row r="139" spans="1:11" x14ac:dyDescent="0.3">
      <c r="A139" s="270">
        <v>5123</v>
      </c>
      <c r="B139" s="270" t="s">
        <v>1305</v>
      </c>
      <c r="C139" s="270">
        <v>51</v>
      </c>
      <c r="D139" s="170" t="s">
        <v>51</v>
      </c>
    </row>
    <row r="140" spans="1:11" x14ac:dyDescent="0.3">
      <c r="A140" s="270">
        <v>5129</v>
      </c>
      <c r="B140" s="950" t="s">
        <v>1306</v>
      </c>
      <c r="C140" s="270">
        <v>51</v>
      </c>
      <c r="D140" s="170" t="s">
        <v>51</v>
      </c>
      <c r="K140" s="950"/>
    </row>
    <row r="141" spans="1:11" x14ac:dyDescent="0.3">
      <c r="A141" s="270">
        <v>5132</v>
      </c>
      <c r="B141" s="270" t="s">
        <v>640</v>
      </c>
      <c r="C141" s="270">
        <v>51</v>
      </c>
      <c r="D141" s="170" t="s">
        <v>51</v>
      </c>
    </row>
    <row r="142" spans="1:11" x14ac:dyDescent="0.3">
      <c r="A142" s="270">
        <v>5137</v>
      </c>
      <c r="B142" s="270" t="s">
        <v>1307</v>
      </c>
      <c r="C142" s="270">
        <v>51</v>
      </c>
      <c r="D142" s="170" t="s">
        <v>51</v>
      </c>
    </row>
    <row r="143" spans="1:11" x14ac:dyDescent="0.3">
      <c r="A143" s="270">
        <v>5147</v>
      </c>
      <c r="B143" s="270" t="s">
        <v>663</v>
      </c>
      <c r="C143" s="270">
        <v>51</v>
      </c>
      <c r="D143" s="170" t="s">
        <v>51</v>
      </c>
    </row>
    <row r="144" spans="1:11" x14ac:dyDescent="0.3">
      <c r="A144" s="270">
        <v>5156</v>
      </c>
      <c r="B144" s="270" t="s">
        <v>664</v>
      </c>
      <c r="C144" s="270">
        <v>51</v>
      </c>
      <c r="D144" s="170" t="s">
        <v>51</v>
      </c>
    </row>
    <row r="145" spans="1:11" x14ac:dyDescent="0.3">
      <c r="A145" s="270">
        <v>5157</v>
      </c>
      <c r="B145" s="270" t="s">
        <v>1308</v>
      </c>
      <c r="C145" s="270">
        <v>51</v>
      </c>
      <c r="D145" s="170" t="s">
        <v>51</v>
      </c>
    </row>
    <row r="146" spans="1:11" x14ac:dyDescent="0.3">
      <c r="A146" s="270">
        <v>5165</v>
      </c>
      <c r="B146" s="270" t="s">
        <v>673</v>
      </c>
      <c r="C146" s="270">
        <v>51</v>
      </c>
      <c r="D146" s="170" t="s">
        <v>51</v>
      </c>
    </row>
    <row r="147" spans="1:11" x14ac:dyDescent="0.3">
      <c r="A147" s="270">
        <v>5167</v>
      </c>
      <c r="B147" s="270" t="s">
        <v>676</v>
      </c>
      <c r="C147" s="270">
        <v>51</v>
      </c>
      <c r="D147" s="170" t="s">
        <v>51</v>
      </c>
    </row>
    <row r="148" spans="1:11" x14ac:dyDescent="0.3">
      <c r="A148" s="270">
        <v>5170</v>
      </c>
      <c r="B148" s="270" t="s">
        <v>677</v>
      </c>
      <c r="C148" s="270">
        <v>51</v>
      </c>
      <c r="D148" s="170" t="s">
        <v>51</v>
      </c>
    </row>
    <row r="149" spans="1:11" x14ac:dyDescent="0.3">
      <c r="A149" s="270">
        <v>5172</v>
      </c>
      <c r="B149" s="270" t="s">
        <v>1309</v>
      </c>
      <c r="C149" s="270">
        <v>51</v>
      </c>
      <c r="D149" s="170" t="s">
        <v>51</v>
      </c>
    </row>
    <row r="150" spans="1:11" x14ac:dyDescent="0.3">
      <c r="A150" s="270">
        <v>5182</v>
      </c>
      <c r="B150" s="270" t="s">
        <v>692</v>
      </c>
      <c r="C150" s="270">
        <v>51</v>
      </c>
      <c r="D150" s="170" t="s">
        <v>51</v>
      </c>
    </row>
    <row r="151" spans="1:11" x14ac:dyDescent="0.3">
      <c r="A151" s="270">
        <v>5188</v>
      </c>
      <c r="B151" s="270" t="s">
        <v>702</v>
      </c>
      <c r="C151" s="270">
        <v>51</v>
      </c>
      <c r="D151" s="170" t="s">
        <v>51</v>
      </c>
    </row>
    <row r="152" spans="1:11" x14ac:dyDescent="0.3">
      <c r="A152" s="270">
        <v>591706</v>
      </c>
      <c r="B152" s="951" t="s">
        <v>1310</v>
      </c>
      <c r="C152" s="270">
        <v>59</v>
      </c>
      <c r="D152" s="170" t="s">
        <v>51</v>
      </c>
      <c r="K152" s="951"/>
    </row>
    <row r="153" spans="1:11" x14ac:dyDescent="0.3">
      <c r="A153" s="270">
        <v>591612</v>
      </c>
      <c r="B153" s="951" t="s">
        <v>1311</v>
      </c>
      <c r="C153" s="270">
        <v>59</v>
      </c>
      <c r="D153" s="170" t="s">
        <v>51</v>
      </c>
      <c r="K153" s="951"/>
    </row>
    <row r="154" spans="1:11" x14ac:dyDescent="0.3">
      <c r="A154" s="270">
        <v>591604</v>
      </c>
      <c r="B154" s="270" t="s">
        <v>632</v>
      </c>
      <c r="C154" s="270">
        <v>59</v>
      </c>
      <c r="D154" s="170" t="s">
        <v>51</v>
      </c>
    </row>
    <row r="155" spans="1:11" x14ac:dyDescent="0.3">
      <c r="A155" s="270">
        <v>591632</v>
      </c>
      <c r="B155" s="950" t="s">
        <v>644</v>
      </c>
      <c r="C155" s="270">
        <v>59</v>
      </c>
      <c r="D155" s="170" t="s">
        <v>51</v>
      </c>
      <c r="K155" s="950"/>
    </row>
    <row r="156" spans="1:11" x14ac:dyDescent="0.3">
      <c r="A156" s="270">
        <v>591607</v>
      </c>
      <c r="B156" s="270" t="s">
        <v>649</v>
      </c>
      <c r="C156" s="270">
        <v>59</v>
      </c>
      <c r="D156" s="170" t="s">
        <v>51</v>
      </c>
    </row>
    <row r="157" spans="1:11" x14ac:dyDescent="0.3">
      <c r="A157" s="270">
        <v>591613</v>
      </c>
      <c r="B157" s="270" t="s">
        <v>1312</v>
      </c>
      <c r="C157" s="270">
        <v>59</v>
      </c>
      <c r="D157" s="170" t="s">
        <v>51</v>
      </c>
    </row>
    <row r="158" spans="1:11" x14ac:dyDescent="0.3">
      <c r="A158" s="270">
        <v>591616</v>
      </c>
      <c r="B158" s="950" t="s">
        <v>1313</v>
      </c>
      <c r="C158" s="270">
        <v>59</v>
      </c>
      <c r="D158" s="170" t="s">
        <v>51</v>
      </c>
      <c r="K158" s="950"/>
    </row>
    <row r="159" spans="1:11" x14ac:dyDescent="0.3">
      <c r="A159" s="270">
        <v>592368</v>
      </c>
      <c r="B159" s="270" t="s">
        <v>698</v>
      </c>
      <c r="C159" s="270">
        <v>59</v>
      </c>
      <c r="D159" s="170" t="s">
        <v>51</v>
      </c>
    </row>
    <row r="160" spans="1:11" x14ac:dyDescent="0.3">
      <c r="A160" s="270">
        <v>591633</v>
      </c>
      <c r="B160" s="950" t="s">
        <v>1314</v>
      </c>
      <c r="C160" s="270">
        <v>59</v>
      </c>
      <c r="D160" s="170" t="s">
        <v>51</v>
      </c>
      <c r="K160" s="950"/>
    </row>
  </sheetData>
  <sheetProtection algorithmName="SHA-512" hashValue="953c6w7VAQSVJPJWO0tw0CXdFpLsXIRWH9f+h+7abmq+99CMwS74asNKuJ0QcT8sKL2596mK57em/p0GvGRpZg==" saltValue="1ir2S+D0SzDiKiJwfBFh4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L607"/>
  <sheetViews>
    <sheetView zoomScaleNormal="100" workbookViewId="0">
      <selection activeCell="A2" sqref="A2:H2"/>
    </sheetView>
  </sheetViews>
  <sheetFormatPr defaultColWidth="9.109375" defaultRowHeight="14.4" x14ac:dyDescent="0.3"/>
  <cols>
    <col min="1" max="1" width="14.6640625" style="99" customWidth="1"/>
    <col min="2" max="2" width="7.88671875" style="312" customWidth="1"/>
    <col min="3" max="3" width="7.6640625" style="99" customWidth="1"/>
    <col min="4" max="4" width="38.5546875" style="99" customWidth="1"/>
    <col min="5" max="5" width="14.44140625" style="99" bestFit="1" customWidth="1"/>
    <col min="6" max="6" width="18.109375" style="99" customWidth="1"/>
    <col min="7" max="7" width="16.109375" style="99" bestFit="1" customWidth="1"/>
    <col min="8" max="8" width="17.109375" style="99" customWidth="1"/>
    <col min="9" max="9" width="18" style="99" customWidth="1"/>
    <col min="10" max="10" width="16.109375" style="99" bestFit="1" customWidth="1"/>
    <col min="11" max="11" width="17" style="99" customWidth="1"/>
    <col min="12" max="12" width="15.88671875" style="99" customWidth="1"/>
    <col min="13" max="16384" width="9.109375" style="99"/>
  </cols>
  <sheetData>
    <row r="1" spans="1:12" s="402" customFormat="1" ht="27" x14ac:dyDescent="0.3">
      <c r="A1" s="993" t="s">
        <v>344</v>
      </c>
      <c r="B1" s="991" t="s">
        <v>1419</v>
      </c>
      <c r="C1" s="992" t="s">
        <v>1337</v>
      </c>
      <c r="D1" s="993" t="s">
        <v>42</v>
      </c>
      <c r="E1" s="993"/>
      <c r="F1" s="994" t="s">
        <v>1432</v>
      </c>
      <c r="G1" s="994" t="s">
        <v>1331</v>
      </c>
      <c r="H1" s="994" t="s">
        <v>1332</v>
      </c>
      <c r="I1" s="994" t="s">
        <v>1333</v>
      </c>
      <c r="J1" s="994" t="s">
        <v>1334</v>
      </c>
      <c r="K1" s="994" t="s">
        <v>1335</v>
      </c>
      <c r="L1" s="994" t="s">
        <v>1336</v>
      </c>
    </row>
    <row r="2" spans="1:12" s="402" customFormat="1" x14ac:dyDescent="0.3">
      <c r="A2" s="990"/>
      <c r="B2" s="990"/>
      <c r="C2" s="990"/>
      <c r="D2" s="990"/>
      <c r="E2" s="990"/>
      <c r="F2" s="990">
        <v>584016</v>
      </c>
      <c r="G2" s="990">
        <v>584021</v>
      </c>
      <c r="H2" s="990">
        <v>581427</v>
      </c>
      <c r="I2" s="990">
        <v>584015</v>
      </c>
      <c r="J2" s="990">
        <v>581418</v>
      </c>
      <c r="K2" s="990">
        <v>584134</v>
      </c>
      <c r="L2" s="990">
        <v>581419</v>
      </c>
    </row>
    <row r="3" spans="1:12" s="402" customFormat="1" ht="43.2" x14ac:dyDescent="0.3">
      <c r="A3" s="990">
        <v>4</v>
      </c>
      <c r="B3" s="990"/>
      <c r="C3" s="992">
        <v>4</v>
      </c>
      <c r="D3" s="995" t="s">
        <v>1399</v>
      </c>
      <c r="E3" s="990"/>
      <c r="F3" s="996">
        <v>0</v>
      </c>
      <c r="G3" s="996">
        <v>0</v>
      </c>
      <c r="H3" s="996">
        <v>0</v>
      </c>
      <c r="I3" s="996">
        <v>0</v>
      </c>
      <c r="J3" s="996">
        <v>0</v>
      </c>
      <c r="K3" s="996">
        <v>0</v>
      </c>
      <c r="L3" s="996">
        <v>0</v>
      </c>
    </row>
    <row r="4" spans="1:12" s="402" customFormat="1" ht="28.8" x14ac:dyDescent="0.3">
      <c r="A4" s="990">
        <v>5</v>
      </c>
      <c r="B4" s="990"/>
      <c r="C4" s="992">
        <v>5</v>
      </c>
      <c r="D4" s="995" t="s">
        <v>1400</v>
      </c>
      <c r="E4" s="990"/>
      <c r="F4" s="996">
        <v>0</v>
      </c>
      <c r="G4" s="996">
        <v>0</v>
      </c>
      <c r="H4" s="996">
        <v>0</v>
      </c>
      <c r="I4" s="996">
        <v>0</v>
      </c>
      <c r="J4" s="996">
        <v>0</v>
      </c>
      <c r="K4" s="996">
        <v>0</v>
      </c>
      <c r="L4" s="996">
        <v>0</v>
      </c>
    </row>
    <row r="5" spans="1:12" s="402" customFormat="1" x14ac:dyDescent="0.3">
      <c r="A5" s="990">
        <v>6</v>
      </c>
      <c r="B5" s="990"/>
      <c r="C5" s="992">
        <v>6</v>
      </c>
      <c r="D5" s="995" t="s">
        <v>1403</v>
      </c>
      <c r="E5" s="990"/>
      <c r="F5" s="996">
        <v>0</v>
      </c>
      <c r="G5" s="996">
        <v>0</v>
      </c>
      <c r="H5" s="996">
        <v>0</v>
      </c>
      <c r="I5" s="996">
        <v>0</v>
      </c>
      <c r="J5" s="996">
        <v>0</v>
      </c>
      <c r="K5" s="996">
        <v>0</v>
      </c>
      <c r="L5" s="996">
        <v>0</v>
      </c>
    </row>
    <row r="6" spans="1:12" s="402" customFormat="1" x14ac:dyDescent="0.3">
      <c r="A6" s="990">
        <v>7</v>
      </c>
      <c r="B6" s="990"/>
      <c r="C6" s="992">
        <v>7</v>
      </c>
      <c r="D6" s="995" t="s">
        <v>1404</v>
      </c>
      <c r="E6" s="990"/>
      <c r="F6" s="996">
        <v>0</v>
      </c>
      <c r="G6" s="996">
        <v>0</v>
      </c>
      <c r="H6" s="996">
        <v>0</v>
      </c>
      <c r="I6" s="996">
        <v>0</v>
      </c>
      <c r="J6" s="996">
        <v>0</v>
      </c>
      <c r="K6" s="996">
        <v>0</v>
      </c>
      <c r="L6" s="996">
        <v>0</v>
      </c>
    </row>
    <row r="7" spans="1:12" s="402" customFormat="1" x14ac:dyDescent="0.3">
      <c r="A7" s="990">
        <v>9</v>
      </c>
      <c r="B7" s="990"/>
      <c r="C7" s="992">
        <v>9</v>
      </c>
      <c r="D7" s="995" t="s">
        <v>1405</v>
      </c>
      <c r="E7" s="990"/>
      <c r="F7" s="996">
        <v>0</v>
      </c>
      <c r="G7" s="996">
        <v>0</v>
      </c>
      <c r="H7" s="996">
        <v>0</v>
      </c>
      <c r="I7" s="996">
        <v>0</v>
      </c>
      <c r="J7" s="996">
        <v>0</v>
      </c>
      <c r="K7" s="996">
        <v>0</v>
      </c>
      <c r="L7" s="996">
        <v>0</v>
      </c>
    </row>
    <row r="8" spans="1:12" s="402" customFormat="1" x14ac:dyDescent="0.3">
      <c r="A8" s="990">
        <v>11</v>
      </c>
      <c r="B8" s="990"/>
      <c r="C8" s="992">
        <v>11</v>
      </c>
      <c r="D8" s="997"/>
      <c r="E8" s="990"/>
      <c r="F8" s="996"/>
      <c r="G8" s="996"/>
      <c r="H8" s="996"/>
      <c r="I8" s="996"/>
      <c r="J8" s="996"/>
      <c r="K8" s="996"/>
      <c r="L8" s="996"/>
    </row>
    <row r="9" spans="1:12" s="402" customFormat="1" ht="28.8" x14ac:dyDescent="0.3">
      <c r="A9" s="990">
        <v>12</v>
      </c>
      <c r="B9" s="990"/>
      <c r="C9" s="992">
        <v>12</v>
      </c>
      <c r="D9" s="995" t="s">
        <v>363</v>
      </c>
      <c r="E9" s="990"/>
      <c r="F9" s="996">
        <v>0</v>
      </c>
      <c r="G9" s="996">
        <v>0</v>
      </c>
      <c r="H9" s="996">
        <v>0</v>
      </c>
      <c r="I9" s="996">
        <v>0</v>
      </c>
      <c r="J9" s="996">
        <v>0</v>
      </c>
      <c r="K9" s="996">
        <v>0</v>
      </c>
      <c r="L9" s="996">
        <v>0</v>
      </c>
    </row>
    <row r="10" spans="1:12" s="402" customFormat="1" ht="28.8" x14ac:dyDescent="0.3">
      <c r="A10" s="990">
        <v>13</v>
      </c>
      <c r="B10" s="992">
        <v>13</v>
      </c>
      <c r="C10" s="992">
        <v>13</v>
      </c>
      <c r="D10" s="995" t="s">
        <v>364</v>
      </c>
      <c r="E10" s="990"/>
      <c r="F10" s="996">
        <v>87649356</v>
      </c>
      <c r="G10" s="996">
        <v>125588250</v>
      </c>
      <c r="H10" s="996">
        <v>64628729</v>
      </c>
      <c r="I10" s="996">
        <v>59165906</v>
      </c>
      <c r="J10" s="996">
        <v>73795616</v>
      </c>
      <c r="K10" s="996">
        <v>96219477</v>
      </c>
      <c r="L10" s="996">
        <v>62093347</v>
      </c>
    </row>
    <row r="11" spans="1:12" s="402" customFormat="1" ht="28.8" x14ac:dyDescent="0.3">
      <c r="A11" s="990">
        <v>14</v>
      </c>
      <c r="B11" s="992">
        <v>14</v>
      </c>
      <c r="C11" s="992">
        <v>14</v>
      </c>
      <c r="D11" s="995" t="s">
        <v>1341</v>
      </c>
      <c r="E11" s="990"/>
      <c r="F11" s="996">
        <v>36476637</v>
      </c>
      <c r="G11" s="996">
        <v>73088826</v>
      </c>
      <c r="H11" s="996">
        <v>15882563</v>
      </c>
      <c r="I11" s="996">
        <v>18660093</v>
      </c>
      <c r="J11" s="996">
        <v>17368508</v>
      </c>
      <c r="K11" s="996">
        <v>32919606</v>
      </c>
      <c r="L11" s="996">
        <v>24947221</v>
      </c>
    </row>
    <row r="12" spans="1:12" s="402" customFormat="1" x14ac:dyDescent="0.3">
      <c r="A12" s="990">
        <v>16</v>
      </c>
      <c r="B12" s="990"/>
      <c r="C12" s="992">
        <v>16</v>
      </c>
      <c r="D12" s="995" t="s">
        <v>1342</v>
      </c>
      <c r="E12" s="990"/>
      <c r="F12" s="996">
        <v>0</v>
      </c>
      <c r="G12" s="996">
        <v>0</v>
      </c>
      <c r="H12" s="996">
        <v>0</v>
      </c>
      <c r="I12" s="996">
        <v>0</v>
      </c>
      <c r="J12" s="996">
        <v>0</v>
      </c>
      <c r="K12" s="996">
        <v>0</v>
      </c>
      <c r="L12" s="996">
        <v>0</v>
      </c>
    </row>
    <row r="13" spans="1:12" s="402" customFormat="1" x14ac:dyDescent="0.3">
      <c r="A13" s="990">
        <v>17</v>
      </c>
      <c r="B13" s="998"/>
      <c r="C13" s="992">
        <v>17</v>
      </c>
      <c r="D13" s="995" t="s">
        <v>1343</v>
      </c>
      <c r="E13" s="990"/>
      <c r="F13" s="996">
        <v>0</v>
      </c>
      <c r="G13" s="996">
        <v>0</v>
      </c>
      <c r="H13" s="996">
        <v>0</v>
      </c>
      <c r="I13" s="996">
        <v>0</v>
      </c>
      <c r="J13" s="996">
        <v>0</v>
      </c>
      <c r="K13" s="996">
        <v>0</v>
      </c>
      <c r="L13" s="996">
        <v>0</v>
      </c>
    </row>
    <row r="14" spans="1:12" s="402" customFormat="1" x14ac:dyDescent="0.3">
      <c r="A14" s="990">
        <v>19</v>
      </c>
      <c r="B14" s="998"/>
      <c r="C14" s="992">
        <v>19</v>
      </c>
      <c r="D14" s="995" t="s">
        <v>1344</v>
      </c>
      <c r="E14" s="990"/>
      <c r="F14" s="996">
        <v>0</v>
      </c>
      <c r="G14" s="996">
        <v>0</v>
      </c>
      <c r="H14" s="996">
        <v>0</v>
      </c>
      <c r="I14" s="996">
        <v>0</v>
      </c>
      <c r="J14" s="996">
        <v>0</v>
      </c>
      <c r="K14" s="996">
        <v>0</v>
      </c>
      <c r="L14" s="996">
        <v>0</v>
      </c>
    </row>
    <row r="15" spans="1:12" s="402" customFormat="1" ht="28.8" x14ac:dyDescent="0.3">
      <c r="A15" s="990">
        <v>20</v>
      </c>
      <c r="B15" s="998"/>
      <c r="C15" s="992">
        <v>20</v>
      </c>
      <c r="D15" s="995" t="s">
        <v>1347</v>
      </c>
      <c r="E15" s="990"/>
      <c r="F15" s="996">
        <v>0</v>
      </c>
      <c r="G15" s="996">
        <v>0</v>
      </c>
      <c r="H15" s="996">
        <v>0</v>
      </c>
      <c r="I15" s="996">
        <v>0</v>
      </c>
      <c r="J15" s="996">
        <v>0</v>
      </c>
      <c r="K15" s="996">
        <v>0</v>
      </c>
      <c r="L15" s="996">
        <v>0</v>
      </c>
    </row>
    <row r="16" spans="1:12" s="402" customFormat="1" ht="28.8" x14ac:dyDescent="0.3">
      <c r="A16" s="990">
        <v>21</v>
      </c>
      <c r="B16" s="998"/>
      <c r="C16" s="992">
        <v>21</v>
      </c>
      <c r="D16" s="995" t="s">
        <v>365</v>
      </c>
      <c r="E16" s="990"/>
      <c r="F16" s="996">
        <v>0</v>
      </c>
      <c r="G16" s="996">
        <v>0</v>
      </c>
      <c r="H16" s="996">
        <v>0</v>
      </c>
      <c r="I16" s="996">
        <v>0</v>
      </c>
      <c r="J16" s="996">
        <v>0</v>
      </c>
      <c r="K16" s="996">
        <v>0</v>
      </c>
      <c r="L16" s="996">
        <v>0</v>
      </c>
    </row>
    <row r="17" spans="1:12" s="402" customFormat="1" ht="43.2" x14ac:dyDescent="0.3">
      <c r="A17" s="990">
        <v>22</v>
      </c>
      <c r="B17" s="998"/>
      <c r="C17" s="992">
        <v>22</v>
      </c>
      <c r="D17" s="995" t="s">
        <v>1348</v>
      </c>
      <c r="E17" s="990"/>
      <c r="F17" s="996">
        <v>0</v>
      </c>
      <c r="G17" s="996">
        <v>0</v>
      </c>
      <c r="H17" s="996">
        <v>0</v>
      </c>
      <c r="I17" s="996">
        <v>0</v>
      </c>
      <c r="J17" s="996">
        <v>0</v>
      </c>
      <c r="K17" s="996">
        <v>0</v>
      </c>
      <c r="L17" s="996">
        <v>0</v>
      </c>
    </row>
    <row r="18" spans="1:12" s="402" customFormat="1" x14ac:dyDescent="0.3">
      <c r="A18" s="990">
        <v>23</v>
      </c>
      <c r="B18" s="998"/>
      <c r="C18" s="992">
        <v>23</v>
      </c>
      <c r="D18" s="995" t="s">
        <v>1349</v>
      </c>
      <c r="E18" s="990"/>
      <c r="F18" s="996">
        <v>0</v>
      </c>
      <c r="G18" s="996">
        <v>0</v>
      </c>
      <c r="H18" s="996">
        <v>0</v>
      </c>
      <c r="I18" s="996">
        <v>0</v>
      </c>
      <c r="J18" s="996">
        <v>0</v>
      </c>
      <c r="K18" s="996">
        <v>0</v>
      </c>
      <c r="L18" s="996">
        <v>0</v>
      </c>
    </row>
    <row r="19" spans="1:12" s="402" customFormat="1" x14ac:dyDescent="0.3">
      <c r="A19" s="990">
        <v>31</v>
      </c>
      <c r="B19" s="998"/>
      <c r="C19" s="992">
        <v>31</v>
      </c>
      <c r="D19" s="995" t="s">
        <v>1362</v>
      </c>
      <c r="E19" s="990"/>
      <c r="F19" s="996">
        <v>0</v>
      </c>
      <c r="G19" s="996">
        <v>0</v>
      </c>
      <c r="H19" s="996">
        <v>0</v>
      </c>
      <c r="I19" s="996">
        <v>0</v>
      </c>
      <c r="J19" s="996">
        <v>0</v>
      </c>
      <c r="K19" s="996">
        <v>0</v>
      </c>
      <c r="L19" s="996">
        <v>0</v>
      </c>
    </row>
    <row r="20" spans="1:12" s="402" customFormat="1" ht="28.8" x14ac:dyDescent="0.3">
      <c r="A20" s="990">
        <v>32</v>
      </c>
      <c r="B20" s="998">
        <v>32</v>
      </c>
      <c r="C20" s="992">
        <v>32</v>
      </c>
      <c r="D20" s="995" t="s">
        <v>1364</v>
      </c>
      <c r="E20" s="990"/>
      <c r="F20" s="996">
        <v>588442</v>
      </c>
      <c r="G20" s="996">
        <v>2048491</v>
      </c>
      <c r="H20" s="996">
        <v>452248</v>
      </c>
      <c r="I20" s="996">
        <v>843671</v>
      </c>
      <c r="J20" s="996">
        <v>686111</v>
      </c>
      <c r="K20" s="996">
        <v>1418044</v>
      </c>
      <c r="L20" s="996">
        <v>411318</v>
      </c>
    </row>
    <row r="21" spans="1:12" s="402" customFormat="1" x14ac:dyDescent="0.3">
      <c r="A21" s="990">
        <v>33</v>
      </c>
      <c r="B21" s="998">
        <v>33</v>
      </c>
      <c r="C21" s="992">
        <v>33</v>
      </c>
      <c r="D21" s="995" t="s">
        <v>1370</v>
      </c>
      <c r="E21" s="990"/>
      <c r="F21" s="996">
        <v>21408594</v>
      </c>
      <c r="G21" s="996">
        <v>55105212</v>
      </c>
      <c r="H21" s="996">
        <v>-1183411</v>
      </c>
      <c r="I21" s="996">
        <v>11285758</v>
      </c>
      <c r="J21" s="996">
        <v>1837599</v>
      </c>
      <c r="K21" s="996">
        <v>-10105741</v>
      </c>
      <c r="L21" s="996">
        <v>7854024</v>
      </c>
    </row>
    <row r="22" spans="1:12" s="402" customFormat="1" x14ac:dyDescent="0.3">
      <c r="A22" s="990">
        <v>34</v>
      </c>
      <c r="B22" s="998"/>
      <c r="C22" s="992">
        <v>34</v>
      </c>
      <c r="D22" s="990"/>
      <c r="E22" s="990"/>
      <c r="F22" s="996"/>
      <c r="G22" s="996"/>
      <c r="H22" s="996"/>
      <c r="I22" s="996"/>
      <c r="J22" s="996"/>
      <c r="K22" s="996"/>
      <c r="L22" s="996"/>
    </row>
    <row r="23" spans="1:12" s="402" customFormat="1" x14ac:dyDescent="0.3">
      <c r="A23" s="990">
        <v>35</v>
      </c>
      <c r="B23" s="992">
        <v>35</v>
      </c>
      <c r="C23" s="992">
        <v>35</v>
      </c>
      <c r="D23" s="995" t="s">
        <v>1382</v>
      </c>
      <c r="E23" s="990"/>
      <c r="F23" s="996">
        <v>0</v>
      </c>
      <c r="G23" s="996">
        <v>8447149</v>
      </c>
      <c r="H23" s="996">
        <v>2659306</v>
      </c>
      <c r="I23" s="996">
        <v>3572185</v>
      </c>
      <c r="J23" s="996">
        <v>0</v>
      </c>
      <c r="K23" s="996">
        <v>6162811</v>
      </c>
      <c r="L23" s="996">
        <v>7468424</v>
      </c>
    </row>
    <row r="24" spans="1:12" s="402" customFormat="1" x14ac:dyDescent="0.3">
      <c r="A24" s="990">
        <v>36</v>
      </c>
      <c r="B24" s="990"/>
      <c r="C24" s="992">
        <v>36</v>
      </c>
      <c r="D24" s="990"/>
      <c r="E24" s="990"/>
      <c r="F24" s="996"/>
      <c r="G24" s="996"/>
      <c r="H24" s="996"/>
      <c r="I24" s="996"/>
      <c r="J24" s="996"/>
      <c r="K24" s="996"/>
      <c r="L24" s="996"/>
    </row>
    <row r="25" spans="1:12" s="402" customFormat="1" x14ac:dyDescent="0.3">
      <c r="A25" s="990">
        <v>37</v>
      </c>
      <c r="B25" s="990"/>
      <c r="C25" s="992">
        <v>37</v>
      </c>
      <c r="D25" s="990"/>
      <c r="E25" s="990"/>
      <c r="F25" s="996"/>
      <c r="G25" s="996"/>
      <c r="H25" s="996"/>
      <c r="I25" s="996"/>
      <c r="J25" s="996"/>
      <c r="K25" s="996"/>
      <c r="L25" s="996"/>
    </row>
    <row r="26" spans="1:12" s="402" customFormat="1" x14ac:dyDescent="0.3">
      <c r="A26" s="990">
        <v>38</v>
      </c>
      <c r="B26" s="990"/>
      <c r="C26" s="992">
        <v>38</v>
      </c>
      <c r="D26" s="990"/>
      <c r="E26" s="990"/>
      <c r="F26" s="996"/>
      <c r="G26" s="996"/>
      <c r="H26" s="996"/>
      <c r="I26" s="996"/>
      <c r="J26" s="996"/>
      <c r="K26" s="996"/>
      <c r="L26" s="996"/>
    </row>
    <row r="27" spans="1:12" s="402" customFormat="1" x14ac:dyDescent="0.3">
      <c r="A27" s="990">
        <v>39</v>
      </c>
      <c r="B27" s="990"/>
      <c r="C27" s="992">
        <v>39</v>
      </c>
      <c r="D27" s="990"/>
      <c r="E27" s="990"/>
      <c r="F27" s="996"/>
      <c r="G27" s="996"/>
      <c r="H27" s="996"/>
      <c r="I27" s="996"/>
      <c r="J27" s="996"/>
      <c r="K27" s="996"/>
      <c r="L27" s="996"/>
    </row>
    <row r="28" spans="1:12" s="402" customFormat="1" x14ac:dyDescent="0.3">
      <c r="A28" s="990">
        <v>40</v>
      </c>
      <c r="B28" s="998">
        <v>40</v>
      </c>
      <c r="C28" s="992">
        <v>40</v>
      </c>
      <c r="D28" s="995" t="s">
        <v>294</v>
      </c>
      <c r="E28" s="990"/>
      <c r="F28" s="996">
        <v>407553172</v>
      </c>
      <c r="G28" s="996">
        <v>0</v>
      </c>
      <c r="H28" s="996">
        <v>0</v>
      </c>
      <c r="I28" s="996">
        <v>0</v>
      </c>
      <c r="J28" s="996">
        <v>0</v>
      </c>
      <c r="K28" s="996">
        <v>441160571</v>
      </c>
      <c r="L28" s="996">
        <v>0</v>
      </c>
    </row>
    <row r="29" spans="1:12" s="402" customFormat="1" x14ac:dyDescent="0.3">
      <c r="A29" s="990">
        <v>41</v>
      </c>
      <c r="B29" s="998"/>
      <c r="C29" s="992">
        <v>41</v>
      </c>
      <c r="D29" s="990" t="s">
        <v>295</v>
      </c>
      <c r="E29" s="990"/>
      <c r="F29" s="996">
        <v>0</v>
      </c>
      <c r="G29" s="996">
        <v>0</v>
      </c>
      <c r="H29" s="996">
        <v>0</v>
      </c>
      <c r="I29" s="996">
        <v>0</v>
      </c>
      <c r="J29" s="996">
        <v>0</v>
      </c>
      <c r="K29" s="996">
        <v>0</v>
      </c>
      <c r="L29" s="996">
        <v>0</v>
      </c>
    </row>
    <row r="30" spans="1:12" s="402" customFormat="1" x14ac:dyDescent="0.3">
      <c r="A30" s="990">
        <v>43</v>
      </c>
      <c r="B30" s="998"/>
      <c r="C30" s="992">
        <v>43</v>
      </c>
      <c r="D30" s="990" t="s">
        <v>296</v>
      </c>
      <c r="E30" s="990"/>
      <c r="F30" s="996"/>
      <c r="G30" s="996"/>
      <c r="H30" s="996"/>
      <c r="I30" s="996"/>
      <c r="J30" s="996"/>
      <c r="K30" s="996"/>
      <c r="L30" s="996"/>
    </row>
    <row r="31" spans="1:12" s="402" customFormat="1" x14ac:dyDescent="0.3">
      <c r="A31" s="990">
        <v>44</v>
      </c>
      <c r="B31" s="998"/>
      <c r="C31" s="992">
        <v>44</v>
      </c>
      <c r="D31" s="990" t="s">
        <v>366</v>
      </c>
      <c r="E31" s="990"/>
      <c r="F31" s="996"/>
      <c r="G31" s="996"/>
      <c r="H31" s="996"/>
      <c r="I31" s="996"/>
      <c r="J31" s="996"/>
      <c r="K31" s="996"/>
      <c r="L31" s="996"/>
    </row>
    <row r="32" spans="1:12" s="402" customFormat="1" x14ac:dyDescent="0.3">
      <c r="A32" s="990">
        <v>45</v>
      </c>
      <c r="B32" s="998"/>
      <c r="C32" s="992">
        <v>45</v>
      </c>
      <c r="D32" s="990" t="s">
        <v>367</v>
      </c>
      <c r="E32" s="990"/>
      <c r="F32" s="996"/>
      <c r="G32" s="996"/>
      <c r="H32" s="996"/>
      <c r="I32" s="996"/>
      <c r="J32" s="996"/>
      <c r="K32" s="996"/>
      <c r="L32" s="996"/>
    </row>
    <row r="33" spans="1:12" s="402" customFormat="1" x14ac:dyDescent="0.3">
      <c r="A33" s="990">
        <v>46</v>
      </c>
      <c r="B33" s="998"/>
      <c r="C33" s="992">
        <v>46</v>
      </c>
      <c r="D33" s="990" t="s">
        <v>368</v>
      </c>
      <c r="E33" s="990"/>
      <c r="F33" s="996"/>
      <c r="G33" s="996"/>
      <c r="H33" s="996"/>
      <c r="I33" s="996"/>
      <c r="J33" s="996"/>
      <c r="K33" s="996"/>
      <c r="L33" s="996"/>
    </row>
    <row r="34" spans="1:12" s="402" customFormat="1" x14ac:dyDescent="0.3">
      <c r="A34" s="990">
        <v>47</v>
      </c>
      <c r="B34" s="998"/>
      <c r="C34" s="992">
        <v>47</v>
      </c>
      <c r="D34" s="990" t="s">
        <v>369</v>
      </c>
      <c r="E34" s="990"/>
      <c r="F34" s="996"/>
      <c r="G34" s="996"/>
      <c r="H34" s="996"/>
      <c r="I34" s="996"/>
      <c r="J34" s="996"/>
      <c r="K34" s="996"/>
      <c r="L34" s="996"/>
    </row>
    <row r="35" spans="1:12" s="402" customFormat="1" x14ac:dyDescent="0.3">
      <c r="A35" s="990">
        <v>48</v>
      </c>
      <c r="B35" s="998"/>
      <c r="C35" s="992">
        <v>48</v>
      </c>
      <c r="D35" s="990" t="s">
        <v>123</v>
      </c>
      <c r="E35" s="990"/>
      <c r="F35" s="996"/>
      <c r="G35" s="996"/>
      <c r="H35" s="996"/>
      <c r="I35" s="996"/>
      <c r="J35" s="996"/>
      <c r="K35" s="996"/>
      <c r="L35" s="996"/>
    </row>
    <row r="36" spans="1:12" s="402" customFormat="1" x14ac:dyDescent="0.3">
      <c r="A36" s="990">
        <v>49</v>
      </c>
      <c r="B36" s="998"/>
      <c r="C36" s="992">
        <v>49</v>
      </c>
      <c r="D36" s="990" t="s">
        <v>228</v>
      </c>
      <c r="E36" s="990"/>
      <c r="F36" s="996"/>
      <c r="G36" s="996"/>
      <c r="H36" s="996"/>
      <c r="I36" s="996"/>
      <c r="J36" s="996"/>
      <c r="K36" s="996"/>
      <c r="L36" s="996"/>
    </row>
    <row r="37" spans="1:12" s="402" customFormat="1" x14ac:dyDescent="0.3">
      <c r="A37" s="990">
        <v>50</v>
      </c>
      <c r="B37" s="998"/>
      <c r="C37" s="992">
        <v>50</v>
      </c>
      <c r="D37" s="990" t="s">
        <v>100</v>
      </c>
      <c r="E37" s="990"/>
      <c r="F37" s="996"/>
      <c r="G37" s="996"/>
      <c r="H37" s="996"/>
      <c r="I37" s="996"/>
      <c r="J37" s="996"/>
      <c r="K37" s="996"/>
      <c r="L37" s="996"/>
    </row>
    <row r="38" spans="1:12" s="402" customFormat="1" x14ac:dyDescent="0.3">
      <c r="A38" s="990">
        <v>51</v>
      </c>
      <c r="B38" s="998"/>
      <c r="C38" s="992">
        <v>51</v>
      </c>
      <c r="D38" s="990" t="s">
        <v>246</v>
      </c>
      <c r="E38" s="990"/>
      <c r="F38" s="996"/>
      <c r="G38" s="996"/>
      <c r="H38" s="996"/>
      <c r="I38" s="996"/>
      <c r="J38" s="996"/>
      <c r="K38" s="996"/>
      <c r="L38" s="996"/>
    </row>
    <row r="39" spans="1:12" s="402" customFormat="1" x14ac:dyDescent="0.3">
      <c r="A39" s="990">
        <v>52</v>
      </c>
      <c r="B39" s="998"/>
      <c r="C39" s="992">
        <v>52</v>
      </c>
      <c r="D39" s="990" t="s">
        <v>239</v>
      </c>
      <c r="E39" s="990"/>
      <c r="F39" s="996"/>
      <c r="G39" s="996"/>
      <c r="H39" s="996"/>
      <c r="I39" s="996"/>
      <c r="J39" s="996"/>
      <c r="K39" s="996"/>
      <c r="L39" s="996"/>
    </row>
    <row r="40" spans="1:12" s="402" customFormat="1" x14ac:dyDescent="0.3">
      <c r="A40" s="990">
        <v>53</v>
      </c>
      <c r="B40" s="998"/>
      <c r="C40" s="992">
        <v>53</v>
      </c>
      <c r="D40" s="990" t="s">
        <v>101</v>
      </c>
      <c r="E40" s="990"/>
      <c r="F40" s="996"/>
      <c r="G40" s="996"/>
      <c r="H40" s="996"/>
      <c r="I40" s="996"/>
      <c r="J40" s="996"/>
      <c r="K40" s="996"/>
      <c r="L40" s="996"/>
    </row>
    <row r="41" spans="1:12" s="402" customFormat="1" x14ac:dyDescent="0.3">
      <c r="A41" s="990">
        <v>54</v>
      </c>
      <c r="B41" s="998"/>
      <c r="C41" s="992">
        <v>54</v>
      </c>
      <c r="D41" s="990" t="s">
        <v>370</v>
      </c>
      <c r="E41" s="990"/>
      <c r="F41" s="996"/>
      <c r="G41" s="996"/>
      <c r="H41" s="996"/>
      <c r="I41" s="996"/>
      <c r="J41" s="996"/>
      <c r="K41" s="996"/>
      <c r="L41" s="996"/>
    </row>
    <row r="42" spans="1:12" s="402" customFormat="1" x14ac:dyDescent="0.3">
      <c r="A42" s="990">
        <v>55</v>
      </c>
      <c r="B42" s="998"/>
      <c r="C42" s="992">
        <v>55</v>
      </c>
      <c r="D42" s="990" t="s">
        <v>249</v>
      </c>
      <c r="E42" s="990"/>
      <c r="F42" s="996"/>
      <c r="G42" s="996"/>
      <c r="H42" s="996"/>
      <c r="I42" s="996"/>
      <c r="J42" s="996"/>
      <c r="K42" s="996"/>
      <c r="L42" s="996"/>
    </row>
    <row r="43" spans="1:12" s="403" customFormat="1" x14ac:dyDescent="0.3">
      <c r="A43" s="990">
        <v>61</v>
      </c>
      <c r="B43" s="998"/>
      <c r="C43" s="992">
        <v>61</v>
      </c>
      <c r="D43" s="990" t="s">
        <v>264</v>
      </c>
      <c r="E43" s="990"/>
      <c r="F43" s="996"/>
      <c r="G43" s="996"/>
      <c r="H43" s="996"/>
      <c r="I43" s="996"/>
      <c r="J43" s="996"/>
      <c r="K43" s="996"/>
      <c r="L43" s="996"/>
    </row>
    <row r="44" spans="1:12" s="402" customFormat="1" x14ac:dyDescent="0.3">
      <c r="A44" s="990">
        <v>80</v>
      </c>
      <c r="B44" s="998"/>
      <c r="C44" s="992">
        <v>80</v>
      </c>
      <c r="D44" s="990" t="s">
        <v>218</v>
      </c>
      <c r="E44" s="990"/>
      <c r="F44" s="996"/>
      <c r="G44" s="996"/>
      <c r="H44" s="996"/>
      <c r="I44" s="996"/>
      <c r="J44" s="996"/>
      <c r="K44" s="996"/>
      <c r="L44" s="996"/>
    </row>
    <row r="45" spans="1:12" s="402" customFormat="1" x14ac:dyDescent="0.3">
      <c r="A45" s="990">
        <v>81</v>
      </c>
      <c r="B45" s="998"/>
      <c r="C45" s="992">
        <v>81</v>
      </c>
      <c r="D45" s="990" t="s">
        <v>219</v>
      </c>
      <c r="E45" s="990"/>
      <c r="F45" s="996"/>
      <c r="G45" s="996"/>
      <c r="H45" s="996"/>
      <c r="I45" s="996"/>
      <c r="J45" s="996"/>
      <c r="K45" s="996"/>
      <c r="L45" s="996"/>
    </row>
    <row r="46" spans="1:12" s="402" customFormat="1" x14ac:dyDescent="0.3">
      <c r="A46" s="990">
        <v>82</v>
      </c>
      <c r="B46" s="998"/>
      <c r="C46" s="992">
        <v>82</v>
      </c>
      <c r="D46" s="990" t="s">
        <v>331</v>
      </c>
      <c r="E46" s="990"/>
      <c r="F46" s="996"/>
      <c r="G46" s="996"/>
      <c r="H46" s="996"/>
      <c r="I46" s="996"/>
      <c r="J46" s="996"/>
      <c r="K46" s="996"/>
      <c r="L46" s="996"/>
    </row>
    <row r="47" spans="1:12" s="402" customFormat="1" x14ac:dyDescent="0.3">
      <c r="A47" s="990">
        <v>83</v>
      </c>
      <c r="B47" s="998"/>
      <c r="C47" s="992">
        <v>83</v>
      </c>
      <c r="D47" s="990" t="s">
        <v>102</v>
      </c>
      <c r="E47" s="990"/>
      <c r="F47" s="996"/>
      <c r="G47" s="996"/>
      <c r="H47" s="996"/>
      <c r="I47" s="996"/>
      <c r="J47" s="996"/>
      <c r="K47" s="996"/>
      <c r="L47" s="996"/>
    </row>
    <row r="48" spans="1:12" s="402" customFormat="1" x14ac:dyDescent="0.3">
      <c r="A48" s="990">
        <v>84</v>
      </c>
      <c r="B48" s="998"/>
      <c r="C48" s="992">
        <v>84</v>
      </c>
      <c r="D48" s="990" t="s">
        <v>227</v>
      </c>
      <c r="E48" s="990"/>
      <c r="F48" s="996"/>
      <c r="G48" s="996"/>
      <c r="H48" s="996"/>
      <c r="I48" s="996"/>
      <c r="J48" s="996"/>
      <c r="K48" s="996"/>
      <c r="L48" s="996"/>
    </row>
    <row r="49" spans="1:12" s="402" customFormat="1" x14ac:dyDescent="0.3">
      <c r="A49" s="990">
        <v>85</v>
      </c>
      <c r="B49" s="998"/>
      <c r="C49" s="992">
        <v>85</v>
      </c>
      <c r="D49" s="990" t="s">
        <v>229</v>
      </c>
      <c r="E49" s="990"/>
      <c r="F49" s="996"/>
      <c r="G49" s="996"/>
      <c r="H49" s="996"/>
      <c r="I49" s="996"/>
      <c r="J49" s="996"/>
      <c r="K49" s="996"/>
      <c r="L49" s="996"/>
    </row>
    <row r="50" spans="1:12" s="402" customFormat="1" x14ac:dyDescent="0.3">
      <c r="A50" s="990">
        <v>88</v>
      </c>
      <c r="B50" s="998"/>
      <c r="C50" s="992">
        <v>88</v>
      </c>
      <c r="D50" s="990" t="s">
        <v>226</v>
      </c>
      <c r="E50" s="990"/>
      <c r="F50" s="996"/>
      <c r="G50" s="996"/>
      <c r="H50" s="996"/>
      <c r="I50" s="996"/>
      <c r="J50" s="996"/>
      <c r="K50" s="996"/>
      <c r="L50" s="996"/>
    </row>
    <row r="51" spans="1:12" s="402" customFormat="1" x14ac:dyDescent="0.3">
      <c r="A51" s="990">
        <v>89</v>
      </c>
      <c r="B51" s="998"/>
      <c r="C51" s="992">
        <v>89</v>
      </c>
      <c r="D51" s="990" t="s">
        <v>230</v>
      </c>
      <c r="E51" s="990"/>
      <c r="F51" s="996"/>
      <c r="G51" s="996"/>
      <c r="H51" s="996"/>
      <c r="I51" s="996"/>
      <c r="J51" s="996"/>
      <c r="K51" s="996"/>
      <c r="L51" s="996"/>
    </row>
    <row r="52" spans="1:12" s="402" customFormat="1" x14ac:dyDescent="0.3">
      <c r="A52" s="990">
        <v>90</v>
      </c>
      <c r="B52" s="998"/>
      <c r="C52" s="992">
        <v>90</v>
      </c>
      <c r="D52" s="990" t="s">
        <v>223</v>
      </c>
      <c r="E52" s="990"/>
      <c r="F52" s="996"/>
      <c r="G52" s="996"/>
      <c r="H52" s="996"/>
      <c r="I52" s="996"/>
      <c r="J52" s="996"/>
      <c r="K52" s="996"/>
      <c r="L52" s="996"/>
    </row>
    <row r="53" spans="1:12" s="402" customFormat="1" x14ac:dyDescent="0.3">
      <c r="A53" s="990">
        <v>91</v>
      </c>
      <c r="B53" s="998"/>
      <c r="C53" s="992">
        <v>91</v>
      </c>
      <c r="D53" s="990" t="s">
        <v>224</v>
      </c>
      <c r="E53" s="990"/>
      <c r="F53" s="996"/>
      <c r="G53" s="996"/>
      <c r="H53" s="996"/>
      <c r="I53" s="996"/>
      <c r="J53" s="996"/>
      <c r="K53" s="996"/>
      <c r="L53" s="996"/>
    </row>
    <row r="54" spans="1:12" s="402" customFormat="1" x14ac:dyDescent="0.3">
      <c r="A54" s="990">
        <v>92</v>
      </c>
      <c r="B54" s="998"/>
      <c r="C54" s="992">
        <v>92</v>
      </c>
      <c r="D54" s="990" t="s">
        <v>371</v>
      </c>
      <c r="E54" s="990"/>
      <c r="F54" s="996"/>
      <c r="G54" s="996"/>
      <c r="H54" s="996"/>
      <c r="I54" s="996"/>
      <c r="J54" s="996"/>
      <c r="K54" s="996"/>
      <c r="L54" s="996"/>
    </row>
    <row r="55" spans="1:12" s="402" customFormat="1" x14ac:dyDescent="0.3">
      <c r="A55" s="990">
        <v>93</v>
      </c>
      <c r="B55" s="998"/>
      <c r="C55" s="992">
        <v>93</v>
      </c>
      <c r="D55" s="990" t="s">
        <v>237</v>
      </c>
      <c r="E55" s="990"/>
      <c r="F55" s="996"/>
      <c r="G55" s="996"/>
      <c r="H55" s="996"/>
      <c r="I55" s="996"/>
      <c r="J55" s="996"/>
      <c r="K55" s="996"/>
      <c r="L55" s="996"/>
    </row>
    <row r="56" spans="1:12" s="402" customFormat="1" x14ac:dyDescent="0.3">
      <c r="A56" s="990">
        <v>94</v>
      </c>
      <c r="B56" s="998"/>
      <c r="C56" s="992">
        <v>94</v>
      </c>
      <c r="D56" s="990" t="s">
        <v>240</v>
      </c>
      <c r="E56" s="990"/>
      <c r="F56" s="996"/>
      <c r="G56" s="996"/>
      <c r="H56" s="996"/>
      <c r="I56" s="996"/>
      <c r="J56" s="996"/>
      <c r="K56" s="996"/>
      <c r="L56" s="996"/>
    </row>
    <row r="57" spans="1:12" s="402" customFormat="1" x14ac:dyDescent="0.3">
      <c r="A57" s="990">
        <v>97</v>
      </c>
      <c r="B57" s="998"/>
      <c r="C57" s="992">
        <v>97</v>
      </c>
      <c r="D57" s="990" t="s">
        <v>236</v>
      </c>
      <c r="E57" s="990"/>
      <c r="F57" s="996"/>
      <c r="G57" s="996"/>
      <c r="H57" s="996"/>
      <c r="I57" s="996"/>
      <c r="J57" s="996"/>
      <c r="K57" s="996"/>
      <c r="L57" s="996"/>
    </row>
    <row r="58" spans="1:12" s="402" customFormat="1" x14ac:dyDescent="0.3">
      <c r="A58" s="990">
        <v>98</v>
      </c>
      <c r="B58" s="998"/>
      <c r="C58" s="992">
        <v>98</v>
      </c>
      <c r="D58" s="990" t="s">
        <v>241</v>
      </c>
      <c r="E58" s="990"/>
      <c r="F58" s="996"/>
      <c r="G58" s="996"/>
      <c r="H58" s="996"/>
      <c r="I58" s="996"/>
      <c r="J58" s="996"/>
      <c r="K58" s="996"/>
      <c r="L58" s="996"/>
    </row>
    <row r="59" spans="1:12" s="402" customFormat="1" x14ac:dyDescent="0.3">
      <c r="A59" s="990">
        <v>99</v>
      </c>
      <c r="B59" s="998"/>
      <c r="C59" s="992">
        <v>99</v>
      </c>
      <c r="D59" s="990" t="s">
        <v>238</v>
      </c>
      <c r="E59" s="990"/>
      <c r="F59" s="996"/>
      <c r="G59" s="996"/>
      <c r="H59" s="996"/>
      <c r="I59" s="996"/>
      <c r="J59" s="996"/>
      <c r="K59" s="996"/>
      <c r="L59" s="996"/>
    </row>
    <row r="60" spans="1:12" s="402" customFormat="1" x14ac:dyDescent="0.3">
      <c r="A60" s="990">
        <v>100</v>
      </c>
      <c r="B60" s="998"/>
      <c r="C60" s="992">
        <v>100</v>
      </c>
      <c r="D60" s="990" t="s">
        <v>251</v>
      </c>
      <c r="E60" s="990"/>
      <c r="F60" s="996"/>
      <c r="G60" s="996"/>
      <c r="H60" s="996"/>
      <c r="I60" s="996"/>
      <c r="J60" s="996"/>
      <c r="K60" s="996"/>
      <c r="L60" s="996"/>
    </row>
    <row r="61" spans="1:12" s="402" customFormat="1" x14ac:dyDescent="0.3">
      <c r="A61" s="990">
        <v>101</v>
      </c>
      <c r="B61" s="998"/>
      <c r="C61" s="992">
        <v>101</v>
      </c>
      <c r="D61" s="990" t="s">
        <v>250</v>
      </c>
      <c r="E61" s="990"/>
      <c r="F61" s="996"/>
      <c r="G61" s="996"/>
      <c r="H61" s="996"/>
      <c r="I61" s="996"/>
      <c r="J61" s="996"/>
      <c r="K61" s="996"/>
      <c r="L61" s="996"/>
    </row>
    <row r="62" spans="1:12" s="404" customFormat="1" x14ac:dyDescent="0.3">
      <c r="A62" s="990">
        <v>102</v>
      </c>
      <c r="B62" s="998"/>
      <c r="C62" s="992">
        <v>102</v>
      </c>
      <c r="D62" s="990" t="s">
        <v>265</v>
      </c>
      <c r="E62" s="990"/>
      <c r="F62" s="996"/>
      <c r="G62" s="996"/>
      <c r="H62" s="996"/>
      <c r="I62" s="996"/>
      <c r="J62" s="996"/>
      <c r="K62" s="996"/>
      <c r="L62" s="996"/>
    </row>
    <row r="63" spans="1:12" s="404" customFormat="1" x14ac:dyDescent="0.3">
      <c r="A63" s="990">
        <v>103</v>
      </c>
      <c r="B63" s="998"/>
      <c r="C63" s="992">
        <v>103</v>
      </c>
      <c r="D63" s="990" t="s">
        <v>266</v>
      </c>
      <c r="E63" s="990"/>
      <c r="F63" s="996"/>
      <c r="G63" s="996"/>
      <c r="H63" s="996"/>
      <c r="I63" s="996"/>
      <c r="J63" s="996"/>
      <c r="K63" s="996"/>
      <c r="L63" s="996"/>
    </row>
    <row r="64" spans="1:12" s="402" customFormat="1" x14ac:dyDescent="0.3">
      <c r="A64" s="990">
        <v>104</v>
      </c>
      <c r="B64" s="998"/>
      <c r="C64" s="992">
        <v>104</v>
      </c>
      <c r="D64" s="990" t="s">
        <v>297</v>
      </c>
      <c r="E64" s="990"/>
      <c r="F64" s="996"/>
      <c r="G64" s="996"/>
      <c r="H64" s="996"/>
      <c r="I64" s="996"/>
      <c r="J64" s="996"/>
      <c r="K64" s="996"/>
      <c r="L64" s="996"/>
    </row>
    <row r="65" spans="1:12" s="402" customFormat="1" x14ac:dyDescent="0.3">
      <c r="A65" s="990">
        <v>107</v>
      </c>
      <c r="B65" s="998">
        <v>107</v>
      </c>
      <c r="C65" s="992">
        <v>107</v>
      </c>
      <c r="D65" s="995" t="s">
        <v>1345</v>
      </c>
      <c r="E65" s="990"/>
      <c r="F65" s="996">
        <v>575760306</v>
      </c>
      <c r="G65" s="996">
        <v>936432286</v>
      </c>
      <c r="H65" s="996">
        <v>310266914</v>
      </c>
      <c r="I65" s="996">
        <v>393874457</v>
      </c>
      <c r="J65" s="996">
        <v>352651053</v>
      </c>
      <c r="K65" s="996">
        <v>528152164</v>
      </c>
      <c r="L65" s="996">
        <v>425201410</v>
      </c>
    </row>
    <row r="66" spans="1:12" s="402" customFormat="1" ht="28.8" x14ac:dyDescent="0.3">
      <c r="A66" s="990">
        <v>108</v>
      </c>
      <c r="B66" s="998">
        <v>108</v>
      </c>
      <c r="C66" s="992">
        <v>108</v>
      </c>
      <c r="D66" s="995" t="s">
        <v>1340</v>
      </c>
      <c r="E66" s="990"/>
      <c r="F66" s="996">
        <v>552913703</v>
      </c>
      <c r="G66" s="996">
        <v>914671041</v>
      </c>
      <c r="H66" s="996">
        <v>312306849</v>
      </c>
      <c r="I66" s="996">
        <v>384360018</v>
      </c>
      <c r="J66" s="996">
        <v>357388988</v>
      </c>
      <c r="K66" s="996">
        <v>534643042</v>
      </c>
      <c r="L66" s="996">
        <v>419060877</v>
      </c>
    </row>
    <row r="67" spans="1:12" s="402" customFormat="1" x14ac:dyDescent="0.3">
      <c r="A67" s="990">
        <v>147</v>
      </c>
      <c r="B67" s="998"/>
      <c r="C67" s="992">
        <v>147</v>
      </c>
      <c r="D67" s="990"/>
      <c r="E67" s="990"/>
      <c r="F67" s="996"/>
      <c r="G67" s="996"/>
      <c r="H67" s="996"/>
      <c r="I67" s="996"/>
      <c r="J67" s="996"/>
      <c r="K67" s="996"/>
      <c r="L67" s="996"/>
    </row>
    <row r="68" spans="1:12" s="402" customFormat="1" x14ac:dyDescent="0.3">
      <c r="A68" s="990">
        <v>148</v>
      </c>
      <c r="B68" s="998"/>
      <c r="C68" s="992">
        <v>148</v>
      </c>
      <c r="D68" s="990"/>
      <c r="E68" s="990"/>
      <c r="F68" s="996"/>
      <c r="G68" s="996"/>
      <c r="H68" s="996"/>
      <c r="I68" s="996"/>
      <c r="J68" s="996"/>
      <c r="K68" s="996"/>
      <c r="L68" s="996"/>
    </row>
    <row r="69" spans="1:12" s="402" customFormat="1" x14ac:dyDescent="0.3">
      <c r="A69" s="990">
        <v>149</v>
      </c>
      <c r="B69" s="998"/>
      <c r="C69" s="992">
        <v>149</v>
      </c>
      <c r="D69" s="990"/>
      <c r="E69" s="990"/>
      <c r="F69" s="996"/>
      <c r="G69" s="996"/>
      <c r="H69" s="996"/>
      <c r="I69" s="996"/>
      <c r="J69" s="996"/>
      <c r="K69" s="996"/>
      <c r="L69" s="996"/>
    </row>
    <row r="70" spans="1:12" s="402" customFormat="1" x14ac:dyDescent="0.3">
      <c r="A70" s="990">
        <v>150</v>
      </c>
      <c r="B70" s="998"/>
      <c r="C70" s="992">
        <v>150</v>
      </c>
      <c r="D70" s="990"/>
      <c r="E70" s="990"/>
      <c r="F70" s="996"/>
      <c r="G70" s="996"/>
      <c r="H70" s="996"/>
      <c r="I70" s="996"/>
      <c r="J70" s="996"/>
      <c r="K70" s="996"/>
      <c r="L70" s="996"/>
    </row>
    <row r="71" spans="1:12" s="402" customFormat="1" x14ac:dyDescent="0.3">
      <c r="A71" s="990">
        <v>171</v>
      </c>
      <c r="B71" s="998"/>
      <c r="C71" s="992">
        <v>171</v>
      </c>
      <c r="D71" s="990"/>
      <c r="E71" s="990"/>
      <c r="F71" s="996"/>
      <c r="G71" s="996"/>
      <c r="H71" s="996"/>
      <c r="I71" s="996"/>
      <c r="J71" s="996"/>
      <c r="K71" s="996"/>
      <c r="L71" s="996"/>
    </row>
    <row r="72" spans="1:12" s="402" customFormat="1" x14ac:dyDescent="0.3">
      <c r="A72" s="990">
        <v>191</v>
      </c>
      <c r="B72" s="998"/>
      <c r="C72" s="992">
        <v>191</v>
      </c>
      <c r="D72" s="990"/>
      <c r="E72" s="990"/>
      <c r="F72" s="996"/>
      <c r="G72" s="996"/>
      <c r="H72" s="996"/>
      <c r="I72" s="996"/>
      <c r="J72" s="996"/>
      <c r="K72" s="996"/>
      <c r="L72" s="996"/>
    </row>
    <row r="73" spans="1:12" s="402" customFormat="1" x14ac:dyDescent="0.3">
      <c r="A73" s="990">
        <v>192</v>
      </c>
      <c r="B73" s="998"/>
      <c r="C73" s="992">
        <v>192</v>
      </c>
      <c r="D73" s="990"/>
      <c r="E73" s="990"/>
      <c r="F73" s="996"/>
      <c r="G73" s="996"/>
      <c r="H73" s="996"/>
      <c r="I73" s="996"/>
      <c r="J73" s="996"/>
      <c r="K73" s="996"/>
      <c r="L73" s="996"/>
    </row>
    <row r="74" spans="1:12" s="402" customFormat="1" x14ac:dyDescent="0.3">
      <c r="A74" s="990">
        <v>193</v>
      </c>
      <c r="B74" s="998"/>
      <c r="C74" s="992">
        <v>193</v>
      </c>
      <c r="D74" s="995" t="s">
        <v>1346</v>
      </c>
      <c r="E74" s="990"/>
      <c r="F74" s="996">
        <v>0</v>
      </c>
      <c r="G74" s="996">
        <v>0</v>
      </c>
      <c r="H74" s="996">
        <v>0</v>
      </c>
      <c r="I74" s="996">
        <v>0</v>
      </c>
      <c r="J74" s="996">
        <v>0</v>
      </c>
      <c r="K74" s="996">
        <v>0</v>
      </c>
      <c r="L74" s="996">
        <v>0</v>
      </c>
    </row>
    <row r="75" spans="1:12" s="402" customFormat="1" x14ac:dyDescent="0.3">
      <c r="A75" s="990">
        <v>194</v>
      </c>
      <c r="B75" s="998"/>
      <c r="C75" s="992">
        <v>194</v>
      </c>
      <c r="D75" s="990"/>
      <c r="E75" s="990"/>
      <c r="F75" s="996"/>
      <c r="G75" s="996"/>
      <c r="H75" s="996"/>
      <c r="I75" s="996"/>
      <c r="J75" s="996"/>
      <c r="K75" s="996"/>
      <c r="L75" s="996"/>
    </row>
    <row r="76" spans="1:12" s="402" customFormat="1" ht="28.8" x14ac:dyDescent="0.3">
      <c r="A76" s="990">
        <v>231</v>
      </c>
      <c r="B76" s="998"/>
      <c r="C76" s="992">
        <v>231</v>
      </c>
      <c r="D76" s="995" t="s">
        <v>302</v>
      </c>
      <c r="E76" s="990"/>
      <c r="F76" s="996">
        <v>0</v>
      </c>
      <c r="G76" s="996">
        <v>0</v>
      </c>
      <c r="H76" s="996">
        <v>0</v>
      </c>
      <c r="I76" s="996">
        <v>0</v>
      </c>
      <c r="J76" s="996">
        <v>0</v>
      </c>
      <c r="K76" s="996">
        <v>0</v>
      </c>
      <c r="L76" s="996">
        <v>0</v>
      </c>
    </row>
    <row r="77" spans="1:12" s="402" customFormat="1" ht="28.8" x14ac:dyDescent="0.3">
      <c r="A77" s="990">
        <v>251</v>
      </c>
      <c r="B77" s="998"/>
      <c r="C77" s="992">
        <v>251</v>
      </c>
      <c r="D77" s="995" t="s">
        <v>303</v>
      </c>
      <c r="E77" s="990"/>
      <c r="F77" s="996">
        <v>0</v>
      </c>
      <c r="G77" s="996">
        <v>0</v>
      </c>
      <c r="H77" s="996">
        <v>0</v>
      </c>
      <c r="I77" s="996">
        <v>0</v>
      </c>
      <c r="J77" s="996">
        <v>0</v>
      </c>
      <c r="K77" s="996">
        <v>0</v>
      </c>
      <c r="L77" s="996">
        <v>0</v>
      </c>
    </row>
    <row r="78" spans="1:12" s="402" customFormat="1" x14ac:dyDescent="0.3">
      <c r="A78" s="990">
        <v>252</v>
      </c>
      <c r="B78" s="998"/>
      <c r="C78" s="992">
        <v>252</v>
      </c>
      <c r="D78" s="995" t="s">
        <v>1350</v>
      </c>
      <c r="E78" s="990"/>
      <c r="F78" s="996">
        <v>0</v>
      </c>
      <c r="G78" s="996">
        <v>0</v>
      </c>
      <c r="H78" s="996">
        <v>0</v>
      </c>
      <c r="I78" s="996">
        <v>0</v>
      </c>
      <c r="J78" s="996">
        <v>0</v>
      </c>
      <c r="K78" s="996">
        <v>0</v>
      </c>
      <c r="L78" s="996">
        <v>0</v>
      </c>
    </row>
    <row r="79" spans="1:12" s="402" customFormat="1" x14ac:dyDescent="0.3">
      <c r="A79" s="990">
        <v>253</v>
      </c>
      <c r="B79" s="998"/>
      <c r="C79" s="992">
        <v>253</v>
      </c>
      <c r="D79" s="995" t="s">
        <v>1351</v>
      </c>
      <c r="E79" s="990"/>
      <c r="F79" s="996">
        <v>0</v>
      </c>
      <c r="G79" s="996">
        <v>0</v>
      </c>
      <c r="H79" s="996">
        <v>0</v>
      </c>
      <c r="I79" s="996">
        <v>0</v>
      </c>
      <c r="J79" s="996">
        <v>0</v>
      </c>
      <c r="K79" s="996">
        <v>0</v>
      </c>
      <c r="L79" s="996">
        <v>0</v>
      </c>
    </row>
    <row r="80" spans="1:12" s="402" customFormat="1" x14ac:dyDescent="0.3">
      <c r="A80" s="990">
        <v>254</v>
      </c>
      <c r="B80" s="998"/>
      <c r="C80" s="992">
        <v>254</v>
      </c>
      <c r="D80" s="995" t="s">
        <v>1352</v>
      </c>
      <c r="E80" s="990"/>
      <c r="F80" s="996">
        <v>0</v>
      </c>
      <c r="G80" s="996">
        <v>0</v>
      </c>
      <c r="H80" s="996">
        <v>0</v>
      </c>
      <c r="I80" s="996">
        <v>0</v>
      </c>
      <c r="J80" s="996">
        <v>0</v>
      </c>
      <c r="K80" s="996">
        <v>0</v>
      </c>
      <c r="L80" s="996">
        <v>0</v>
      </c>
    </row>
    <row r="81" spans="1:12" s="402" customFormat="1" x14ac:dyDescent="0.3">
      <c r="A81" s="990">
        <v>255</v>
      </c>
      <c r="B81" s="998"/>
      <c r="C81" s="992">
        <v>255</v>
      </c>
      <c r="D81" s="995" t="s">
        <v>1353</v>
      </c>
      <c r="E81" s="990"/>
      <c r="F81" s="996">
        <v>0</v>
      </c>
      <c r="G81" s="996">
        <v>0</v>
      </c>
      <c r="H81" s="996">
        <v>0</v>
      </c>
      <c r="I81" s="996">
        <v>0</v>
      </c>
      <c r="J81" s="996">
        <v>0</v>
      </c>
      <c r="K81" s="996">
        <v>0</v>
      </c>
      <c r="L81" s="996">
        <v>0</v>
      </c>
    </row>
    <row r="82" spans="1:12" s="402" customFormat="1" x14ac:dyDescent="0.3">
      <c r="A82" s="990">
        <v>274</v>
      </c>
      <c r="B82" s="998"/>
      <c r="C82" s="992">
        <v>274</v>
      </c>
      <c r="D82" s="990"/>
      <c r="E82" s="990"/>
      <c r="F82" s="996"/>
      <c r="G82" s="996"/>
      <c r="H82" s="996"/>
      <c r="I82" s="996"/>
      <c r="J82" s="996"/>
      <c r="K82" s="996"/>
      <c r="L82" s="996"/>
    </row>
    <row r="83" spans="1:12" s="402" customFormat="1" x14ac:dyDescent="0.3">
      <c r="A83" s="990">
        <v>294</v>
      </c>
      <c r="B83" s="998"/>
      <c r="C83" s="992">
        <v>294</v>
      </c>
      <c r="D83" s="997"/>
      <c r="E83" s="990"/>
      <c r="F83" s="996"/>
      <c r="G83" s="996"/>
      <c r="H83" s="996"/>
      <c r="I83" s="996"/>
      <c r="J83" s="996"/>
      <c r="K83" s="996"/>
      <c r="L83" s="996"/>
    </row>
    <row r="84" spans="1:12" s="402" customFormat="1" x14ac:dyDescent="0.3">
      <c r="A84" s="990">
        <v>314</v>
      </c>
      <c r="B84" s="998"/>
      <c r="C84" s="992">
        <v>314</v>
      </c>
      <c r="D84" s="997"/>
      <c r="E84" s="990"/>
      <c r="F84" s="996"/>
      <c r="G84" s="996"/>
      <c r="H84" s="996"/>
      <c r="I84" s="996"/>
      <c r="J84" s="996"/>
      <c r="K84" s="996"/>
      <c r="L84" s="996"/>
    </row>
    <row r="85" spans="1:12" s="402" customFormat="1" x14ac:dyDescent="0.3">
      <c r="A85" s="990">
        <v>315</v>
      </c>
      <c r="B85" s="998"/>
      <c r="C85" s="992">
        <v>315</v>
      </c>
      <c r="D85" s="997"/>
      <c r="E85" s="990"/>
      <c r="F85" s="996"/>
      <c r="G85" s="996"/>
      <c r="H85" s="996"/>
      <c r="I85" s="996"/>
      <c r="J85" s="996"/>
      <c r="K85" s="996"/>
      <c r="L85" s="996"/>
    </row>
    <row r="86" spans="1:12" s="402" customFormat="1" x14ac:dyDescent="0.3">
      <c r="A86" s="990">
        <v>316</v>
      </c>
      <c r="B86" s="998"/>
      <c r="C86" s="992">
        <v>316</v>
      </c>
      <c r="D86" s="997"/>
      <c r="E86" s="990"/>
      <c r="F86" s="996"/>
      <c r="G86" s="996"/>
      <c r="H86" s="996"/>
      <c r="I86" s="996"/>
      <c r="J86" s="996"/>
      <c r="K86" s="996"/>
      <c r="L86" s="996"/>
    </row>
    <row r="87" spans="1:12" s="402" customFormat="1" x14ac:dyDescent="0.3">
      <c r="A87" s="990">
        <v>320</v>
      </c>
      <c r="B87" s="998"/>
      <c r="C87" s="992">
        <v>320</v>
      </c>
      <c r="D87" s="995" t="s">
        <v>1365</v>
      </c>
      <c r="E87" s="990"/>
      <c r="F87" s="996">
        <v>0</v>
      </c>
      <c r="G87" s="996">
        <v>0</v>
      </c>
      <c r="H87" s="996">
        <v>0</v>
      </c>
      <c r="I87" s="996">
        <v>0</v>
      </c>
      <c r="J87" s="996">
        <v>0</v>
      </c>
      <c r="K87" s="996">
        <v>0</v>
      </c>
      <c r="L87" s="996">
        <v>0</v>
      </c>
    </row>
    <row r="88" spans="1:12" s="402" customFormat="1" x14ac:dyDescent="0.3">
      <c r="A88" s="990">
        <v>321</v>
      </c>
      <c r="B88" s="998"/>
      <c r="C88" s="992">
        <v>321</v>
      </c>
      <c r="D88" s="995" t="s">
        <v>1366</v>
      </c>
      <c r="E88" s="990"/>
      <c r="F88" s="996">
        <v>0</v>
      </c>
      <c r="G88" s="996">
        <v>0</v>
      </c>
      <c r="H88" s="996">
        <v>0</v>
      </c>
      <c r="I88" s="996">
        <v>0</v>
      </c>
      <c r="J88" s="996">
        <v>0</v>
      </c>
      <c r="K88" s="996">
        <v>0</v>
      </c>
      <c r="L88" s="996">
        <v>0</v>
      </c>
    </row>
    <row r="89" spans="1:12" s="402" customFormat="1" ht="28.8" x14ac:dyDescent="0.3">
      <c r="A89" s="990">
        <v>322</v>
      </c>
      <c r="B89" s="998"/>
      <c r="C89" s="992">
        <v>322</v>
      </c>
      <c r="D89" s="995" t="s">
        <v>1367</v>
      </c>
      <c r="E89" s="990"/>
      <c r="F89" s="996">
        <v>0</v>
      </c>
      <c r="G89" s="996">
        <v>0</v>
      </c>
      <c r="H89" s="996">
        <v>0</v>
      </c>
      <c r="I89" s="996">
        <v>0</v>
      </c>
      <c r="J89" s="996">
        <v>0</v>
      </c>
      <c r="K89" s="996">
        <v>0</v>
      </c>
      <c r="L89" s="996">
        <v>0</v>
      </c>
    </row>
    <row r="90" spans="1:12" s="402" customFormat="1" x14ac:dyDescent="0.3">
      <c r="A90" s="990">
        <v>323</v>
      </c>
      <c r="B90" s="998"/>
      <c r="C90" s="992">
        <v>323</v>
      </c>
      <c r="D90" s="995" t="s">
        <v>257</v>
      </c>
      <c r="E90" s="990"/>
      <c r="F90" s="996">
        <v>0</v>
      </c>
      <c r="G90" s="996">
        <v>0</v>
      </c>
      <c r="H90" s="996">
        <v>0</v>
      </c>
      <c r="I90" s="996">
        <v>0</v>
      </c>
      <c r="J90" s="996">
        <v>0</v>
      </c>
      <c r="K90" s="996">
        <v>0</v>
      </c>
      <c r="L90" s="996">
        <v>0</v>
      </c>
    </row>
    <row r="91" spans="1:12" s="402" customFormat="1" x14ac:dyDescent="0.3">
      <c r="A91" s="990">
        <v>324</v>
      </c>
      <c r="B91" s="998"/>
      <c r="C91" s="992">
        <v>324</v>
      </c>
      <c r="D91" s="995" t="s">
        <v>1368</v>
      </c>
      <c r="E91" s="990"/>
      <c r="F91" s="996">
        <v>0</v>
      </c>
      <c r="G91" s="996">
        <v>0</v>
      </c>
      <c r="H91" s="996">
        <v>0</v>
      </c>
      <c r="I91" s="996">
        <v>0</v>
      </c>
      <c r="J91" s="996">
        <v>0</v>
      </c>
      <c r="K91" s="996">
        <v>0</v>
      </c>
      <c r="L91" s="996">
        <v>0</v>
      </c>
    </row>
    <row r="92" spans="1:12" s="402" customFormat="1" x14ac:dyDescent="0.3">
      <c r="A92" s="990">
        <v>325</v>
      </c>
      <c r="B92" s="998"/>
      <c r="C92" s="992">
        <v>325</v>
      </c>
      <c r="D92" s="995" t="s">
        <v>1369</v>
      </c>
      <c r="E92" s="990"/>
      <c r="F92" s="996">
        <v>0</v>
      </c>
      <c r="G92" s="996">
        <v>0</v>
      </c>
      <c r="H92" s="996">
        <v>0</v>
      </c>
      <c r="I92" s="996">
        <v>0</v>
      </c>
      <c r="J92" s="996">
        <v>0</v>
      </c>
      <c r="K92" s="996">
        <v>0</v>
      </c>
      <c r="L92" s="996">
        <v>0</v>
      </c>
    </row>
    <row r="93" spans="1:12" s="402" customFormat="1" x14ac:dyDescent="0.3">
      <c r="A93" s="990">
        <v>326</v>
      </c>
      <c r="B93" s="998"/>
      <c r="C93" s="992">
        <v>326</v>
      </c>
      <c r="D93" s="990"/>
      <c r="E93" s="990"/>
      <c r="F93" s="996"/>
      <c r="G93" s="996"/>
      <c r="H93" s="996"/>
      <c r="I93" s="996"/>
      <c r="J93" s="996"/>
      <c r="K93" s="996"/>
      <c r="L93" s="996"/>
    </row>
    <row r="94" spans="1:12" s="402" customFormat="1" x14ac:dyDescent="0.3">
      <c r="A94" s="990">
        <v>327</v>
      </c>
      <c r="B94" s="998"/>
      <c r="C94" s="992">
        <v>327</v>
      </c>
      <c r="D94" s="990"/>
      <c r="E94" s="990"/>
      <c r="F94" s="996"/>
      <c r="G94" s="996"/>
      <c r="H94" s="996"/>
      <c r="I94" s="996"/>
      <c r="J94" s="996"/>
      <c r="K94" s="996"/>
      <c r="L94" s="996"/>
    </row>
    <row r="95" spans="1:12" s="402" customFormat="1" x14ac:dyDescent="0.3">
      <c r="A95" s="990">
        <v>328</v>
      </c>
      <c r="B95" s="998"/>
      <c r="C95" s="992">
        <v>328</v>
      </c>
      <c r="D95" s="990"/>
      <c r="E95" s="990"/>
      <c r="F95" s="996"/>
      <c r="G95" s="996"/>
      <c r="H95" s="996"/>
      <c r="I95" s="996"/>
      <c r="J95" s="996"/>
      <c r="K95" s="996"/>
      <c r="L95" s="996"/>
    </row>
    <row r="96" spans="1:12" s="402" customFormat="1" x14ac:dyDescent="0.3">
      <c r="A96" s="990">
        <v>330</v>
      </c>
      <c r="B96" s="998"/>
      <c r="C96" s="992">
        <v>330</v>
      </c>
      <c r="D96" s="990"/>
      <c r="E96" s="990"/>
      <c r="F96" s="996"/>
      <c r="G96" s="996"/>
      <c r="H96" s="996"/>
      <c r="I96" s="996"/>
      <c r="J96" s="996"/>
      <c r="K96" s="996"/>
      <c r="L96" s="996"/>
    </row>
    <row r="97" spans="1:12" s="402" customFormat="1" x14ac:dyDescent="0.3">
      <c r="A97" s="990">
        <v>331</v>
      </c>
      <c r="B97" s="998"/>
      <c r="C97" s="992">
        <v>331</v>
      </c>
      <c r="D97" s="990"/>
      <c r="E97" s="990"/>
      <c r="F97" s="996"/>
      <c r="G97" s="996"/>
      <c r="H97" s="996"/>
      <c r="I97" s="996"/>
      <c r="J97" s="996"/>
      <c r="K97" s="996"/>
      <c r="L97" s="996"/>
    </row>
    <row r="98" spans="1:12" s="402" customFormat="1" x14ac:dyDescent="0.3">
      <c r="A98" s="990">
        <v>332</v>
      </c>
      <c r="B98" s="998"/>
      <c r="C98" s="992">
        <v>332</v>
      </c>
      <c r="D98" s="990"/>
      <c r="E98" s="990"/>
      <c r="F98" s="996"/>
      <c r="G98" s="996"/>
      <c r="H98" s="996"/>
      <c r="I98" s="996"/>
      <c r="J98" s="996"/>
      <c r="K98" s="996"/>
      <c r="L98" s="996"/>
    </row>
    <row r="99" spans="1:12" s="402" customFormat="1" ht="28.8" x14ac:dyDescent="0.3">
      <c r="A99" s="990">
        <v>333</v>
      </c>
      <c r="B99" s="998"/>
      <c r="C99" s="992">
        <v>333</v>
      </c>
      <c r="D99" s="995" t="s">
        <v>1371</v>
      </c>
      <c r="E99" s="990"/>
      <c r="F99" s="996">
        <v>0</v>
      </c>
      <c r="G99" s="996">
        <v>0</v>
      </c>
      <c r="H99" s="996">
        <v>0</v>
      </c>
      <c r="I99" s="996">
        <v>0</v>
      </c>
      <c r="J99" s="996">
        <v>0</v>
      </c>
      <c r="K99" s="996">
        <v>0</v>
      </c>
      <c r="L99" s="996">
        <v>0</v>
      </c>
    </row>
    <row r="100" spans="1:12" s="402" customFormat="1" ht="28.8" x14ac:dyDescent="0.3">
      <c r="A100" s="990">
        <v>334</v>
      </c>
      <c r="B100" s="998"/>
      <c r="C100" s="992">
        <v>334</v>
      </c>
      <c r="D100" s="995" t="s">
        <v>1372</v>
      </c>
      <c r="E100" s="990"/>
      <c r="F100" s="996">
        <v>0</v>
      </c>
      <c r="G100" s="996">
        <v>0</v>
      </c>
      <c r="H100" s="996">
        <v>0</v>
      </c>
      <c r="I100" s="996">
        <v>0</v>
      </c>
      <c r="J100" s="996">
        <v>0</v>
      </c>
      <c r="K100" s="996">
        <v>0</v>
      </c>
      <c r="L100" s="996">
        <v>0</v>
      </c>
    </row>
    <row r="101" spans="1:12" s="402" customFormat="1" ht="28.8" x14ac:dyDescent="0.3">
      <c r="A101" s="990">
        <v>335</v>
      </c>
      <c r="B101" s="998"/>
      <c r="C101" s="992">
        <v>335</v>
      </c>
      <c r="D101" s="995" t="s">
        <v>1373</v>
      </c>
      <c r="E101" s="990"/>
      <c r="F101" s="996">
        <v>0</v>
      </c>
      <c r="G101" s="996">
        <v>0</v>
      </c>
      <c r="H101" s="996">
        <v>0</v>
      </c>
      <c r="I101" s="996">
        <v>0</v>
      </c>
      <c r="J101" s="996">
        <v>0</v>
      </c>
      <c r="K101" s="996">
        <v>0</v>
      </c>
      <c r="L101" s="996">
        <v>0</v>
      </c>
    </row>
    <row r="102" spans="1:12" s="402" customFormat="1" ht="43.2" x14ac:dyDescent="0.3">
      <c r="A102" s="990">
        <v>336</v>
      </c>
      <c r="B102" s="998"/>
      <c r="C102" s="992">
        <v>336</v>
      </c>
      <c r="D102" s="995" t="s">
        <v>1374</v>
      </c>
      <c r="E102" s="990"/>
      <c r="F102" s="996">
        <v>0</v>
      </c>
      <c r="G102" s="996">
        <v>0</v>
      </c>
      <c r="H102" s="996">
        <v>0</v>
      </c>
      <c r="I102" s="996">
        <v>0</v>
      </c>
      <c r="J102" s="996">
        <v>0</v>
      </c>
      <c r="K102" s="996">
        <v>0</v>
      </c>
      <c r="L102" s="996">
        <v>0</v>
      </c>
    </row>
    <row r="103" spans="1:12" s="402" customFormat="1" ht="43.2" x14ac:dyDescent="0.3">
      <c r="A103" s="990">
        <v>337</v>
      </c>
      <c r="B103" s="998"/>
      <c r="C103" s="992">
        <v>337</v>
      </c>
      <c r="D103" s="995" t="s">
        <v>1375</v>
      </c>
      <c r="E103" s="990"/>
      <c r="F103" s="996">
        <v>0</v>
      </c>
      <c r="G103" s="996">
        <v>0</v>
      </c>
      <c r="H103" s="996">
        <v>0</v>
      </c>
      <c r="I103" s="996">
        <v>0</v>
      </c>
      <c r="J103" s="996">
        <v>0</v>
      </c>
      <c r="K103" s="996">
        <v>0</v>
      </c>
      <c r="L103" s="996">
        <v>0</v>
      </c>
    </row>
    <row r="104" spans="1:12" s="402" customFormat="1" x14ac:dyDescent="0.3">
      <c r="A104" s="990">
        <v>338</v>
      </c>
      <c r="B104" s="998"/>
      <c r="C104" s="992">
        <v>338</v>
      </c>
      <c r="D104" s="995" t="s">
        <v>1376</v>
      </c>
      <c r="E104" s="990"/>
      <c r="F104" s="996">
        <v>0</v>
      </c>
      <c r="G104" s="996">
        <v>0</v>
      </c>
      <c r="H104" s="996">
        <v>0</v>
      </c>
      <c r="I104" s="996">
        <v>0</v>
      </c>
      <c r="J104" s="996">
        <v>0</v>
      </c>
      <c r="K104" s="996">
        <v>0</v>
      </c>
      <c r="L104" s="996">
        <v>0</v>
      </c>
    </row>
    <row r="105" spans="1:12" s="402" customFormat="1" x14ac:dyDescent="0.3">
      <c r="A105" s="990">
        <v>339</v>
      </c>
      <c r="B105" s="998"/>
      <c r="C105" s="992">
        <v>339</v>
      </c>
      <c r="D105" s="995" t="s">
        <v>1377</v>
      </c>
      <c r="E105" s="990"/>
      <c r="F105" s="996">
        <v>0</v>
      </c>
      <c r="G105" s="996">
        <v>0</v>
      </c>
      <c r="H105" s="996">
        <v>0</v>
      </c>
      <c r="I105" s="996">
        <v>0</v>
      </c>
      <c r="J105" s="996">
        <v>0</v>
      </c>
      <c r="K105" s="996">
        <v>0</v>
      </c>
      <c r="L105" s="996">
        <v>0</v>
      </c>
    </row>
    <row r="106" spans="1:12" s="402" customFormat="1" ht="28.8" x14ac:dyDescent="0.3">
      <c r="A106" s="990">
        <v>340</v>
      </c>
      <c r="B106" s="998"/>
      <c r="C106" s="992">
        <v>340</v>
      </c>
      <c r="D106" s="995" t="s">
        <v>1378</v>
      </c>
      <c r="E106" s="990"/>
      <c r="F106" s="996">
        <v>0</v>
      </c>
      <c r="G106" s="996">
        <v>0</v>
      </c>
      <c r="H106" s="996">
        <v>0</v>
      </c>
      <c r="I106" s="996">
        <v>0</v>
      </c>
      <c r="J106" s="996">
        <v>0</v>
      </c>
      <c r="K106" s="996">
        <v>0</v>
      </c>
      <c r="L106" s="996">
        <v>0</v>
      </c>
    </row>
    <row r="107" spans="1:12" s="402" customFormat="1" ht="43.2" x14ac:dyDescent="0.3">
      <c r="A107" s="990">
        <v>341</v>
      </c>
      <c r="B107" s="998"/>
      <c r="C107" s="992">
        <v>341</v>
      </c>
      <c r="D107" s="995" t="s">
        <v>1379</v>
      </c>
      <c r="E107" s="990"/>
      <c r="F107" s="996">
        <v>0</v>
      </c>
      <c r="G107" s="996">
        <v>0</v>
      </c>
      <c r="H107" s="996">
        <v>0</v>
      </c>
      <c r="I107" s="996">
        <v>0</v>
      </c>
      <c r="J107" s="996">
        <v>0</v>
      </c>
      <c r="K107" s="996">
        <v>0</v>
      </c>
      <c r="L107" s="996">
        <v>0</v>
      </c>
    </row>
    <row r="108" spans="1:12" s="402" customFormat="1" x14ac:dyDescent="0.3">
      <c r="A108" s="990">
        <v>342</v>
      </c>
      <c r="B108" s="998"/>
      <c r="C108" s="992">
        <v>342</v>
      </c>
      <c r="D108" s="995" t="s">
        <v>372</v>
      </c>
      <c r="E108" s="990"/>
      <c r="F108" s="996">
        <v>0</v>
      </c>
      <c r="G108" s="996">
        <v>0</v>
      </c>
      <c r="H108" s="996">
        <v>0</v>
      </c>
      <c r="I108" s="996">
        <v>0</v>
      </c>
      <c r="J108" s="996">
        <v>0</v>
      </c>
      <c r="K108" s="996">
        <v>0</v>
      </c>
      <c r="L108" s="996">
        <v>0</v>
      </c>
    </row>
    <row r="109" spans="1:12" s="402" customFormat="1" ht="28.8" x14ac:dyDescent="0.3">
      <c r="A109" s="990">
        <v>343</v>
      </c>
      <c r="B109" s="998"/>
      <c r="C109" s="992">
        <v>343</v>
      </c>
      <c r="D109" s="995" t="s">
        <v>1380</v>
      </c>
      <c r="E109" s="990"/>
      <c r="F109" s="996">
        <v>0</v>
      </c>
      <c r="G109" s="996">
        <v>0</v>
      </c>
      <c r="H109" s="996">
        <v>0</v>
      </c>
      <c r="I109" s="996">
        <v>0</v>
      </c>
      <c r="J109" s="996">
        <v>0</v>
      </c>
      <c r="K109" s="996">
        <v>0</v>
      </c>
      <c r="L109" s="996">
        <v>0</v>
      </c>
    </row>
    <row r="110" spans="1:12" s="402" customFormat="1" x14ac:dyDescent="0.3">
      <c r="A110" s="990">
        <v>344</v>
      </c>
      <c r="B110" s="998"/>
      <c r="C110" s="992">
        <v>344</v>
      </c>
      <c r="D110" s="995" t="s">
        <v>1381</v>
      </c>
      <c r="E110" s="990"/>
      <c r="F110" s="996">
        <v>0</v>
      </c>
      <c r="G110" s="996">
        <v>0</v>
      </c>
      <c r="H110" s="996">
        <v>0</v>
      </c>
      <c r="I110" s="996">
        <v>0</v>
      </c>
      <c r="J110" s="996">
        <v>0</v>
      </c>
      <c r="K110" s="996">
        <v>0</v>
      </c>
      <c r="L110" s="996">
        <v>0</v>
      </c>
    </row>
    <row r="111" spans="1:12" s="402" customFormat="1" x14ac:dyDescent="0.3">
      <c r="A111" s="990">
        <v>346</v>
      </c>
      <c r="B111" s="998"/>
      <c r="C111" s="992">
        <v>346</v>
      </c>
      <c r="D111" s="990"/>
      <c r="E111" s="990"/>
      <c r="F111" s="996"/>
      <c r="G111" s="996"/>
      <c r="H111" s="996"/>
      <c r="I111" s="996"/>
      <c r="J111" s="996"/>
      <c r="K111" s="996"/>
      <c r="L111" s="996"/>
    </row>
    <row r="112" spans="1:12" s="402" customFormat="1" x14ac:dyDescent="0.3">
      <c r="A112" s="990">
        <v>347</v>
      </c>
      <c r="B112" s="998"/>
      <c r="C112" s="992">
        <v>347</v>
      </c>
      <c r="D112" s="990"/>
      <c r="E112" s="990"/>
      <c r="F112" s="996"/>
      <c r="G112" s="996"/>
      <c r="H112" s="996"/>
      <c r="I112" s="996"/>
      <c r="J112" s="996"/>
      <c r="K112" s="996"/>
      <c r="L112" s="996"/>
    </row>
    <row r="113" spans="1:12" s="402" customFormat="1" x14ac:dyDescent="0.3">
      <c r="A113" s="990">
        <v>349</v>
      </c>
      <c r="B113" s="998"/>
      <c r="C113" s="992">
        <v>349</v>
      </c>
      <c r="D113" s="990"/>
      <c r="E113" s="990"/>
      <c r="F113" s="996"/>
      <c r="G113" s="996"/>
      <c r="H113" s="996"/>
      <c r="I113" s="996"/>
      <c r="J113" s="996"/>
      <c r="K113" s="996"/>
      <c r="L113" s="996"/>
    </row>
    <row r="114" spans="1:12" s="402" customFormat="1" x14ac:dyDescent="0.3">
      <c r="A114" s="990">
        <v>350</v>
      </c>
      <c r="B114" s="998"/>
      <c r="C114" s="992">
        <v>350</v>
      </c>
      <c r="D114" s="990"/>
      <c r="E114" s="990"/>
      <c r="F114" s="996"/>
      <c r="G114" s="996"/>
      <c r="H114" s="996"/>
      <c r="I114" s="996"/>
      <c r="J114" s="996"/>
      <c r="K114" s="996"/>
      <c r="L114" s="996"/>
    </row>
    <row r="115" spans="1:12" s="402" customFormat="1" x14ac:dyDescent="0.3">
      <c r="A115" s="990">
        <v>351</v>
      </c>
      <c r="B115" s="998"/>
      <c r="C115" s="992">
        <v>351</v>
      </c>
      <c r="D115" s="990"/>
      <c r="E115" s="990"/>
      <c r="F115" s="996"/>
      <c r="G115" s="996"/>
      <c r="H115" s="996"/>
      <c r="I115" s="996"/>
      <c r="J115" s="996"/>
      <c r="K115" s="996"/>
      <c r="L115" s="996"/>
    </row>
    <row r="116" spans="1:12" s="402" customFormat="1" x14ac:dyDescent="0.3">
      <c r="A116" s="990">
        <v>352</v>
      </c>
      <c r="B116" s="998"/>
      <c r="C116" s="992">
        <v>352</v>
      </c>
      <c r="D116" s="990"/>
      <c r="E116" s="990"/>
      <c r="F116" s="996"/>
      <c r="G116" s="996"/>
      <c r="H116" s="996"/>
      <c r="I116" s="996"/>
      <c r="J116" s="996"/>
      <c r="K116" s="996"/>
      <c r="L116" s="996"/>
    </row>
    <row r="117" spans="1:12" s="402" customFormat="1" x14ac:dyDescent="0.3">
      <c r="A117" s="990">
        <v>353</v>
      </c>
      <c r="B117" s="998"/>
      <c r="C117" s="992">
        <v>353</v>
      </c>
      <c r="D117" s="990"/>
      <c r="E117" s="990"/>
      <c r="F117" s="996"/>
      <c r="G117" s="996"/>
      <c r="H117" s="996"/>
      <c r="I117" s="996"/>
      <c r="J117" s="996"/>
      <c r="K117" s="996"/>
      <c r="L117" s="996"/>
    </row>
    <row r="118" spans="1:12" s="402" customFormat="1" x14ac:dyDescent="0.3">
      <c r="A118" s="990">
        <v>356</v>
      </c>
      <c r="B118" s="998"/>
      <c r="C118" s="992">
        <v>356</v>
      </c>
      <c r="D118" s="990"/>
      <c r="E118" s="990"/>
      <c r="F118" s="996"/>
      <c r="G118" s="996"/>
      <c r="H118" s="996"/>
      <c r="I118" s="996"/>
      <c r="J118" s="996"/>
      <c r="K118" s="996"/>
      <c r="L118" s="996"/>
    </row>
    <row r="119" spans="1:12" s="402" customFormat="1" x14ac:dyDescent="0.3">
      <c r="A119" s="990">
        <v>357</v>
      </c>
      <c r="B119" s="998"/>
      <c r="C119" s="992">
        <v>357</v>
      </c>
      <c r="D119" s="990"/>
      <c r="E119" s="990"/>
      <c r="F119" s="996"/>
      <c r="G119" s="996"/>
      <c r="H119" s="996"/>
      <c r="I119" s="996"/>
      <c r="J119" s="996"/>
      <c r="K119" s="996"/>
      <c r="L119" s="996"/>
    </row>
    <row r="120" spans="1:12" s="402" customFormat="1" x14ac:dyDescent="0.3">
      <c r="A120" s="990">
        <v>359</v>
      </c>
      <c r="B120" s="998"/>
      <c r="C120" s="992">
        <v>359</v>
      </c>
      <c r="D120" s="990"/>
      <c r="E120" s="990"/>
      <c r="F120" s="996"/>
      <c r="G120" s="996"/>
      <c r="H120" s="996"/>
      <c r="I120" s="996"/>
      <c r="J120" s="996"/>
      <c r="K120" s="996"/>
      <c r="L120" s="996"/>
    </row>
    <row r="121" spans="1:12" s="402" customFormat="1" x14ac:dyDescent="0.3">
      <c r="A121" s="990">
        <v>360</v>
      </c>
      <c r="B121" s="998"/>
      <c r="C121" s="992">
        <v>360</v>
      </c>
      <c r="D121" s="990"/>
      <c r="E121" s="990"/>
      <c r="F121" s="996"/>
      <c r="G121" s="996"/>
      <c r="H121" s="996"/>
      <c r="I121" s="996"/>
      <c r="J121" s="996"/>
      <c r="K121" s="996"/>
      <c r="L121" s="996"/>
    </row>
    <row r="122" spans="1:12" s="402" customFormat="1" x14ac:dyDescent="0.3">
      <c r="A122" s="990">
        <v>361</v>
      </c>
      <c r="B122" s="998"/>
      <c r="C122" s="992">
        <v>361</v>
      </c>
      <c r="D122" s="990"/>
      <c r="E122" s="990"/>
      <c r="F122" s="996"/>
      <c r="G122" s="996"/>
      <c r="H122" s="996"/>
      <c r="I122" s="996"/>
      <c r="J122" s="996"/>
      <c r="K122" s="996"/>
      <c r="L122" s="996"/>
    </row>
    <row r="123" spans="1:12" s="402" customFormat="1" x14ac:dyDescent="0.3">
      <c r="A123" s="990">
        <v>362</v>
      </c>
      <c r="B123" s="998"/>
      <c r="C123" s="992">
        <v>362</v>
      </c>
      <c r="D123" s="990"/>
      <c r="E123" s="990"/>
      <c r="F123" s="996"/>
      <c r="G123" s="996"/>
      <c r="H123" s="996"/>
      <c r="I123" s="996"/>
      <c r="J123" s="996"/>
      <c r="K123" s="996"/>
      <c r="L123" s="996"/>
    </row>
    <row r="124" spans="1:12" s="402" customFormat="1" x14ac:dyDescent="0.3">
      <c r="A124" s="990">
        <v>363</v>
      </c>
      <c r="B124" s="998"/>
      <c r="C124" s="992">
        <v>363</v>
      </c>
      <c r="D124" s="990"/>
      <c r="E124" s="990"/>
      <c r="F124" s="996"/>
      <c r="G124" s="996"/>
      <c r="H124" s="996"/>
      <c r="I124" s="996"/>
      <c r="J124" s="996"/>
      <c r="K124" s="996"/>
      <c r="L124" s="996"/>
    </row>
    <row r="125" spans="1:12" s="402" customFormat="1" x14ac:dyDescent="0.3">
      <c r="A125" s="990">
        <v>364</v>
      </c>
      <c r="B125" s="998"/>
      <c r="C125" s="992">
        <v>364</v>
      </c>
      <c r="D125" s="990"/>
      <c r="E125" s="990"/>
      <c r="F125" s="996"/>
      <c r="G125" s="996"/>
      <c r="H125" s="996"/>
      <c r="I125" s="996"/>
      <c r="J125" s="996"/>
      <c r="K125" s="996"/>
      <c r="L125" s="996"/>
    </row>
    <row r="126" spans="1:12" s="402" customFormat="1" x14ac:dyDescent="0.3">
      <c r="A126" s="990">
        <v>365</v>
      </c>
      <c r="B126" s="998"/>
      <c r="C126" s="992">
        <v>365</v>
      </c>
      <c r="D126" s="990"/>
      <c r="E126" s="990"/>
      <c r="F126" s="996"/>
      <c r="G126" s="996"/>
      <c r="H126" s="996"/>
      <c r="I126" s="996"/>
      <c r="J126" s="996"/>
      <c r="K126" s="996"/>
      <c r="L126" s="996"/>
    </row>
    <row r="127" spans="1:12" s="402" customFormat="1" x14ac:dyDescent="0.3">
      <c r="A127" s="990">
        <v>366</v>
      </c>
      <c r="B127" s="998"/>
      <c r="C127" s="992">
        <v>366</v>
      </c>
      <c r="D127" s="990"/>
      <c r="E127" s="990"/>
      <c r="F127" s="996"/>
      <c r="G127" s="996"/>
      <c r="H127" s="996"/>
      <c r="I127" s="996"/>
      <c r="J127" s="996"/>
      <c r="K127" s="996"/>
      <c r="L127" s="996"/>
    </row>
    <row r="128" spans="1:12" s="402" customFormat="1" x14ac:dyDescent="0.3">
      <c r="A128" s="990">
        <v>367</v>
      </c>
      <c r="B128" s="998"/>
      <c r="C128" s="992">
        <v>367</v>
      </c>
      <c r="D128" s="995" t="s">
        <v>373</v>
      </c>
      <c r="E128" s="990"/>
      <c r="F128" s="996">
        <v>0</v>
      </c>
      <c r="G128" s="996">
        <v>0</v>
      </c>
      <c r="H128" s="996">
        <v>0</v>
      </c>
      <c r="I128" s="996">
        <v>0</v>
      </c>
      <c r="J128" s="996">
        <v>0</v>
      </c>
      <c r="K128" s="996">
        <v>0</v>
      </c>
      <c r="L128" s="996">
        <v>0</v>
      </c>
    </row>
    <row r="129" spans="1:12" s="402" customFormat="1" ht="28.8" x14ac:dyDescent="0.3">
      <c r="A129" s="990">
        <v>368</v>
      </c>
      <c r="B129" s="998"/>
      <c r="C129" s="992">
        <v>368</v>
      </c>
      <c r="D129" s="995" t="s">
        <v>1383</v>
      </c>
      <c r="E129" s="990"/>
      <c r="F129" s="996">
        <v>0</v>
      </c>
      <c r="G129" s="996">
        <v>0</v>
      </c>
      <c r="H129" s="996">
        <v>0</v>
      </c>
      <c r="I129" s="996">
        <v>0</v>
      </c>
      <c r="J129" s="996">
        <v>0</v>
      </c>
      <c r="K129" s="996">
        <v>0</v>
      </c>
      <c r="L129" s="996">
        <v>0</v>
      </c>
    </row>
    <row r="130" spans="1:12" s="402" customFormat="1" ht="28.8" x14ac:dyDescent="0.3">
      <c r="A130" s="990">
        <v>369</v>
      </c>
      <c r="B130" s="998"/>
      <c r="C130" s="992">
        <v>369</v>
      </c>
      <c r="D130" s="995" t="s">
        <v>1384</v>
      </c>
      <c r="E130" s="990"/>
      <c r="F130" s="996">
        <v>0</v>
      </c>
      <c r="G130" s="996">
        <v>0</v>
      </c>
      <c r="H130" s="996">
        <v>0</v>
      </c>
      <c r="I130" s="996">
        <v>0</v>
      </c>
      <c r="J130" s="996">
        <v>0</v>
      </c>
      <c r="K130" s="996">
        <v>0</v>
      </c>
      <c r="L130" s="996">
        <v>0</v>
      </c>
    </row>
    <row r="131" spans="1:12" s="402" customFormat="1" ht="28.8" x14ac:dyDescent="0.3">
      <c r="A131" s="990">
        <v>370</v>
      </c>
      <c r="B131" s="998"/>
      <c r="C131" s="992">
        <v>370</v>
      </c>
      <c r="D131" s="995" t="s">
        <v>1385</v>
      </c>
      <c r="E131" s="990"/>
      <c r="F131" s="996">
        <v>0</v>
      </c>
      <c r="G131" s="996">
        <v>0</v>
      </c>
      <c r="H131" s="996">
        <v>0</v>
      </c>
      <c r="I131" s="996">
        <v>0</v>
      </c>
      <c r="J131" s="996">
        <v>0</v>
      </c>
      <c r="K131" s="996">
        <v>0</v>
      </c>
      <c r="L131" s="996">
        <v>0</v>
      </c>
    </row>
    <row r="132" spans="1:12" s="402" customFormat="1" ht="28.8" x14ac:dyDescent="0.3">
      <c r="A132" s="990">
        <v>371</v>
      </c>
      <c r="B132" s="998"/>
      <c r="C132" s="992">
        <v>371</v>
      </c>
      <c r="D132" s="995" t="s">
        <v>1386</v>
      </c>
      <c r="E132" s="990"/>
      <c r="F132" s="996">
        <v>0</v>
      </c>
      <c r="G132" s="996">
        <v>0</v>
      </c>
      <c r="H132" s="996">
        <v>0</v>
      </c>
      <c r="I132" s="996">
        <v>0</v>
      </c>
      <c r="J132" s="996">
        <v>0</v>
      </c>
      <c r="K132" s="996">
        <v>0</v>
      </c>
      <c r="L132" s="996">
        <v>0</v>
      </c>
    </row>
    <row r="133" spans="1:12" s="402" customFormat="1" x14ac:dyDescent="0.3">
      <c r="A133" s="990">
        <v>373</v>
      </c>
      <c r="B133" s="998"/>
      <c r="C133" s="992">
        <v>373</v>
      </c>
      <c r="D133" s="995" t="s">
        <v>1388</v>
      </c>
      <c r="E133" s="990"/>
      <c r="F133" s="996">
        <v>0</v>
      </c>
      <c r="G133" s="996">
        <v>0</v>
      </c>
      <c r="H133" s="996">
        <v>0</v>
      </c>
      <c r="I133" s="996">
        <v>0</v>
      </c>
      <c r="J133" s="996">
        <v>0</v>
      </c>
      <c r="K133" s="996">
        <v>0</v>
      </c>
      <c r="L133" s="996">
        <v>0</v>
      </c>
    </row>
    <row r="134" spans="1:12" s="402" customFormat="1" x14ac:dyDescent="0.3">
      <c r="A134" s="990">
        <v>375</v>
      </c>
      <c r="B134" s="998"/>
      <c r="C134" s="992">
        <v>375</v>
      </c>
      <c r="D134" s="990"/>
      <c r="E134" s="990"/>
      <c r="F134" s="996"/>
      <c r="G134" s="996"/>
      <c r="H134" s="996"/>
      <c r="I134" s="996"/>
      <c r="J134" s="996"/>
      <c r="K134" s="996"/>
      <c r="L134" s="996"/>
    </row>
    <row r="135" spans="1:12" s="402" customFormat="1" x14ac:dyDescent="0.3">
      <c r="A135" s="990">
        <v>376</v>
      </c>
      <c r="B135" s="998"/>
      <c r="C135" s="992">
        <v>376</v>
      </c>
      <c r="D135" s="995" t="s">
        <v>1389</v>
      </c>
      <c r="E135" s="990"/>
      <c r="F135" s="996">
        <v>0</v>
      </c>
      <c r="G135" s="996">
        <v>0</v>
      </c>
      <c r="H135" s="996">
        <v>0</v>
      </c>
      <c r="I135" s="996">
        <v>0</v>
      </c>
      <c r="J135" s="996">
        <v>0</v>
      </c>
      <c r="K135" s="996">
        <v>0</v>
      </c>
      <c r="L135" s="996">
        <v>0</v>
      </c>
    </row>
    <row r="136" spans="1:12" s="402" customFormat="1" x14ac:dyDescent="0.3">
      <c r="A136" s="990">
        <v>377</v>
      </c>
      <c r="B136" s="998"/>
      <c r="C136" s="992">
        <v>377</v>
      </c>
      <c r="D136" s="990"/>
      <c r="E136" s="990"/>
      <c r="F136" s="996"/>
      <c r="G136" s="996"/>
      <c r="H136" s="996"/>
      <c r="I136" s="996"/>
      <c r="J136" s="996"/>
      <c r="K136" s="996"/>
      <c r="L136" s="996"/>
    </row>
    <row r="137" spans="1:12" s="402" customFormat="1" x14ac:dyDescent="0.3">
      <c r="A137" s="990">
        <v>378</v>
      </c>
      <c r="B137" s="998"/>
      <c r="C137" s="992">
        <v>378</v>
      </c>
      <c r="D137" s="990"/>
      <c r="E137" s="990"/>
      <c r="F137" s="996"/>
      <c r="G137" s="996"/>
      <c r="H137" s="996"/>
      <c r="I137" s="996"/>
      <c r="J137" s="996"/>
      <c r="K137" s="996"/>
      <c r="L137" s="996"/>
    </row>
    <row r="138" spans="1:12" s="402" customFormat="1" x14ac:dyDescent="0.3">
      <c r="A138" s="990">
        <v>379</v>
      </c>
      <c r="B138" s="998"/>
      <c r="C138" s="992">
        <v>379</v>
      </c>
      <c r="D138" s="995" t="s">
        <v>1390</v>
      </c>
      <c r="E138" s="990"/>
      <c r="F138" s="996">
        <v>0</v>
      </c>
      <c r="G138" s="996">
        <v>0</v>
      </c>
      <c r="H138" s="996">
        <v>0</v>
      </c>
      <c r="I138" s="996">
        <v>0</v>
      </c>
      <c r="J138" s="996">
        <v>0</v>
      </c>
      <c r="K138" s="996">
        <v>0</v>
      </c>
      <c r="L138" s="996">
        <v>0</v>
      </c>
    </row>
    <row r="139" spans="1:12" s="402" customFormat="1" ht="28.8" x14ac:dyDescent="0.3">
      <c r="A139" s="990">
        <v>380</v>
      </c>
      <c r="B139" s="998"/>
      <c r="C139" s="992">
        <v>380</v>
      </c>
      <c r="D139" s="995" t="s">
        <v>1391</v>
      </c>
      <c r="E139" s="990"/>
      <c r="F139" s="996">
        <v>0</v>
      </c>
      <c r="G139" s="996">
        <v>0</v>
      </c>
      <c r="H139" s="996">
        <v>0</v>
      </c>
      <c r="I139" s="996">
        <v>0</v>
      </c>
      <c r="J139" s="996">
        <v>0</v>
      </c>
      <c r="K139" s="996">
        <v>0</v>
      </c>
      <c r="L139" s="996">
        <v>0</v>
      </c>
    </row>
    <row r="140" spans="1:12" s="402" customFormat="1" x14ac:dyDescent="0.3">
      <c r="A140" s="990">
        <v>381</v>
      </c>
      <c r="B140" s="998"/>
      <c r="C140" s="992">
        <v>381</v>
      </c>
      <c r="D140" s="990"/>
      <c r="E140" s="990"/>
      <c r="F140" s="996"/>
      <c r="G140" s="996"/>
      <c r="H140" s="996"/>
      <c r="I140" s="996"/>
      <c r="J140" s="996"/>
      <c r="K140" s="996"/>
      <c r="L140" s="996"/>
    </row>
    <row r="141" spans="1:12" s="402" customFormat="1" x14ac:dyDescent="0.3">
      <c r="A141" s="990">
        <v>382</v>
      </c>
      <c r="B141" s="998"/>
      <c r="C141" s="992">
        <v>382</v>
      </c>
      <c r="D141" s="990"/>
      <c r="E141" s="990"/>
      <c r="F141" s="996"/>
      <c r="G141" s="996"/>
      <c r="H141" s="996"/>
      <c r="I141" s="996"/>
      <c r="J141" s="996"/>
      <c r="K141" s="996"/>
      <c r="L141" s="996"/>
    </row>
    <row r="142" spans="1:12" s="402" customFormat="1" x14ac:dyDescent="0.3">
      <c r="A142" s="990">
        <v>383</v>
      </c>
      <c r="B142" s="998"/>
      <c r="C142" s="992">
        <v>383</v>
      </c>
      <c r="D142" s="990"/>
      <c r="E142" s="990"/>
      <c r="F142" s="996"/>
      <c r="G142" s="996"/>
      <c r="H142" s="996"/>
      <c r="I142" s="996"/>
      <c r="J142" s="996"/>
      <c r="K142" s="996"/>
      <c r="L142" s="996"/>
    </row>
    <row r="143" spans="1:12" s="402" customFormat="1" x14ac:dyDescent="0.3">
      <c r="A143" s="990">
        <v>384</v>
      </c>
      <c r="B143" s="998"/>
      <c r="C143" s="992">
        <v>384</v>
      </c>
      <c r="D143" s="990"/>
      <c r="E143" s="990"/>
      <c r="F143" s="996"/>
      <c r="G143" s="996"/>
      <c r="H143" s="996"/>
      <c r="I143" s="996"/>
      <c r="J143" s="996"/>
      <c r="K143" s="996"/>
      <c r="L143" s="996"/>
    </row>
    <row r="144" spans="1:12" s="402" customFormat="1" x14ac:dyDescent="0.3">
      <c r="A144" s="990">
        <v>385</v>
      </c>
      <c r="B144" s="998"/>
      <c r="C144" s="992">
        <v>385</v>
      </c>
      <c r="D144" s="995" t="s">
        <v>1392</v>
      </c>
      <c r="E144" s="990"/>
      <c r="F144" s="996">
        <v>0</v>
      </c>
      <c r="G144" s="996">
        <v>0</v>
      </c>
      <c r="H144" s="996">
        <v>0</v>
      </c>
      <c r="I144" s="996">
        <v>0</v>
      </c>
      <c r="J144" s="996">
        <v>0</v>
      </c>
      <c r="K144" s="996">
        <v>0</v>
      </c>
      <c r="L144" s="996">
        <v>0</v>
      </c>
    </row>
    <row r="145" spans="1:12" s="402" customFormat="1" x14ac:dyDescent="0.3">
      <c r="A145" s="990">
        <v>386</v>
      </c>
      <c r="B145" s="998"/>
      <c r="C145" s="992">
        <v>386</v>
      </c>
      <c r="D145" s="995" t="s">
        <v>1393</v>
      </c>
      <c r="E145" s="990"/>
      <c r="F145" s="996">
        <v>0</v>
      </c>
      <c r="G145" s="996">
        <v>0</v>
      </c>
      <c r="H145" s="996">
        <v>0</v>
      </c>
      <c r="I145" s="996">
        <v>0</v>
      </c>
      <c r="J145" s="996">
        <v>0</v>
      </c>
      <c r="K145" s="996">
        <v>0</v>
      </c>
      <c r="L145" s="996">
        <v>0</v>
      </c>
    </row>
    <row r="146" spans="1:12" s="402" customFormat="1" x14ac:dyDescent="0.3">
      <c r="A146" s="990">
        <v>387</v>
      </c>
      <c r="B146" s="998"/>
      <c r="C146" s="992">
        <v>387</v>
      </c>
      <c r="D146" s="995" t="s">
        <v>1394</v>
      </c>
      <c r="E146" s="990"/>
      <c r="F146" s="996">
        <v>0</v>
      </c>
      <c r="G146" s="996">
        <v>0</v>
      </c>
      <c r="H146" s="996">
        <v>0</v>
      </c>
      <c r="I146" s="996">
        <v>0</v>
      </c>
      <c r="J146" s="996">
        <v>0</v>
      </c>
      <c r="K146" s="996">
        <v>0</v>
      </c>
      <c r="L146" s="996">
        <v>0</v>
      </c>
    </row>
    <row r="147" spans="1:12" s="402" customFormat="1" x14ac:dyDescent="0.3">
      <c r="A147" s="990">
        <v>388</v>
      </c>
      <c r="B147" s="998"/>
      <c r="C147" s="992">
        <v>388</v>
      </c>
      <c r="D147" s="995" t="s">
        <v>1395</v>
      </c>
      <c r="E147" s="990"/>
      <c r="F147" s="996">
        <v>0</v>
      </c>
      <c r="G147" s="996">
        <v>0</v>
      </c>
      <c r="H147" s="996">
        <v>0</v>
      </c>
      <c r="I147" s="996">
        <v>0</v>
      </c>
      <c r="J147" s="996">
        <v>0</v>
      </c>
      <c r="K147" s="996">
        <v>0</v>
      </c>
      <c r="L147" s="996">
        <v>0</v>
      </c>
    </row>
    <row r="148" spans="1:12" s="402" customFormat="1" x14ac:dyDescent="0.3">
      <c r="A148" s="990">
        <v>389</v>
      </c>
      <c r="B148" s="998"/>
      <c r="C148" s="992">
        <v>389</v>
      </c>
      <c r="D148" s="995" t="s">
        <v>1396</v>
      </c>
      <c r="E148" s="990"/>
      <c r="F148" s="996">
        <v>0</v>
      </c>
      <c r="G148" s="996">
        <v>0</v>
      </c>
      <c r="H148" s="996">
        <v>0</v>
      </c>
      <c r="I148" s="996">
        <v>0</v>
      </c>
      <c r="J148" s="996">
        <v>0</v>
      </c>
      <c r="K148" s="996">
        <v>0</v>
      </c>
      <c r="L148" s="996">
        <v>0</v>
      </c>
    </row>
    <row r="149" spans="1:12" s="402" customFormat="1" ht="28.8" x14ac:dyDescent="0.3">
      <c r="A149" s="990">
        <v>391</v>
      </c>
      <c r="B149" s="998"/>
      <c r="C149" s="992">
        <v>391</v>
      </c>
      <c r="D149" s="995" t="s">
        <v>1398</v>
      </c>
      <c r="E149" s="990"/>
      <c r="F149" s="996">
        <v>0</v>
      </c>
      <c r="G149" s="996">
        <v>0</v>
      </c>
      <c r="H149" s="996">
        <v>0</v>
      </c>
      <c r="I149" s="996">
        <v>0</v>
      </c>
      <c r="J149" s="996">
        <v>0</v>
      </c>
      <c r="K149" s="996">
        <v>0</v>
      </c>
      <c r="L149" s="996">
        <v>0</v>
      </c>
    </row>
    <row r="150" spans="1:12" s="402" customFormat="1" x14ac:dyDescent="0.3">
      <c r="A150" s="990">
        <v>500</v>
      </c>
      <c r="B150" s="998"/>
      <c r="C150" s="992">
        <v>500</v>
      </c>
      <c r="D150" s="995" t="s">
        <v>183</v>
      </c>
      <c r="E150" s="990"/>
      <c r="F150" s="996">
        <v>0</v>
      </c>
      <c r="G150" s="996">
        <v>0</v>
      </c>
      <c r="H150" s="996">
        <v>0</v>
      </c>
      <c r="I150" s="996">
        <v>0</v>
      </c>
      <c r="J150" s="996">
        <v>0</v>
      </c>
      <c r="K150" s="996">
        <v>0</v>
      </c>
      <c r="L150" s="996">
        <v>0</v>
      </c>
    </row>
    <row r="151" spans="1:12" s="402" customFormat="1" x14ac:dyDescent="0.3">
      <c r="A151" s="990">
        <v>501</v>
      </c>
      <c r="B151" s="998"/>
      <c r="C151" s="992">
        <v>501</v>
      </c>
      <c r="D151" s="995" t="s">
        <v>185</v>
      </c>
      <c r="E151" s="990"/>
      <c r="F151" s="996">
        <v>0</v>
      </c>
      <c r="G151" s="996">
        <v>0</v>
      </c>
      <c r="H151" s="996">
        <v>0</v>
      </c>
      <c r="I151" s="996">
        <v>0</v>
      </c>
      <c r="J151" s="996">
        <v>0</v>
      </c>
      <c r="K151" s="996">
        <v>0</v>
      </c>
      <c r="L151" s="996">
        <v>0</v>
      </c>
    </row>
    <row r="152" spans="1:12" s="402" customFormat="1" x14ac:dyDescent="0.3">
      <c r="A152" s="990">
        <v>502</v>
      </c>
      <c r="B152" s="998"/>
      <c r="C152" s="992">
        <v>502</v>
      </c>
      <c r="D152" s="995" t="s">
        <v>186</v>
      </c>
      <c r="E152" s="990"/>
      <c r="F152" s="996">
        <v>0</v>
      </c>
      <c r="G152" s="996">
        <v>0</v>
      </c>
      <c r="H152" s="996">
        <v>0</v>
      </c>
      <c r="I152" s="996">
        <v>0</v>
      </c>
      <c r="J152" s="996">
        <v>0</v>
      </c>
      <c r="K152" s="996">
        <v>0</v>
      </c>
      <c r="L152" s="996">
        <v>0</v>
      </c>
    </row>
    <row r="153" spans="1:12" s="402" customFormat="1" x14ac:dyDescent="0.3">
      <c r="A153" s="990">
        <v>503</v>
      </c>
      <c r="B153" s="998"/>
      <c r="C153" s="992">
        <v>503</v>
      </c>
      <c r="D153" s="995" t="s">
        <v>187</v>
      </c>
      <c r="E153" s="990"/>
      <c r="F153" s="996">
        <v>0</v>
      </c>
      <c r="G153" s="996">
        <v>0</v>
      </c>
      <c r="H153" s="996">
        <v>0</v>
      </c>
      <c r="I153" s="996">
        <v>0</v>
      </c>
      <c r="J153" s="996">
        <v>0</v>
      </c>
      <c r="K153" s="996">
        <v>0</v>
      </c>
      <c r="L153" s="996">
        <v>0</v>
      </c>
    </row>
    <row r="154" spans="1:12" s="402" customFormat="1" x14ac:dyDescent="0.3">
      <c r="A154" s="990">
        <v>504</v>
      </c>
      <c r="B154" s="998"/>
      <c r="C154" s="992">
        <v>504</v>
      </c>
      <c r="D154" s="995" t="s">
        <v>191</v>
      </c>
      <c r="E154" s="990"/>
      <c r="F154" s="996">
        <v>0</v>
      </c>
      <c r="G154" s="996">
        <v>0</v>
      </c>
      <c r="H154" s="996">
        <v>0</v>
      </c>
      <c r="I154" s="996">
        <v>0</v>
      </c>
      <c r="J154" s="996">
        <v>0</v>
      </c>
      <c r="K154" s="996">
        <v>0</v>
      </c>
      <c r="L154" s="996">
        <v>0</v>
      </c>
    </row>
    <row r="155" spans="1:12" s="402" customFormat="1" x14ac:dyDescent="0.3">
      <c r="A155" s="990">
        <v>505</v>
      </c>
      <c r="B155" s="998"/>
      <c r="C155" s="992">
        <v>505</v>
      </c>
      <c r="D155" s="995" t="s">
        <v>192</v>
      </c>
      <c r="E155" s="990"/>
      <c r="F155" s="996">
        <v>0</v>
      </c>
      <c r="G155" s="996">
        <v>0</v>
      </c>
      <c r="H155" s="996">
        <v>0</v>
      </c>
      <c r="I155" s="996">
        <v>0</v>
      </c>
      <c r="J155" s="996">
        <v>0</v>
      </c>
      <c r="K155" s="996">
        <v>0</v>
      </c>
      <c r="L155" s="996">
        <v>0</v>
      </c>
    </row>
    <row r="156" spans="1:12" s="402" customFormat="1" x14ac:dyDescent="0.3">
      <c r="A156" s="990">
        <v>506</v>
      </c>
      <c r="B156" s="998"/>
      <c r="C156" s="992">
        <v>506</v>
      </c>
      <c r="D156" s="995" t="s">
        <v>198</v>
      </c>
      <c r="E156" s="990"/>
      <c r="F156" s="996">
        <v>0</v>
      </c>
      <c r="G156" s="996">
        <v>0</v>
      </c>
      <c r="H156" s="996">
        <v>0</v>
      </c>
      <c r="I156" s="996">
        <v>0</v>
      </c>
      <c r="J156" s="996">
        <v>0</v>
      </c>
      <c r="K156" s="996">
        <v>0</v>
      </c>
      <c r="L156" s="996">
        <v>0</v>
      </c>
    </row>
    <row r="157" spans="1:12" s="402" customFormat="1" x14ac:dyDescent="0.3">
      <c r="A157" s="990">
        <v>507</v>
      </c>
      <c r="B157" s="998"/>
      <c r="C157" s="992">
        <v>507</v>
      </c>
      <c r="D157" s="995" t="s">
        <v>216</v>
      </c>
      <c r="E157" s="990"/>
      <c r="F157" s="996">
        <v>0</v>
      </c>
      <c r="G157" s="996">
        <v>0</v>
      </c>
      <c r="H157" s="996">
        <v>0</v>
      </c>
      <c r="I157" s="996">
        <v>0</v>
      </c>
      <c r="J157" s="996">
        <v>0</v>
      </c>
      <c r="K157" s="996">
        <v>0</v>
      </c>
      <c r="L157" s="996">
        <v>0</v>
      </c>
    </row>
    <row r="158" spans="1:12" s="402" customFormat="1" x14ac:dyDescent="0.3">
      <c r="A158" s="990">
        <v>508</v>
      </c>
      <c r="B158" s="998"/>
      <c r="C158" s="992">
        <v>508</v>
      </c>
      <c r="D158" s="995" t="s">
        <v>213</v>
      </c>
      <c r="E158" s="990"/>
      <c r="F158" s="996">
        <v>0</v>
      </c>
      <c r="G158" s="996">
        <v>0</v>
      </c>
      <c r="H158" s="996">
        <v>0</v>
      </c>
      <c r="I158" s="996">
        <v>0</v>
      </c>
      <c r="J158" s="996">
        <v>0</v>
      </c>
      <c r="K158" s="996">
        <v>0</v>
      </c>
      <c r="L158" s="996">
        <v>0</v>
      </c>
    </row>
    <row r="159" spans="1:12" s="402" customFormat="1" x14ac:dyDescent="0.3">
      <c r="A159" s="990">
        <v>509</v>
      </c>
      <c r="B159" s="998"/>
      <c r="C159" s="992">
        <v>509</v>
      </c>
      <c r="D159" s="995" t="s">
        <v>214</v>
      </c>
      <c r="E159" s="990"/>
      <c r="F159" s="996">
        <v>0</v>
      </c>
      <c r="G159" s="996">
        <v>0</v>
      </c>
      <c r="H159" s="996">
        <v>0</v>
      </c>
      <c r="I159" s="996">
        <v>0</v>
      </c>
      <c r="J159" s="996">
        <v>0</v>
      </c>
      <c r="K159" s="996">
        <v>0</v>
      </c>
      <c r="L159" s="996">
        <v>0</v>
      </c>
    </row>
    <row r="160" spans="1:12" s="402" customFormat="1" x14ac:dyDescent="0.3">
      <c r="A160" s="990">
        <v>510</v>
      </c>
      <c r="B160" s="998"/>
      <c r="C160" s="992">
        <v>510</v>
      </c>
      <c r="D160" s="995" t="s">
        <v>220</v>
      </c>
      <c r="E160" s="990"/>
      <c r="F160" s="996">
        <v>0</v>
      </c>
      <c r="G160" s="996">
        <v>0</v>
      </c>
      <c r="H160" s="996">
        <v>0</v>
      </c>
      <c r="I160" s="996">
        <v>0</v>
      </c>
      <c r="J160" s="996">
        <v>0</v>
      </c>
      <c r="K160" s="996">
        <v>0</v>
      </c>
      <c r="L160" s="996">
        <v>0</v>
      </c>
    </row>
    <row r="161" spans="1:12" s="402" customFormat="1" ht="28.8" x14ac:dyDescent="0.3">
      <c r="A161" s="990">
        <v>511</v>
      </c>
      <c r="B161" s="998"/>
      <c r="C161" s="992">
        <v>511</v>
      </c>
      <c r="D161" s="995" t="s">
        <v>225</v>
      </c>
      <c r="E161" s="990"/>
      <c r="F161" s="996">
        <v>0</v>
      </c>
      <c r="G161" s="996">
        <v>0</v>
      </c>
      <c r="H161" s="996">
        <v>0</v>
      </c>
      <c r="I161" s="996">
        <v>0</v>
      </c>
      <c r="J161" s="996">
        <v>0</v>
      </c>
      <c r="K161" s="996">
        <v>0</v>
      </c>
      <c r="L161" s="996">
        <v>0</v>
      </c>
    </row>
    <row r="162" spans="1:12" s="402" customFormat="1" x14ac:dyDescent="0.3">
      <c r="A162" s="990">
        <v>512</v>
      </c>
      <c r="B162" s="998"/>
      <c r="C162" s="992">
        <v>512</v>
      </c>
      <c r="D162" s="995" t="s">
        <v>252</v>
      </c>
      <c r="E162" s="990"/>
      <c r="F162" s="996">
        <v>0</v>
      </c>
      <c r="G162" s="996">
        <v>0</v>
      </c>
      <c r="H162" s="996">
        <v>0</v>
      </c>
      <c r="I162" s="996">
        <v>0</v>
      </c>
      <c r="J162" s="996">
        <v>0</v>
      </c>
      <c r="K162" s="996">
        <v>0</v>
      </c>
      <c r="L162" s="996">
        <v>0</v>
      </c>
    </row>
    <row r="163" spans="1:12" s="402" customFormat="1" x14ac:dyDescent="0.3">
      <c r="A163" s="990">
        <v>513</v>
      </c>
      <c r="B163" s="998"/>
      <c r="C163" s="992">
        <v>513</v>
      </c>
      <c r="D163" s="995" t="s">
        <v>259</v>
      </c>
      <c r="E163" s="990"/>
      <c r="F163" s="996">
        <v>0</v>
      </c>
      <c r="G163" s="996">
        <v>0</v>
      </c>
      <c r="H163" s="996">
        <v>0</v>
      </c>
      <c r="I163" s="996">
        <v>0</v>
      </c>
      <c r="J163" s="996">
        <v>0</v>
      </c>
      <c r="K163" s="996">
        <v>0</v>
      </c>
      <c r="L163" s="996">
        <v>0</v>
      </c>
    </row>
    <row r="164" spans="1:12" s="402" customFormat="1" x14ac:dyDescent="0.3">
      <c r="A164" s="990">
        <v>514</v>
      </c>
      <c r="B164" s="998"/>
      <c r="C164" s="992">
        <v>514</v>
      </c>
      <c r="D164" s="995" t="s">
        <v>260</v>
      </c>
      <c r="E164" s="990"/>
      <c r="F164" s="996">
        <v>0</v>
      </c>
      <c r="G164" s="996">
        <v>0</v>
      </c>
      <c r="H164" s="996">
        <v>0</v>
      </c>
      <c r="I164" s="996">
        <v>0</v>
      </c>
      <c r="J164" s="996">
        <v>0</v>
      </c>
      <c r="K164" s="996">
        <v>0</v>
      </c>
      <c r="L164" s="996">
        <v>0</v>
      </c>
    </row>
    <row r="165" spans="1:12" s="402" customFormat="1" x14ac:dyDescent="0.3">
      <c r="A165" s="990">
        <v>515</v>
      </c>
      <c r="B165" s="998"/>
      <c r="C165" s="992">
        <v>515</v>
      </c>
      <c r="D165" s="995" t="s">
        <v>273</v>
      </c>
      <c r="E165" s="990"/>
      <c r="F165" s="996">
        <v>0</v>
      </c>
      <c r="G165" s="996">
        <v>0</v>
      </c>
      <c r="H165" s="996">
        <v>0</v>
      </c>
      <c r="I165" s="996">
        <v>0</v>
      </c>
      <c r="J165" s="996">
        <v>0</v>
      </c>
      <c r="K165" s="996">
        <v>0</v>
      </c>
      <c r="L165" s="996">
        <v>0</v>
      </c>
    </row>
    <row r="166" spans="1:12" s="402" customFormat="1" x14ac:dyDescent="0.3">
      <c r="A166" s="990">
        <v>516</v>
      </c>
      <c r="B166" s="998"/>
      <c r="C166" s="992">
        <v>516</v>
      </c>
      <c r="D166" s="995" t="s">
        <v>274</v>
      </c>
      <c r="E166" s="990"/>
      <c r="F166" s="996">
        <v>0</v>
      </c>
      <c r="G166" s="996">
        <v>0</v>
      </c>
      <c r="H166" s="996">
        <v>0</v>
      </c>
      <c r="I166" s="996">
        <v>0</v>
      </c>
      <c r="J166" s="996">
        <v>0</v>
      </c>
      <c r="K166" s="996">
        <v>0</v>
      </c>
      <c r="L166" s="996">
        <v>0</v>
      </c>
    </row>
    <row r="167" spans="1:12" s="402" customFormat="1" x14ac:dyDescent="0.3">
      <c r="A167" s="990">
        <v>517</v>
      </c>
      <c r="B167" s="998"/>
      <c r="C167" s="992">
        <v>517</v>
      </c>
      <c r="D167" s="995" t="s">
        <v>275</v>
      </c>
      <c r="E167" s="990"/>
      <c r="F167" s="996">
        <v>0</v>
      </c>
      <c r="G167" s="996">
        <v>0</v>
      </c>
      <c r="H167" s="996">
        <v>0</v>
      </c>
      <c r="I167" s="996">
        <v>0</v>
      </c>
      <c r="J167" s="996">
        <v>0</v>
      </c>
      <c r="K167" s="996">
        <v>0</v>
      </c>
      <c r="L167" s="996">
        <v>0</v>
      </c>
    </row>
    <row r="168" spans="1:12" s="402" customFormat="1" x14ac:dyDescent="0.3">
      <c r="A168" s="990">
        <v>518</v>
      </c>
      <c r="B168" s="998"/>
      <c r="C168" s="992">
        <v>518</v>
      </c>
      <c r="D168" s="995" t="s">
        <v>276</v>
      </c>
      <c r="E168" s="990"/>
      <c r="F168" s="996">
        <v>0</v>
      </c>
      <c r="G168" s="996">
        <v>0</v>
      </c>
      <c r="H168" s="996">
        <v>0</v>
      </c>
      <c r="I168" s="996">
        <v>0</v>
      </c>
      <c r="J168" s="996">
        <v>0</v>
      </c>
      <c r="K168" s="996">
        <v>0</v>
      </c>
      <c r="L168" s="996">
        <v>0</v>
      </c>
    </row>
    <row r="169" spans="1:12" s="402" customFormat="1" x14ac:dyDescent="0.3">
      <c r="A169" s="990">
        <v>519</v>
      </c>
      <c r="B169" s="998"/>
      <c r="C169" s="992">
        <v>519</v>
      </c>
      <c r="D169" s="995" t="s">
        <v>277</v>
      </c>
      <c r="E169" s="990"/>
      <c r="F169" s="996">
        <v>0</v>
      </c>
      <c r="G169" s="996">
        <v>0</v>
      </c>
      <c r="H169" s="996">
        <v>0</v>
      </c>
      <c r="I169" s="996">
        <v>0</v>
      </c>
      <c r="J169" s="996">
        <v>0</v>
      </c>
      <c r="K169" s="996">
        <v>0</v>
      </c>
      <c r="L169" s="996">
        <v>0</v>
      </c>
    </row>
    <row r="170" spans="1:12" s="402" customFormat="1" x14ac:dyDescent="0.3">
      <c r="A170" s="990">
        <v>520</v>
      </c>
      <c r="B170" s="998"/>
      <c r="C170" s="992">
        <v>520</v>
      </c>
      <c r="D170" s="995" t="s">
        <v>278</v>
      </c>
      <c r="E170" s="990"/>
      <c r="F170" s="996">
        <v>0</v>
      </c>
      <c r="G170" s="996">
        <v>0</v>
      </c>
      <c r="H170" s="996">
        <v>0</v>
      </c>
      <c r="I170" s="996">
        <v>0</v>
      </c>
      <c r="J170" s="996">
        <v>0</v>
      </c>
      <c r="K170" s="996">
        <v>0</v>
      </c>
      <c r="L170" s="996">
        <v>0</v>
      </c>
    </row>
    <row r="171" spans="1:12" s="402" customFormat="1" x14ac:dyDescent="0.3">
      <c r="A171" s="990">
        <v>521</v>
      </c>
      <c r="B171" s="998"/>
      <c r="C171" s="992">
        <v>521</v>
      </c>
      <c r="D171" s="995" t="s">
        <v>279</v>
      </c>
      <c r="E171" s="990"/>
      <c r="F171" s="996">
        <v>0</v>
      </c>
      <c r="G171" s="996">
        <v>0</v>
      </c>
      <c r="H171" s="996">
        <v>0</v>
      </c>
      <c r="I171" s="996">
        <v>0</v>
      </c>
      <c r="J171" s="996">
        <v>0</v>
      </c>
      <c r="K171" s="996">
        <v>0</v>
      </c>
      <c r="L171" s="996">
        <v>0</v>
      </c>
    </row>
    <row r="172" spans="1:12" s="402" customFormat="1" x14ac:dyDescent="0.3">
      <c r="A172" s="990">
        <v>522</v>
      </c>
      <c r="B172" s="998"/>
      <c r="C172" s="992">
        <v>522</v>
      </c>
      <c r="D172" s="995" t="s">
        <v>280</v>
      </c>
      <c r="E172" s="990"/>
      <c r="F172" s="996">
        <v>0</v>
      </c>
      <c r="G172" s="996">
        <v>0</v>
      </c>
      <c r="H172" s="996">
        <v>0</v>
      </c>
      <c r="I172" s="996">
        <v>0</v>
      </c>
      <c r="J172" s="996">
        <v>0</v>
      </c>
      <c r="K172" s="996">
        <v>0</v>
      </c>
      <c r="L172" s="996">
        <v>0</v>
      </c>
    </row>
    <row r="173" spans="1:12" s="402" customFormat="1" x14ac:dyDescent="0.3">
      <c r="A173" s="990">
        <v>523</v>
      </c>
      <c r="B173" s="998"/>
      <c r="C173" s="992">
        <v>523</v>
      </c>
      <c r="D173" s="995" t="s">
        <v>281</v>
      </c>
      <c r="E173" s="990"/>
      <c r="F173" s="996">
        <v>0</v>
      </c>
      <c r="G173" s="996">
        <v>0</v>
      </c>
      <c r="H173" s="996">
        <v>0</v>
      </c>
      <c r="I173" s="996">
        <v>0</v>
      </c>
      <c r="J173" s="996">
        <v>0</v>
      </c>
      <c r="K173" s="996">
        <v>0</v>
      </c>
      <c r="L173" s="996">
        <v>0</v>
      </c>
    </row>
    <row r="174" spans="1:12" s="402" customFormat="1" x14ac:dyDescent="0.3">
      <c r="A174" s="990">
        <v>524</v>
      </c>
      <c r="B174" s="998"/>
      <c r="C174" s="992">
        <v>524</v>
      </c>
      <c r="D174" s="995" t="s">
        <v>282</v>
      </c>
      <c r="E174" s="990"/>
      <c r="F174" s="996">
        <v>0</v>
      </c>
      <c r="G174" s="996">
        <v>0</v>
      </c>
      <c r="H174" s="996">
        <v>0</v>
      </c>
      <c r="I174" s="996">
        <v>0</v>
      </c>
      <c r="J174" s="996">
        <v>0</v>
      </c>
      <c r="K174" s="996">
        <v>0</v>
      </c>
      <c r="L174" s="996">
        <v>0</v>
      </c>
    </row>
    <row r="175" spans="1:12" s="402" customFormat="1" x14ac:dyDescent="0.3">
      <c r="A175" s="990">
        <v>525</v>
      </c>
      <c r="B175" s="998"/>
      <c r="C175" s="992">
        <v>525</v>
      </c>
      <c r="D175" s="995" t="s">
        <v>283</v>
      </c>
      <c r="E175" s="990"/>
      <c r="F175" s="996">
        <v>0</v>
      </c>
      <c r="G175" s="996">
        <v>0</v>
      </c>
      <c r="H175" s="996">
        <v>0</v>
      </c>
      <c r="I175" s="996">
        <v>0</v>
      </c>
      <c r="J175" s="996">
        <v>0</v>
      </c>
      <c r="K175" s="996">
        <v>0</v>
      </c>
      <c r="L175" s="996">
        <v>0</v>
      </c>
    </row>
    <row r="176" spans="1:12" s="402" customFormat="1" x14ac:dyDescent="0.3">
      <c r="A176" s="990">
        <v>526</v>
      </c>
      <c r="B176" s="998"/>
      <c r="C176" s="992">
        <v>526</v>
      </c>
      <c r="D176" s="995" t="s">
        <v>284</v>
      </c>
      <c r="E176" s="990"/>
      <c r="F176" s="996">
        <v>0</v>
      </c>
      <c r="G176" s="996">
        <v>0</v>
      </c>
      <c r="H176" s="996">
        <v>0</v>
      </c>
      <c r="I176" s="996">
        <v>0</v>
      </c>
      <c r="J176" s="996">
        <v>0</v>
      </c>
      <c r="K176" s="996">
        <v>0</v>
      </c>
      <c r="L176" s="996">
        <v>0</v>
      </c>
    </row>
    <row r="177" spans="1:12" s="402" customFormat="1" ht="28.8" x14ac:dyDescent="0.3">
      <c r="A177" s="990">
        <v>527</v>
      </c>
      <c r="B177" s="998"/>
      <c r="C177" s="992">
        <v>527</v>
      </c>
      <c r="D177" s="995" t="s">
        <v>285</v>
      </c>
      <c r="E177" s="990"/>
      <c r="F177" s="996">
        <v>0</v>
      </c>
      <c r="G177" s="996">
        <v>0</v>
      </c>
      <c r="H177" s="996">
        <v>0</v>
      </c>
      <c r="I177" s="996">
        <v>0</v>
      </c>
      <c r="J177" s="996">
        <v>0</v>
      </c>
      <c r="K177" s="996">
        <v>0</v>
      </c>
      <c r="L177" s="996">
        <v>0</v>
      </c>
    </row>
    <row r="178" spans="1:12" s="402" customFormat="1" ht="28.8" x14ac:dyDescent="0.3">
      <c r="A178" s="990">
        <v>528</v>
      </c>
      <c r="B178" s="998"/>
      <c r="C178" s="992">
        <v>528</v>
      </c>
      <c r="D178" s="995" t="s">
        <v>267</v>
      </c>
      <c r="E178" s="990"/>
      <c r="F178" s="996">
        <v>0</v>
      </c>
      <c r="G178" s="996">
        <v>0</v>
      </c>
      <c r="H178" s="996">
        <v>0</v>
      </c>
      <c r="I178" s="996">
        <v>0</v>
      </c>
      <c r="J178" s="996">
        <v>0</v>
      </c>
      <c r="K178" s="996">
        <v>0</v>
      </c>
      <c r="L178" s="996">
        <v>0</v>
      </c>
    </row>
    <row r="179" spans="1:12" s="402" customFormat="1" x14ac:dyDescent="0.3">
      <c r="A179" s="990">
        <v>529</v>
      </c>
      <c r="B179" s="998"/>
      <c r="C179" s="992">
        <v>529</v>
      </c>
      <c r="D179" s="995" t="s">
        <v>268</v>
      </c>
      <c r="E179" s="990"/>
      <c r="F179" s="996">
        <v>0</v>
      </c>
      <c r="G179" s="996">
        <v>0</v>
      </c>
      <c r="H179" s="996">
        <v>0</v>
      </c>
      <c r="I179" s="996">
        <v>0</v>
      </c>
      <c r="J179" s="996">
        <v>0</v>
      </c>
      <c r="K179" s="996">
        <v>0</v>
      </c>
      <c r="L179" s="996">
        <v>0</v>
      </c>
    </row>
    <row r="180" spans="1:12" s="402" customFormat="1" ht="28.8" x14ac:dyDescent="0.3">
      <c r="A180" s="990">
        <v>530</v>
      </c>
      <c r="B180" s="998"/>
      <c r="C180" s="992">
        <v>530</v>
      </c>
      <c r="D180" s="995" t="s">
        <v>269</v>
      </c>
      <c r="E180" s="990"/>
      <c r="F180" s="996">
        <v>0</v>
      </c>
      <c r="G180" s="996">
        <v>0</v>
      </c>
      <c r="H180" s="996">
        <v>0</v>
      </c>
      <c r="I180" s="996">
        <v>0</v>
      </c>
      <c r="J180" s="996">
        <v>0</v>
      </c>
      <c r="K180" s="996">
        <v>0</v>
      </c>
      <c r="L180" s="996">
        <v>0</v>
      </c>
    </row>
    <row r="181" spans="1:12" s="402" customFormat="1" ht="28.8" x14ac:dyDescent="0.3">
      <c r="A181" s="990">
        <v>531</v>
      </c>
      <c r="B181" s="998"/>
      <c r="C181" s="992">
        <v>531</v>
      </c>
      <c r="D181" s="995" t="s">
        <v>270</v>
      </c>
      <c r="E181" s="990"/>
      <c r="F181" s="996">
        <v>0</v>
      </c>
      <c r="G181" s="996">
        <v>0</v>
      </c>
      <c r="H181" s="996">
        <v>0</v>
      </c>
      <c r="I181" s="996">
        <v>0</v>
      </c>
      <c r="J181" s="996">
        <v>0</v>
      </c>
      <c r="K181" s="996">
        <v>0</v>
      </c>
      <c r="L181" s="996">
        <v>0</v>
      </c>
    </row>
    <row r="182" spans="1:12" s="402" customFormat="1" ht="28.8" x14ac:dyDescent="0.3">
      <c r="A182" s="990">
        <v>532</v>
      </c>
      <c r="B182" s="998"/>
      <c r="C182" s="992">
        <v>532</v>
      </c>
      <c r="D182" s="995" t="s">
        <v>1401</v>
      </c>
      <c r="E182" s="990"/>
      <c r="F182" s="996">
        <v>0</v>
      </c>
      <c r="G182" s="996">
        <v>0</v>
      </c>
      <c r="H182" s="996">
        <v>0</v>
      </c>
      <c r="I182" s="996">
        <v>0</v>
      </c>
      <c r="J182" s="996">
        <v>0</v>
      </c>
      <c r="K182" s="996">
        <v>0</v>
      </c>
      <c r="L182" s="996">
        <v>0</v>
      </c>
    </row>
    <row r="183" spans="1:12" s="402" customFormat="1" ht="28.8" x14ac:dyDescent="0.3">
      <c r="A183" s="990">
        <v>533</v>
      </c>
      <c r="B183" s="998"/>
      <c r="C183" s="992">
        <v>533</v>
      </c>
      <c r="D183" s="995" t="s">
        <v>1402</v>
      </c>
      <c r="E183" s="990"/>
      <c r="F183" s="996">
        <v>0</v>
      </c>
      <c r="G183" s="996">
        <v>0</v>
      </c>
      <c r="H183" s="996">
        <v>0</v>
      </c>
      <c r="I183" s="996">
        <v>0</v>
      </c>
      <c r="J183" s="996">
        <v>0</v>
      </c>
      <c r="K183" s="996">
        <v>0</v>
      </c>
      <c r="L183" s="996">
        <v>0</v>
      </c>
    </row>
    <row r="184" spans="1:12" s="402" customFormat="1" ht="28.8" x14ac:dyDescent="0.3">
      <c r="A184" s="990">
        <v>534</v>
      </c>
      <c r="B184" s="992">
        <v>534</v>
      </c>
      <c r="C184" s="992">
        <v>534</v>
      </c>
      <c r="D184" s="995" t="s">
        <v>271</v>
      </c>
      <c r="E184" s="990"/>
      <c r="F184" s="996">
        <v>873406</v>
      </c>
      <c r="G184" s="996">
        <v>6085143</v>
      </c>
      <c r="H184" s="996">
        <v>3126319</v>
      </c>
      <c r="I184" s="996">
        <v>1302475</v>
      </c>
      <c r="J184" s="996">
        <v>220885</v>
      </c>
      <c r="K184" s="996">
        <v>6374091</v>
      </c>
      <c r="L184" s="996">
        <v>1803960</v>
      </c>
    </row>
    <row r="185" spans="1:12" s="402" customFormat="1" ht="28.8" x14ac:dyDescent="0.3">
      <c r="A185" s="990">
        <v>535</v>
      </c>
      <c r="B185" s="990"/>
      <c r="C185" s="992">
        <v>535</v>
      </c>
      <c r="D185" s="995" t="s">
        <v>253</v>
      </c>
      <c r="E185" s="990"/>
      <c r="F185" s="996">
        <v>0</v>
      </c>
      <c r="G185" s="996">
        <v>0</v>
      </c>
      <c r="H185" s="996">
        <v>0</v>
      </c>
      <c r="I185" s="996">
        <v>0</v>
      </c>
      <c r="J185" s="996">
        <v>0</v>
      </c>
      <c r="K185" s="996">
        <v>0</v>
      </c>
      <c r="L185" s="996">
        <v>0</v>
      </c>
    </row>
    <row r="186" spans="1:12" s="402" customFormat="1" x14ac:dyDescent="0.3">
      <c r="A186" s="990">
        <v>536</v>
      </c>
      <c r="B186" s="990"/>
      <c r="C186" s="992">
        <v>536</v>
      </c>
      <c r="D186" s="995" t="s">
        <v>199</v>
      </c>
      <c r="E186" s="990"/>
      <c r="F186" s="996">
        <v>0</v>
      </c>
      <c r="G186" s="996">
        <v>0</v>
      </c>
      <c r="H186" s="996">
        <v>0</v>
      </c>
      <c r="I186" s="996">
        <v>0</v>
      </c>
      <c r="J186" s="996">
        <v>0</v>
      </c>
      <c r="K186" s="996">
        <v>0</v>
      </c>
      <c r="L186" s="996">
        <v>0</v>
      </c>
    </row>
    <row r="187" spans="1:12" s="402" customFormat="1" x14ac:dyDescent="0.3">
      <c r="A187" s="990">
        <v>537</v>
      </c>
      <c r="B187" s="990"/>
      <c r="C187" s="992">
        <v>537</v>
      </c>
      <c r="D187" s="990"/>
      <c r="E187" s="990"/>
      <c r="F187" s="996"/>
      <c r="G187" s="996"/>
      <c r="H187" s="996"/>
      <c r="I187" s="996"/>
      <c r="J187" s="996"/>
      <c r="K187" s="996"/>
      <c r="L187" s="996"/>
    </row>
    <row r="188" spans="1:12" s="402" customFormat="1" x14ac:dyDescent="0.3">
      <c r="A188" s="990">
        <v>538</v>
      </c>
      <c r="B188" s="990"/>
      <c r="C188" s="992">
        <v>538</v>
      </c>
      <c r="D188" s="990"/>
      <c r="E188" s="990"/>
      <c r="F188" s="996"/>
      <c r="G188" s="996"/>
      <c r="H188" s="996"/>
      <c r="I188" s="996"/>
      <c r="J188" s="996"/>
      <c r="K188" s="996"/>
      <c r="L188" s="996"/>
    </row>
    <row r="189" spans="1:12" s="402" customFormat="1" x14ac:dyDescent="0.3">
      <c r="A189" s="990">
        <v>539</v>
      </c>
      <c r="B189" s="990"/>
      <c r="C189" s="992">
        <v>539</v>
      </c>
      <c r="D189" s="999" t="s">
        <v>1411</v>
      </c>
      <c r="E189" s="999"/>
      <c r="F189" s="1000">
        <v>0</v>
      </c>
      <c r="G189" s="1000">
        <v>0</v>
      </c>
      <c r="H189" s="1000">
        <v>0</v>
      </c>
      <c r="I189" s="1000">
        <v>0</v>
      </c>
      <c r="J189" s="1000">
        <v>0</v>
      </c>
      <c r="K189" s="1000">
        <v>0</v>
      </c>
      <c r="L189" s="1000">
        <v>0</v>
      </c>
    </row>
    <row r="190" spans="1:12" s="402" customFormat="1" x14ac:dyDescent="0.3">
      <c r="A190" s="990">
        <v>540</v>
      </c>
      <c r="B190" s="990"/>
      <c r="C190" s="992">
        <v>540</v>
      </c>
      <c r="D190" s="990"/>
      <c r="E190" s="990"/>
      <c r="F190" s="996"/>
      <c r="G190" s="996"/>
      <c r="H190" s="996"/>
      <c r="I190" s="996"/>
      <c r="J190" s="996"/>
      <c r="K190" s="996"/>
      <c r="L190" s="996"/>
    </row>
    <row r="191" spans="1:12" s="402" customFormat="1" x14ac:dyDescent="0.3">
      <c r="A191" s="990">
        <v>541</v>
      </c>
      <c r="B191" s="990"/>
      <c r="C191" s="992">
        <v>541</v>
      </c>
      <c r="D191" s="990"/>
      <c r="E191" s="990"/>
      <c r="F191" s="996"/>
      <c r="G191" s="996"/>
      <c r="H191" s="996"/>
      <c r="I191" s="996"/>
      <c r="J191" s="996"/>
      <c r="K191" s="996"/>
      <c r="L191" s="996"/>
    </row>
    <row r="192" spans="1:12" s="402" customFormat="1" x14ac:dyDescent="0.3">
      <c r="A192" s="990">
        <v>542</v>
      </c>
      <c r="B192" s="990"/>
      <c r="C192" s="992">
        <v>542</v>
      </c>
      <c r="D192" s="990"/>
      <c r="E192" s="990"/>
      <c r="F192" s="996"/>
      <c r="G192" s="996"/>
      <c r="H192" s="996"/>
      <c r="I192" s="996"/>
      <c r="J192" s="996"/>
      <c r="K192" s="996"/>
      <c r="L192" s="996"/>
    </row>
    <row r="193" spans="1:12" s="402" customFormat="1" x14ac:dyDescent="0.3">
      <c r="A193" s="990">
        <v>543</v>
      </c>
      <c r="B193" s="990"/>
      <c r="C193" s="992">
        <v>543</v>
      </c>
      <c r="D193" s="990"/>
      <c r="E193" s="990"/>
      <c r="F193" s="996"/>
      <c r="G193" s="996"/>
      <c r="H193" s="996"/>
      <c r="I193" s="996"/>
      <c r="J193" s="996"/>
      <c r="K193" s="996"/>
      <c r="L193" s="996"/>
    </row>
    <row r="194" spans="1:12" s="402" customFormat="1" x14ac:dyDescent="0.3">
      <c r="A194" s="990">
        <v>544</v>
      </c>
      <c r="B194" s="990"/>
      <c r="C194" s="992">
        <v>544</v>
      </c>
      <c r="D194" s="990"/>
      <c r="E194" s="990"/>
      <c r="F194" s="996"/>
      <c r="G194" s="996"/>
      <c r="H194" s="996"/>
      <c r="I194" s="996"/>
      <c r="J194" s="996"/>
      <c r="K194" s="996"/>
      <c r="L194" s="996"/>
    </row>
    <row r="195" spans="1:12" s="402" customFormat="1" x14ac:dyDescent="0.3">
      <c r="A195" s="990">
        <v>545</v>
      </c>
      <c r="B195" s="990"/>
      <c r="C195" s="992">
        <v>545</v>
      </c>
      <c r="D195" s="990"/>
      <c r="E195" s="990"/>
      <c r="F195" s="996"/>
      <c r="G195" s="996"/>
      <c r="H195" s="996"/>
      <c r="I195" s="996"/>
      <c r="J195" s="996"/>
      <c r="K195" s="996"/>
      <c r="L195" s="996"/>
    </row>
    <row r="196" spans="1:12" s="402" customFormat="1" x14ac:dyDescent="0.3">
      <c r="A196" s="990">
        <v>546</v>
      </c>
      <c r="B196" s="990"/>
      <c r="C196" s="992">
        <v>546</v>
      </c>
      <c r="D196" s="990"/>
      <c r="E196" s="990"/>
      <c r="F196" s="996"/>
      <c r="G196" s="996"/>
      <c r="H196" s="996"/>
      <c r="I196" s="996"/>
      <c r="J196" s="996"/>
      <c r="K196" s="996"/>
      <c r="L196" s="996"/>
    </row>
    <row r="197" spans="1:12" s="402" customFormat="1" x14ac:dyDescent="0.3">
      <c r="A197" s="990">
        <v>547</v>
      </c>
      <c r="B197" s="992">
        <v>547</v>
      </c>
      <c r="C197" s="992">
        <v>547</v>
      </c>
      <c r="D197" s="1001" t="s">
        <v>1406</v>
      </c>
      <c r="E197" s="1001"/>
      <c r="F197" s="996">
        <v>2</v>
      </c>
      <c r="G197" s="996">
        <v>2</v>
      </c>
      <c r="H197" s="996">
        <v>3</v>
      </c>
      <c r="I197" s="996">
        <v>3</v>
      </c>
      <c r="J197" s="996">
        <v>1</v>
      </c>
      <c r="K197" s="996">
        <v>1</v>
      </c>
      <c r="L197" s="996">
        <v>3</v>
      </c>
    </row>
    <row r="198" spans="1:12" s="402" customFormat="1" x14ac:dyDescent="0.3">
      <c r="A198" s="990">
        <v>548</v>
      </c>
      <c r="B198" s="990"/>
      <c r="C198" s="992">
        <v>548</v>
      </c>
      <c r="D198" s="1001"/>
      <c r="E198" s="1001"/>
      <c r="F198" s="996"/>
      <c r="G198" s="996"/>
      <c r="H198" s="996"/>
      <c r="I198" s="996"/>
      <c r="J198" s="996"/>
      <c r="K198" s="996"/>
      <c r="L198" s="996"/>
    </row>
    <row r="199" spans="1:12" s="402" customFormat="1" x14ac:dyDescent="0.3">
      <c r="A199" s="990">
        <v>549</v>
      </c>
      <c r="B199" s="990"/>
      <c r="C199" s="992">
        <v>549</v>
      </c>
      <c r="D199" s="1001" t="s">
        <v>1412</v>
      </c>
      <c r="E199" s="1001"/>
      <c r="F199" s="996">
        <v>0</v>
      </c>
      <c r="G199" s="996">
        <v>0</v>
      </c>
      <c r="H199" s="996">
        <v>0</v>
      </c>
      <c r="I199" s="996">
        <v>0</v>
      </c>
      <c r="J199" s="996">
        <v>0</v>
      </c>
      <c r="K199" s="996">
        <v>0</v>
      </c>
      <c r="L199" s="996">
        <v>0</v>
      </c>
    </row>
    <row r="200" spans="1:12" s="402" customFormat="1" x14ac:dyDescent="0.3">
      <c r="A200" s="990">
        <v>550</v>
      </c>
      <c r="B200" s="990"/>
      <c r="C200" s="992">
        <v>550</v>
      </c>
      <c r="D200" s="1001"/>
      <c r="E200" s="1001"/>
      <c r="F200" s="996"/>
      <c r="G200" s="996"/>
      <c r="H200" s="996"/>
      <c r="I200" s="996"/>
      <c r="J200" s="996"/>
      <c r="K200" s="996"/>
      <c r="L200" s="996"/>
    </row>
    <row r="201" spans="1:12" s="402" customFormat="1" ht="66.599999999999994" x14ac:dyDescent="0.3">
      <c r="A201" s="990">
        <v>551</v>
      </c>
      <c r="B201" s="990"/>
      <c r="C201" s="992">
        <v>551</v>
      </c>
      <c r="D201" s="1002" t="s">
        <v>1407</v>
      </c>
      <c r="E201" s="1002"/>
      <c r="F201" s="1003"/>
      <c r="G201" s="1003"/>
      <c r="H201" s="1003"/>
      <c r="I201" s="1003"/>
      <c r="J201" s="1003"/>
      <c r="K201" s="1003"/>
      <c r="L201" s="1003"/>
    </row>
    <row r="202" spans="1:12" s="402" customFormat="1" x14ac:dyDescent="0.3">
      <c r="A202" s="990">
        <v>552</v>
      </c>
      <c r="B202" s="990"/>
      <c r="C202" s="992">
        <v>552</v>
      </c>
      <c r="D202" s="1002"/>
      <c r="E202" s="1002"/>
      <c r="F202" s="1003"/>
      <c r="G202" s="1003"/>
      <c r="H202" s="1003"/>
      <c r="I202" s="1003"/>
      <c r="J202" s="1003"/>
      <c r="K202" s="1003"/>
      <c r="L202" s="1003"/>
    </row>
    <row r="203" spans="1:12" s="402" customFormat="1" x14ac:dyDescent="0.3">
      <c r="A203" s="990">
        <v>553</v>
      </c>
      <c r="B203" s="990"/>
      <c r="C203" s="992">
        <v>553</v>
      </c>
      <c r="D203" s="1002"/>
      <c r="E203" s="1002"/>
      <c r="F203" s="1003"/>
      <c r="G203" s="1003"/>
      <c r="H203" s="1003"/>
      <c r="I203" s="1003"/>
      <c r="J203" s="1003"/>
      <c r="K203" s="1003"/>
      <c r="L203" s="1003"/>
    </row>
    <row r="204" spans="1:12" s="402" customFormat="1" x14ac:dyDescent="0.3">
      <c r="A204" s="990">
        <v>554</v>
      </c>
      <c r="B204" s="992">
        <v>554</v>
      </c>
      <c r="C204" s="992">
        <v>554</v>
      </c>
      <c r="D204" s="1004" t="s">
        <v>345</v>
      </c>
      <c r="E204" s="1004"/>
      <c r="F204" s="1003">
        <v>15731257</v>
      </c>
      <c r="G204" s="1003">
        <v>16965288</v>
      </c>
      <c r="H204" s="1003">
        <v>8902523</v>
      </c>
      <c r="I204" s="1003">
        <v>10053052</v>
      </c>
      <c r="J204" s="1003">
        <v>6960363</v>
      </c>
      <c r="K204" s="1003">
        <v>0</v>
      </c>
      <c r="L204" s="1003">
        <v>16737010</v>
      </c>
    </row>
    <row r="205" spans="1:12" s="402" customFormat="1" x14ac:dyDescent="0.3">
      <c r="A205" s="990">
        <v>555</v>
      </c>
      <c r="B205" s="992">
        <v>555</v>
      </c>
      <c r="C205" s="992">
        <v>555</v>
      </c>
      <c r="D205" s="1004" t="s">
        <v>346</v>
      </c>
      <c r="E205" s="1004"/>
      <c r="F205" s="1003">
        <v>5833297</v>
      </c>
      <c r="G205" s="1003">
        <v>4437150</v>
      </c>
      <c r="H205" s="1003">
        <v>6541905</v>
      </c>
      <c r="I205" s="1003">
        <v>10053052</v>
      </c>
      <c r="J205" s="1003">
        <v>6236571</v>
      </c>
      <c r="K205" s="1003">
        <v>0</v>
      </c>
      <c r="L205" s="1003">
        <v>15828299</v>
      </c>
    </row>
    <row r="206" spans="1:12" s="402" customFormat="1" x14ac:dyDescent="0.3">
      <c r="A206" s="990">
        <v>556</v>
      </c>
      <c r="B206" s="992">
        <v>556</v>
      </c>
      <c r="C206" s="992">
        <v>556</v>
      </c>
      <c r="D206" s="1004" t="s">
        <v>347</v>
      </c>
      <c r="E206" s="1004"/>
      <c r="F206" s="1003">
        <v>63386049</v>
      </c>
      <c r="G206" s="1003">
        <v>112947998</v>
      </c>
      <c r="H206" s="1003">
        <v>31395841</v>
      </c>
      <c r="I206" s="1003">
        <v>48415391</v>
      </c>
      <c r="J206" s="1003">
        <v>38021808</v>
      </c>
      <c r="K206" s="1003">
        <v>0</v>
      </c>
      <c r="L206" s="1003">
        <v>66355158</v>
      </c>
    </row>
    <row r="207" spans="1:12" s="402" customFormat="1" x14ac:dyDescent="0.3">
      <c r="A207" s="990">
        <v>557</v>
      </c>
      <c r="B207" s="992">
        <v>557</v>
      </c>
      <c r="C207" s="992">
        <v>557</v>
      </c>
      <c r="D207" s="1004" t="s">
        <v>348</v>
      </c>
      <c r="E207" s="1004"/>
      <c r="F207" s="1003">
        <v>42847830</v>
      </c>
      <c r="G207" s="1003">
        <v>87261968</v>
      </c>
      <c r="H207" s="1003">
        <v>31005379</v>
      </c>
      <c r="I207" s="1003">
        <v>48415391</v>
      </c>
      <c r="J207" s="1003">
        <v>31677420</v>
      </c>
      <c r="K207" s="1003">
        <v>0</v>
      </c>
      <c r="L207" s="1003">
        <v>66355158</v>
      </c>
    </row>
    <row r="208" spans="1:12" s="402" customFormat="1" x14ac:dyDescent="0.3">
      <c r="A208" s="990">
        <v>558</v>
      </c>
      <c r="B208" s="998">
        <v>558</v>
      </c>
      <c r="C208" s="992">
        <v>558</v>
      </c>
      <c r="D208" s="1001" t="s">
        <v>1074</v>
      </c>
      <c r="E208" s="1001"/>
      <c r="F208" s="996">
        <v>76594663</v>
      </c>
      <c r="G208" s="996">
        <v>157346866</v>
      </c>
      <c r="H208" s="996">
        <v>58843104</v>
      </c>
      <c r="I208" s="996">
        <v>63778627</v>
      </c>
      <c r="J208" s="996">
        <v>70547741</v>
      </c>
      <c r="K208" s="996">
        <v>83682575</v>
      </c>
      <c r="L208" s="996">
        <v>52820963</v>
      </c>
    </row>
    <row r="209" spans="1:12" s="402" customFormat="1" x14ac:dyDescent="0.3">
      <c r="A209" s="990">
        <v>559</v>
      </c>
      <c r="B209" s="998">
        <v>559</v>
      </c>
      <c r="C209" s="992">
        <v>559</v>
      </c>
      <c r="D209" s="1001" t="s">
        <v>1075</v>
      </c>
      <c r="E209" s="1001"/>
      <c r="F209" s="996">
        <v>63889910</v>
      </c>
      <c r="G209" s="996">
        <v>105064898</v>
      </c>
      <c r="H209" s="996">
        <v>41040930</v>
      </c>
      <c r="I209" s="996">
        <v>36634132</v>
      </c>
      <c r="J209" s="996">
        <v>41628448</v>
      </c>
      <c r="K209" s="996">
        <v>58000533</v>
      </c>
      <c r="L209" s="996">
        <v>49540249</v>
      </c>
    </row>
    <row r="210" spans="1:12" s="402" customFormat="1" x14ac:dyDescent="0.3">
      <c r="A210" s="990">
        <v>560</v>
      </c>
      <c r="B210" s="1005">
        <v>560</v>
      </c>
      <c r="C210" s="992">
        <v>560</v>
      </c>
      <c r="D210" s="1001" t="s">
        <v>1408</v>
      </c>
      <c r="E210" s="1001"/>
      <c r="F210" s="996">
        <v>37973806</v>
      </c>
      <c r="G210" s="996">
        <v>73088826</v>
      </c>
      <c r="H210" s="996">
        <v>15503713</v>
      </c>
      <c r="I210" s="996">
        <v>17470175</v>
      </c>
      <c r="J210" s="996">
        <v>17368508</v>
      </c>
      <c r="K210" s="996">
        <v>32919606</v>
      </c>
      <c r="L210" s="996">
        <v>24680016</v>
      </c>
    </row>
    <row r="211" spans="1:12" s="402" customFormat="1" x14ac:dyDescent="0.3">
      <c r="A211" s="990">
        <v>561</v>
      </c>
      <c r="B211" s="1005">
        <v>561</v>
      </c>
      <c r="C211" s="992">
        <v>561</v>
      </c>
      <c r="D211" s="1001" t="s">
        <v>1077</v>
      </c>
      <c r="E211" s="1001"/>
      <c r="F211" s="996">
        <v>0</v>
      </c>
      <c r="G211" s="996">
        <v>0</v>
      </c>
      <c r="H211" s="996">
        <v>0</v>
      </c>
      <c r="I211" s="996">
        <v>0</v>
      </c>
      <c r="J211" s="996">
        <v>1079451</v>
      </c>
      <c r="K211" s="996">
        <v>1196969</v>
      </c>
      <c r="L211" s="996">
        <v>0</v>
      </c>
    </row>
    <row r="212" spans="1:12" s="402" customFormat="1" x14ac:dyDescent="0.3">
      <c r="A212" s="990">
        <v>562</v>
      </c>
      <c r="B212" s="992">
        <v>562</v>
      </c>
      <c r="C212" s="992">
        <v>562</v>
      </c>
      <c r="D212" s="1001" t="s">
        <v>1083</v>
      </c>
      <c r="E212" s="1001"/>
      <c r="F212" s="996">
        <v>0</v>
      </c>
      <c r="G212" s="996">
        <v>0</v>
      </c>
      <c r="H212" s="996">
        <v>0</v>
      </c>
      <c r="I212" s="996">
        <v>0</v>
      </c>
      <c r="J212" s="996">
        <v>0</v>
      </c>
      <c r="K212" s="996">
        <v>0</v>
      </c>
      <c r="L212" s="996">
        <v>0</v>
      </c>
    </row>
    <row r="213" spans="1:12" s="402" customFormat="1" x14ac:dyDescent="0.3">
      <c r="A213" s="990">
        <v>563</v>
      </c>
      <c r="B213" s="998">
        <v>563</v>
      </c>
      <c r="C213" s="992">
        <v>563</v>
      </c>
      <c r="D213" s="1001" t="s">
        <v>1078</v>
      </c>
      <c r="E213" s="1001"/>
      <c r="F213" s="996">
        <v>0</v>
      </c>
      <c r="G213" s="996">
        <v>0</v>
      </c>
      <c r="H213" s="996">
        <v>0</v>
      </c>
      <c r="I213" s="996">
        <v>0</v>
      </c>
      <c r="J213" s="996">
        <v>0</v>
      </c>
      <c r="K213" s="996">
        <v>0</v>
      </c>
      <c r="L213" s="996">
        <v>0</v>
      </c>
    </row>
    <row r="214" spans="1:12" s="402" customFormat="1" x14ac:dyDescent="0.3">
      <c r="A214" s="990">
        <v>564</v>
      </c>
      <c r="B214" s="992">
        <v>564</v>
      </c>
      <c r="C214" s="992">
        <v>564</v>
      </c>
      <c r="D214" s="1001" t="s">
        <v>1409</v>
      </c>
      <c r="E214" s="1001"/>
      <c r="F214" s="996">
        <v>552913703</v>
      </c>
      <c r="G214" s="996">
        <v>914057312</v>
      </c>
      <c r="H214" s="996">
        <v>311244152</v>
      </c>
      <c r="I214" s="996">
        <v>382009219</v>
      </c>
      <c r="J214" s="996">
        <v>357388988</v>
      </c>
      <c r="K214" s="996">
        <v>531510052</v>
      </c>
      <c r="L214" s="996">
        <v>415377105</v>
      </c>
    </row>
    <row r="215" spans="1:12" s="402" customFormat="1" x14ac:dyDescent="0.3">
      <c r="A215" s="990">
        <v>565</v>
      </c>
      <c r="B215" s="992">
        <v>565</v>
      </c>
      <c r="C215" s="992">
        <v>565</v>
      </c>
      <c r="D215" s="1001" t="s">
        <v>1214</v>
      </c>
      <c r="E215" s="1001"/>
      <c r="F215" s="996">
        <v>0</v>
      </c>
      <c r="G215" s="996">
        <v>0</v>
      </c>
      <c r="H215" s="996">
        <v>0</v>
      </c>
      <c r="I215" s="996">
        <v>0</v>
      </c>
      <c r="J215" s="996">
        <v>0</v>
      </c>
      <c r="K215" s="996">
        <v>0</v>
      </c>
      <c r="L215" s="996">
        <v>0</v>
      </c>
    </row>
    <row r="216" spans="1:12" s="402" customFormat="1" x14ac:dyDescent="0.3">
      <c r="A216" s="990">
        <v>566</v>
      </c>
      <c r="B216" s="992">
        <v>566</v>
      </c>
      <c r="C216" s="992">
        <v>566</v>
      </c>
      <c r="D216" s="1001" t="s">
        <v>1081</v>
      </c>
      <c r="E216" s="1001"/>
      <c r="F216" s="996">
        <v>0</v>
      </c>
      <c r="G216" s="996">
        <v>0</v>
      </c>
      <c r="H216" s="996">
        <v>0</v>
      </c>
      <c r="I216" s="996">
        <v>0</v>
      </c>
      <c r="J216" s="996">
        <v>0</v>
      </c>
      <c r="K216" s="996">
        <v>0</v>
      </c>
      <c r="L216" s="996">
        <v>0</v>
      </c>
    </row>
    <row r="217" spans="1:12" s="402" customFormat="1" x14ac:dyDescent="0.3">
      <c r="A217" s="990">
        <v>567</v>
      </c>
      <c r="B217" s="991">
        <v>567</v>
      </c>
      <c r="C217" s="992">
        <v>567</v>
      </c>
      <c r="D217" s="1001" t="s">
        <v>1082</v>
      </c>
      <c r="E217" s="1001"/>
      <c r="F217" s="996">
        <v>0</v>
      </c>
      <c r="G217" s="996">
        <v>0</v>
      </c>
      <c r="H217" s="996">
        <v>0</v>
      </c>
      <c r="I217" s="996">
        <v>0</v>
      </c>
      <c r="J217" s="996">
        <v>0</v>
      </c>
      <c r="K217" s="996">
        <v>0</v>
      </c>
      <c r="L217" s="996">
        <v>0</v>
      </c>
    </row>
    <row r="218" spans="1:12" s="402" customFormat="1" x14ac:dyDescent="0.3">
      <c r="A218" s="990">
        <v>568</v>
      </c>
      <c r="B218" s="992">
        <v>568</v>
      </c>
      <c r="C218" s="992">
        <v>568</v>
      </c>
      <c r="D218" s="1001" t="s">
        <v>1410</v>
      </c>
      <c r="E218" s="1001"/>
      <c r="F218" s="996">
        <v>0</v>
      </c>
      <c r="G218" s="996">
        <v>0</v>
      </c>
      <c r="H218" s="996">
        <v>0</v>
      </c>
      <c r="I218" s="996">
        <v>0</v>
      </c>
      <c r="J218" s="996">
        <v>0</v>
      </c>
      <c r="K218" s="996">
        <v>0</v>
      </c>
      <c r="L218" s="996">
        <v>0</v>
      </c>
    </row>
    <row r="219" spans="1:12" s="402" customFormat="1" x14ac:dyDescent="0.3">
      <c r="A219" s="990">
        <v>569</v>
      </c>
      <c r="B219" s="992">
        <v>569</v>
      </c>
      <c r="C219" s="992">
        <v>569</v>
      </c>
      <c r="D219" s="1001" t="s">
        <v>1084</v>
      </c>
      <c r="E219" s="1001"/>
      <c r="F219" s="996">
        <v>0</v>
      </c>
      <c r="G219" s="996">
        <v>0</v>
      </c>
      <c r="H219" s="996">
        <v>0</v>
      </c>
      <c r="I219" s="996">
        <v>0</v>
      </c>
      <c r="J219" s="996">
        <v>0</v>
      </c>
      <c r="K219" s="996">
        <v>0</v>
      </c>
      <c r="L219" s="996">
        <v>0</v>
      </c>
    </row>
    <row r="220" spans="1:12" s="402" customFormat="1" x14ac:dyDescent="0.3">
      <c r="A220" s="990">
        <v>570</v>
      </c>
      <c r="B220" s="990"/>
      <c r="C220" s="992">
        <v>570</v>
      </c>
      <c r="D220" s="1001"/>
      <c r="E220" s="1001"/>
      <c r="F220" s="996"/>
      <c r="G220" s="996"/>
      <c r="H220" s="996"/>
      <c r="I220" s="996"/>
      <c r="J220" s="996"/>
      <c r="K220" s="996"/>
      <c r="L220" s="996"/>
    </row>
    <row r="221" spans="1:12" s="402" customFormat="1" x14ac:dyDescent="0.3">
      <c r="A221" s="990">
        <v>571</v>
      </c>
      <c r="B221" s="992">
        <v>571</v>
      </c>
      <c r="C221" s="992">
        <v>571</v>
      </c>
      <c r="D221" s="1001" t="s">
        <v>1056</v>
      </c>
      <c r="E221" s="1001"/>
      <c r="F221" s="996">
        <v>4846759</v>
      </c>
      <c r="G221" s="996">
        <v>6656314</v>
      </c>
      <c r="H221" s="996">
        <v>2846164</v>
      </c>
      <c r="I221" s="996">
        <v>10205726</v>
      </c>
      <c r="J221" s="996">
        <v>27760171</v>
      </c>
      <c r="K221" s="996">
        <v>9157955</v>
      </c>
      <c r="L221" s="996">
        <v>3272572</v>
      </c>
    </row>
    <row r="222" spans="1:12" s="402" customFormat="1" x14ac:dyDescent="0.3">
      <c r="A222" s="990">
        <v>572</v>
      </c>
      <c r="B222" s="992">
        <v>572</v>
      </c>
      <c r="C222" s="992">
        <v>572</v>
      </c>
      <c r="D222" s="1001" t="s">
        <v>1057</v>
      </c>
      <c r="E222" s="1001"/>
      <c r="F222" s="996">
        <v>63889910</v>
      </c>
      <c r="G222" s="996">
        <v>105064898</v>
      </c>
      <c r="H222" s="996">
        <v>41040930</v>
      </c>
      <c r="I222" s="996">
        <v>36364132</v>
      </c>
      <c r="J222" s="996">
        <v>41628448</v>
      </c>
      <c r="K222" s="996">
        <v>58000533</v>
      </c>
      <c r="L222" s="996">
        <v>49540249</v>
      </c>
    </row>
    <row r="223" spans="1:12" s="402" customFormat="1" x14ac:dyDescent="0.3">
      <c r="A223" s="990">
        <v>573</v>
      </c>
      <c r="B223" s="992">
        <v>573</v>
      </c>
      <c r="C223" s="992">
        <v>573</v>
      </c>
      <c r="D223" s="1001" t="s">
        <v>1215</v>
      </c>
      <c r="E223" s="1001"/>
      <c r="F223" s="996">
        <v>42612257</v>
      </c>
      <c r="G223" s="996">
        <v>104765102</v>
      </c>
      <c r="H223" s="996">
        <v>42275251</v>
      </c>
      <c r="I223" s="996">
        <v>44364295</v>
      </c>
      <c r="J223" s="996">
        <v>53012857</v>
      </c>
      <c r="K223" s="996">
        <v>59633463</v>
      </c>
      <c r="L223" s="996">
        <v>27416197</v>
      </c>
    </row>
    <row r="224" spans="1:12" s="402" customFormat="1" x14ac:dyDescent="0.3">
      <c r="A224" s="990">
        <v>574</v>
      </c>
      <c r="B224" s="990"/>
      <c r="C224" s="992">
        <v>574</v>
      </c>
      <c r="D224" s="1001"/>
      <c r="E224" s="1001"/>
      <c r="F224" s="996"/>
      <c r="G224" s="996"/>
      <c r="H224" s="996"/>
      <c r="I224" s="996"/>
      <c r="J224" s="996"/>
      <c r="K224" s="996"/>
      <c r="L224" s="996"/>
    </row>
    <row r="225" spans="1:12" s="402" customFormat="1" x14ac:dyDescent="0.3">
      <c r="A225" s="990">
        <v>575</v>
      </c>
      <c r="B225" s="990"/>
      <c r="C225" s="992">
        <v>575</v>
      </c>
      <c r="D225" s="1001"/>
      <c r="E225" s="1001"/>
      <c r="F225" s="996"/>
      <c r="G225" s="996"/>
      <c r="H225" s="996"/>
      <c r="I225" s="996"/>
      <c r="J225" s="996"/>
      <c r="K225" s="996"/>
      <c r="L225" s="996"/>
    </row>
    <row r="226" spans="1:12" s="402" customFormat="1" x14ac:dyDescent="0.3">
      <c r="A226" s="990">
        <v>576</v>
      </c>
      <c r="B226" s="990"/>
      <c r="C226" s="992">
        <v>576</v>
      </c>
      <c r="D226" s="1001"/>
      <c r="E226" s="1001"/>
      <c r="F226" s="996"/>
      <c r="G226" s="996"/>
      <c r="H226" s="996"/>
      <c r="I226" s="996"/>
      <c r="J226" s="996"/>
      <c r="K226" s="996"/>
      <c r="L226" s="996"/>
    </row>
    <row r="227" spans="1:12" s="402" customFormat="1" ht="72" x14ac:dyDescent="0.3">
      <c r="A227" s="990">
        <v>577</v>
      </c>
      <c r="B227" s="992">
        <v>577</v>
      </c>
      <c r="C227" s="992">
        <v>577</v>
      </c>
      <c r="D227" s="1006" t="s">
        <v>1413</v>
      </c>
      <c r="E227" s="1006"/>
      <c r="F227" s="1003">
        <v>2</v>
      </c>
      <c r="G227" s="1003">
        <v>0</v>
      </c>
      <c r="H227" s="1003">
        <v>2</v>
      </c>
      <c r="I227" s="1003">
        <v>2</v>
      </c>
      <c r="J227" s="1003">
        <v>2</v>
      </c>
      <c r="K227" s="1003">
        <v>2</v>
      </c>
      <c r="L227" s="1003">
        <v>2</v>
      </c>
    </row>
    <row r="228" spans="1:12" s="402" customFormat="1" x14ac:dyDescent="0.3">
      <c r="A228" s="990">
        <v>578</v>
      </c>
      <c r="B228" s="990"/>
      <c r="C228" s="992">
        <v>578</v>
      </c>
      <c r="D228" s="1006"/>
      <c r="E228" s="1006"/>
      <c r="F228" s="1003"/>
      <c r="G228" s="1003"/>
      <c r="H228" s="1003"/>
      <c r="I228" s="1003"/>
      <c r="J228" s="1003"/>
      <c r="K228" s="1003"/>
      <c r="L228" s="1003"/>
    </row>
    <row r="229" spans="1:12" s="402" customFormat="1" x14ac:dyDescent="0.3">
      <c r="A229" s="990">
        <v>579</v>
      </c>
      <c r="B229" s="990"/>
      <c r="C229" s="992">
        <v>579</v>
      </c>
      <c r="D229" s="1006"/>
      <c r="E229" s="1006"/>
      <c r="F229" s="1003"/>
      <c r="G229" s="1003"/>
      <c r="H229" s="1003"/>
      <c r="I229" s="1003"/>
      <c r="J229" s="1003"/>
      <c r="K229" s="1003"/>
      <c r="L229" s="1003"/>
    </row>
    <row r="230" spans="1:12" s="402" customFormat="1" x14ac:dyDescent="0.3">
      <c r="A230" s="990">
        <v>580</v>
      </c>
      <c r="B230" s="998"/>
      <c r="C230" s="992">
        <v>580</v>
      </c>
      <c r="D230" s="1006"/>
      <c r="E230" s="1006"/>
      <c r="F230" s="1003"/>
      <c r="G230" s="1003"/>
      <c r="H230" s="1003"/>
      <c r="I230" s="1003"/>
      <c r="J230" s="1003"/>
      <c r="K230" s="1003"/>
      <c r="L230" s="1003"/>
    </row>
    <row r="231" spans="1:12" s="402" customFormat="1" x14ac:dyDescent="0.3">
      <c r="A231" s="990">
        <v>581</v>
      </c>
      <c r="B231" s="998"/>
      <c r="C231" s="992">
        <v>581</v>
      </c>
      <c r="D231" s="1006"/>
      <c r="E231" s="1006"/>
      <c r="F231" s="1003"/>
      <c r="G231" s="1003"/>
      <c r="H231" s="1003"/>
      <c r="I231" s="1003"/>
      <c r="J231" s="1003"/>
      <c r="K231" s="1003"/>
      <c r="L231" s="1003"/>
    </row>
    <row r="232" spans="1:12" s="402" customFormat="1" x14ac:dyDescent="0.3">
      <c r="A232" s="990">
        <v>582</v>
      </c>
      <c r="B232" s="990"/>
      <c r="C232" s="992">
        <v>582</v>
      </c>
      <c r="D232" s="1006"/>
      <c r="E232" s="1006"/>
      <c r="F232" s="1003"/>
      <c r="G232" s="1003"/>
      <c r="H232" s="1003"/>
      <c r="I232" s="1003"/>
      <c r="J232" s="1003"/>
      <c r="K232" s="1003"/>
      <c r="L232" s="1003"/>
    </row>
    <row r="233" spans="1:12" s="402" customFormat="1" x14ac:dyDescent="0.3">
      <c r="A233" s="990">
        <v>583</v>
      </c>
      <c r="B233" s="990"/>
      <c r="C233" s="992">
        <v>583</v>
      </c>
      <c r="D233" s="1006"/>
      <c r="E233" s="1006"/>
      <c r="F233" s="1003"/>
      <c r="G233" s="1003"/>
      <c r="H233" s="1003"/>
      <c r="I233" s="1003"/>
      <c r="J233" s="1003"/>
      <c r="K233" s="1003"/>
      <c r="L233" s="1003"/>
    </row>
    <row r="234" spans="1:12" s="402" customFormat="1" x14ac:dyDescent="0.3">
      <c r="A234" s="990">
        <v>584</v>
      </c>
      <c r="B234" s="990"/>
      <c r="C234" s="992">
        <v>584</v>
      </c>
      <c r="D234" s="1006"/>
      <c r="E234" s="1006"/>
      <c r="F234" s="1003"/>
      <c r="G234" s="1003"/>
      <c r="H234" s="1003"/>
      <c r="I234" s="1003"/>
      <c r="J234" s="1003"/>
      <c r="K234" s="1003"/>
      <c r="L234" s="1003"/>
    </row>
    <row r="235" spans="1:12" s="402" customFormat="1" x14ac:dyDescent="0.3">
      <c r="A235" s="990">
        <v>585</v>
      </c>
      <c r="B235" s="990"/>
      <c r="C235" s="992">
        <v>585</v>
      </c>
      <c r="D235" s="1006"/>
      <c r="E235" s="1006"/>
      <c r="F235" s="1003"/>
      <c r="G235" s="1003"/>
      <c r="H235" s="1003"/>
      <c r="I235" s="1003"/>
      <c r="J235" s="1003"/>
      <c r="K235" s="1003"/>
      <c r="L235" s="1003"/>
    </row>
    <row r="236" spans="1:12" s="402" customFormat="1" x14ac:dyDescent="0.3">
      <c r="A236" s="990">
        <v>586</v>
      </c>
      <c r="B236" s="990"/>
      <c r="C236" s="992">
        <v>586</v>
      </c>
      <c r="D236" s="1006"/>
      <c r="E236" s="1006"/>
      <c r="F236" s="1003"/>
      <c r="G236" s="1003"/>
      <c r="H236" s="1003"/>
      <c r="I236" s="1003"/>
      <c r="J236" s="1003"/>
      <c r="K236" s="1003"/>
      <c r="L236" s="1003"/>
    </row>
    <row r="237" spans="1:12" s="402" customFormat="1" x14ac:dyDescent="0.3">
      <c r="A237" s="990">
        <v>587</v>
      </c>
      <c r="B237" s="990"/>
      <c r="C237" s="992">
        <v>587</v>
      </c>
      <c r="D237" s="1006"/>
      <c r="E237" s="1006"/>
      <c r="F237" s="1003"/>
      <c r="G237" s="1003"/>
      <c r="H237" s="1003"/>
      <c r="I237" s="1003"/>
      <c r="J237" s="1003"/>
      <c r="K237" s="1003"/>
      <c r="L237" s="1003"/>
    </row>
    <row r="238" spans="1:12" s="402" customFormat="1" x14ac:dyDescent="0.3">
      <c r="A238" s="990">
        <v>588</v>
      </c>
      <c r="B238" s="990"/>
      <c r="C238" s="992">
        <v>588</v>
      </c>
      <c r="D238" s="1006"/>
      <c r="E238" s="1006"/>
      <c r="F238" s="1003"/>
      <c r="G238" s="1003"/>
      <c r="H238" s="1003"/>
      <c r="I238" s="1003"/>
      <c r="J238" s="1003"/>
      <c r="K238" s="1003"/>
      <c r="L238" s="1003"/>
    </row>
    <row r="239" spans="1:12" s="402" customFormat="1" x14ac:dyDescent="0.3">
      <c r="A239" s="990">
        <v>589</v>
      </c>
      <c r="B239" s="990"/>
      <c r="C239" s="992">
        <v>589</v>
      </c>
      <c r="D239" s="1006"/>
      <c r="E239" s="1006"/>
      <c r="F239" s="1003"/>
      <c r="G239" s="1003"/>
      <c r="H239" s="1003"/>
      <c r="I239" s="1003"/>
      <c r="J239" s="1003"/>
      <c r="K239" s="1003"/>
      <c r="L239" s="1003"/>
    </row>
    <row r="240" spans="1:12" s="402" customFormat="1" x14ac:dyDescent="0.3">
      <c r="A240" s="990">
        <v>590</v>
      </c>
      <c r="B240" s="990"/>
      <c r="C240" s="992">
        <v>590</v>
      </c>
      <c r="D240" s="1006"/>
      <c r="E240" s="1006"/>
      <c r="F240" s="1003"/>
      <c r="G240" s="1003"/>
      <c r="H240" s="1003"/>
      <c r="I240" s="1003"/>
      <c r="J240" s="1003"/>
      <c r="K240" s="1003"/>
      <c r="L240" s="1003"/>
    </row>
    <row r="241" spans="1:12" s="402" customFormat="1" x14ac:dyDescent="0.3">
      <c r="A241" s="990">
        <v>992</v>
      </c>
      <c r="B241" s="990"/>
      <c r="C241" s="992">
        <v>992</v>
      </c>
      <c r="D241" s="1006"/>
      <c r="E241" s="1006"/>
      <c r="F241" s="1003"/>
      <c r="G241" s="1003"/>
      <c r="H241" s="1003"/>
      <c r="I241" s="1003"/>
      <c r="J241" s="1003"/>
      <c r="K241" s="1003"/>
      <c r="L241" s="1003"/>
    </row>
    <row r="242" spans="1:12" s="405" customFormat="1" x14ac:dyDescent="0.3">
      <c r="A242" s="990">
        <v>993</v>
      </c>
      <c r="B242" s="990"/>
      <c r="C242" s="992">
        <v>993</v>
      </c>
      <c r="D242" s="1006"/>
      <c r="E242" s="1006"/>
      <c r="F242" s="1003"/>
      <c r="G242" s="1003"/>
      <c r="H242" s="1003"/>
      <c r="I242" s="1003"/>
      <c r="J242" s="1003"/>
      <c r="K242" s="1003"/>
      <c r="L242" s="1003"/>
    </row>
    <row r="243" spans="1:12" s="405" customFormat="1" x14ac:dyDescent="0.3">
      <c r="A243" s="990">
        <v>994</v>
      </c>
      <c r="B243" s="990"/>
      <c r="C243" s="992">
        <v>994</v>
      </c>
      <c r="D243" s="1006"/>
      <c r="E243" s="1006"/>
      <c r="F243" s="1003"/>
      <c r="G243" s="1003"/>
      <c r="H243" s="1003"/>
      <c r="I243" s="1003"/>
      <c r="J243" s="1003"/>
      <c r="K243" s="1003"/>
      <c r="L243" s="1003"/>
    </row>
    <row r="244" spans="1:12" s="405" customFormat="1" x14ac:dyDescent="0.3">
      <c r="A244" s="990">
        <v>995</v>
      </c>
      <c r="B244" s="990"/>
      <c r="C244" s="992">
        <v>995</v>
      </c>
      <c r="D244" s="1006"/>
      <c r="E244" s="1006"/>
      <c r="F244" s="1003"/>
      <c r="G244" s="1003"/>
      <c r="H244" s="1003"/>
      <c r="I244" s="1003"/>
      <c r="J244" s="1003"/>
      <c r="K244" s="1003"/>
      <c r="L244" s="1003"/>
    </row>
    <row r="245" spans="1:12" s="405" customFormat="1" x14ac:dyDescent="0.3">
      <c r="A245" s="990">
        <v>996</v>
      </c>
      <c r="B245" s="990"/>
      <c r="C245" s="992">
        <v>996</v>
      </c>
      <c r="D245" s="1006"/>
      <c r="E245" s="1006"/>
      <c r="F245" s="1003"/>
      <c r="G245" s="1003"/>
      <c r="H245" s="1003"/>
      <c r="I245" s="1003"/>
      <c r="J245" s="1003"/>
      <c r="K245" s="1003"/>
      <c r="L245" s="1003"/>
    </row>
    <row r="246" spans="1:12" s="402" customFormat="1" x14ac:dyDescent="0.3">
      <c r="A246" s="990">
        <v>997</v>
      </c>
      <c r="B246" s="990"/>
      <c r="C246" s="992">
        <v>997</v>
      </c>
      <c r="D246" s="1006"/>
      <c r="E246" s="1006"/>
      <c r="F246" s="1003"/>
      <c r="G246" s="1003"/>
      <c r="H246" s="1003"/>
      <c r="I246" s="1003"/>
      <c r="J246" s="1003"/>
      <c r="K246" s="1003"/>
      <c r="L246" s="1003"/>
    </row>
    <row r="247" spans="1:12" s="402" customFormat="1" x14ac:dyDescent="0.3">
      <c r="A247" s="990">
        <v>998</v>
      </c>
      <c r="B247" s="992">
        <v>998</v>
      </c>
      <c r="C247" s="992">
        <v>998</v>
      </c>
      <c r="D247" s="1007" t="s">
        <v>288</v>
      </c>
      <c r="E247" s="1007"/>
      <c r="F247" s="1003">
        <v>58</v>
      </c>
      <c r="G247" s="1003">
        <v>58</v>
      </c>
      <c r="H247" s="1003">
        <v>58</v>
      </c>
      <c r="I247" s="1003">
        <v>58</v>
      </c>
      <c r="J247" s="1003">
        <v>58</v>
      </c>
      <c r="K247" s="1003">
        <v>58</v>
      </c>
      <c r="L247" s="1003">
        <v>58</v>
      </c>
    </row>
    <row r="248" spans="1:12" s="402" customFormat="1" x14ac:dyDescent="0.3">
      <c r="A248" s="990">
        <v>999</v>
      </c>
      <c r="B248" s="992">
        <v>999</v>
      </c>
      <c r="C248" s="992">
        <v>999</v>
      </c>
      <c r="D248" s="1007" t="s">
        <v>289</v>
      </c>
      <c r="E248" s="1007"/>
      <c r="F248" s="1003">
        <v>584016</v>
      </c>
      <c r="G248" s="1003">
        <v>584021</v>
      </c>
      <c r="H248" s="1003">
        <v>581427</v>
      </c>
      <c r="I248" s="1003">
        <v>584015</v>
      </c>
      <c r="J248" s="1003">
        <v>581418</v>
      </c>
      <c r="K248" s="1003">
        <v>584134</v>
      </c>
      <c r="L248" s="1003">
        <v>581419</v>
      </c>
    </row>
    <row r="249" spans="1:12" x14ac:dyDescent="0.3">
      <c r="A249" s="990">
        <v>1000</v>
      </c>
      <c r="B249" s="990"/>
      <c r="C249" s="992">
        <v>1000</v>
      </c>
      <c r="D249" s="1007"/>
      <c r="E249" s="1007"/>
      <c r="F249" s="1003"/>
      <c r="G249" s="1003"/>
      <c r="H249" s="1003"/>
      <c r="I249" s="1003"/>
      <c r="J249" s="1003"/>
      <c r="K249" s="1003"/>
      <c r="L249" s="1003"/>
    </row>
    <row r="250" spans="1:12" x14ac:dyDescent="0.3">
      <c r="A250" s="990">
        <v>537</v>
      </c>
      <c r="B250" s="990"/>
      <c r="C250" s="992">
        <v>537</v>
      </c>
      <c r="D250" s="1007"/>
      <c r="E250" s="1007"/>
      <c r="F250" s="1003"/>
      <c r="G250" s="1003"/>
      <c r="H250" s="1003"/>
      <c r="I250" s="1003"/>
      <c r="J250" s="1003"/>
      <c r="K250" s="1003"/>
      <c r="L250" s="1003"/>
    </row>
    <row r="251" spans="1:12" x14ac:dyDescent="0.3">
      <c r="A251" s="990">
        <v>538</v>
      </c>
      <c r="B251" s="990"/>
      <c r="C251" s="992">
        <v>538</v>
      </c>
      <c r="D251" s="1007"/>
      <c r="E251" s="1007"/>
      <c r="F251" s="1003"/>
      <c r="G251" s="1003"/>
      <c r="H251" s="1003"/>
      <c r="I251" s="1003"/>
      <c r="J251" s="1003"/>
      <c r="K251" s="1003"/>
      <c r="L251" s="1003"/>
    </row>
    <row r="252" spans="1:12" s="402" customFormat="1" x14ac:dyDescent="0.3">
      <c r="A252" s="990">
        <v>591</v>
      </c>
      <c r="B252" s="998">
        <v>591</v>
      </c>
      <c r="C252" s="992">
        <v>591</v>
      </c>
      <c r="D252" s="1008" t="s">
        <v>355</v>
      </c>
      <c r="E252" s="1009"/>
      <c r="F252" s="996">
        <v>552913703</v>
      </c>
      <c r="G252" s="996">
        <v>914671041</v>
      </c>
      <c r="H252" s="996">
        <v>312306849</v>
      </c>
      <c r="I252" s="996">
        <v>384360018</v>
      </c>
      <c r="J252" s="996">
        <v>357388988</v>
      </c>
      <c r="K252" s="996">
        <v>534643042</v>
      </c>
      <c r="L252" s="996">
        <v>419060877</v>
      </c>
    </row>
    <row r="253" spans="1:12" s="402" customFormat="1" x14ac:dyDescent="0.3">
      <c r="A253" s="990">
        <v>592</v>
      </c>
      <c r="B253" s="998">
        <v>592</v>
      </c>
      <c r="C253" s="992">
        <v>592</v>
      </c>
      <c r="D253" s="1008" t="s">
        <v>356</v>
      </c>
      <c r="E253" s="1009"/>
      <c r="F253" s="996">
        <v>23374864</v>
      </c>
      <c r="G253" s="996">
        <v>25551221</v>
      </c>
      <c r="H253" s="996">
        <v>-2041158</v>
      </c>
      <c r="I253" s="996">
        <v>10122018</v>
      </c>
      <c r="J253" s="996">
        <v>-4737935</v>
      </c>
      <c r="K253" s="996">
        <v>-4960642</v>
      </c>
      <c r="L253" s="996">
        <v>6024402</v>
      </c>
    </row>
    <row r="254" spans="1:12" s="402" customFormat="1" x14ac:dyDescent="0.3">
      <c r="A254" s="990">
        <v>595</v>
      </c>
      <c r="B254" s="998"/>
      <c r="C254" s="992">
        <v>595</v>
      </c>
      <c r="D254" s="995" t="s">
        <v>1414</v>
      </c>
      <c r="E254" s="990"/>
      <c r="F254" s="996"/>
      <c r="G254" s="996"/>
      <c r="H254" s="996"/>
      <c r="I254" s="996"/>
      <c r="J254" s="996"/>
      <c r="K254" s="996"/>
      <c r="L254" s="996"/>
    </row>
    <row r="255" spans="1:12" s="402" customFormat="1" x14ac:dyDescent="0.3">
      <c r="A255" s="990">
        <v>596</v>
      </c>
      <c r="B255" s="990"/>
      <c r="C255" s="992">
        <v>596</v>
      </c>
      <c r="D255" s="990"/>
      <c r="E255" s="990"/>
      <c r="F255" s="996"/>
      <c r="G255" s="996"/>
      <c r="H255" s="996"/>
      <c r="I255" s="996"/>
      <c r="J255" s="996"/>
      <c r="K255" s="996"/>
      <c r="L255" s="996"/>
    </row>
    <row r="256" spans="1:12" s="402" customFormat="1" x14ac:dyDescent="0.3">
      <c r="A256" s="990">
        <v>597</v>
      </c>
      <c r="B256" s="990"/>
      <c r="C256" s="992">
        <v>597</v>
      </c>
      <c r="D256" s="990"/>
      <c r="E256" s="990"/>
      <c r="F256" s="996"/>
      <c r="G256" s="996"/>
      <c r="H256" s="996"/>
      <c r="I256" s="996"/>
      <c r="J256" s="996"/>
      <c r="K256" s="996"/>
      <c r="L256" s="996"/>
    </row>
    <row r="257" spans="1:12" s="402" customFormat="1" x14ac:dyDescent="0.3">
      <c r="A257" s="990" t="s">
        <v>1420</v>
      </c>
      <c r="B257" s="990"/>
      <c r="C257" s="990"/>
      <c r="D257" s="990"/>
      <c r="E257" s="990"/>
      <c r="F257" s="996"/>
      <c r="G257" s="996"/>
      <c r="H257" s="996"/>
      <c r="I257" s="996"/>
      <c r="J257" s="996"/>
      <c r="K257" s="996"/>
      <c r="L257" s="996"/>
    </row>
    <row r="258" spans="1:12" s="402" customFormat="1" x14ac:dyDescent="0.3">
      <c r="A258" s="990">
        <v>598</v>
      </c>
      <c r="B258" s="990"/>
      <c r="C258" s="992">
        <v>598</v>
      </c>
      <c r="D258" s="990"/>
      <c r="E258" s="990"/>
      <c r="F258" s="996"/>
      <c r="G258" s="996"/>
      <c r="H258" s="996"/>
      <c r="I258" s="996"/>
      <c r="J258" s="996"/>
      <c r="K258" s="996"/>
      <c r="L258" s="996"/>
    </row>
    <row r="259" spans="1:12" s="402" customFormat="1" x14ac:dyDescent="0.3">
      <c r="A259" s="990">
        <v>599</v>
      </c>
      <c r="B259" s="990"/>
      <c r="C259" s="992">
        <v>599</v>
      </c>
      <c r="D259" s="990"/>
      <c r="E259" s="990"/>
      <c r="F259" s="996"/>
      <c r="G259" s="996"/>
      <c r="H259" s="996"/>
      <c r="I259" s="996"/>
      <c r="J259" s="996"/>
      <c r="K259" s="996"/>
      <c r="L259" s="996"/>
    </row>
    <row r="260" spans="1:12" s="402" customFormat="1" ht="71.400000000000006" x14ac:dyDescent="0.3">
      <c r="A260" s="990">
        <v>600</v>
      </c>
      <c r="B260" s="990"/>
      <c r="C260" s="992">
        <v>600</v>
      </c>
      <c r="D260" s="1010" t="s">
        <v>539</v>
      </c>
      <c r="E260" s="1011"/>
      <c r="F260" s="1003">
        <v>0</v>
      </c>
      <c r="G260" s="1003">
        <v>0</v>
      </c>
      <c r="H260" s="1003">
        <v>0</v>
      </c>
      <c r="I260" s="1003">
        <v>0</v>
      </c>
      <c r="J260" s="1003">
        <v>0</v>
      </c>
      <c r="K260" s="1003">
        <v>0</v>
      </c>
      <c r="L260" s="1003">
        <v>0</v>
      </c>
    </row>
    <row r="261" spans="1:12" s="402" customFormat="1" ht="112.2" x14ac:dyDescent="0.3">
      <c r="A261" s="990">
        <v>601</v>
      </c>
      <c r="B261" s="990"/>
      <c r="C261" s="992">
        <v>601</v>
      </c>
      <c r="D261" s="1010" t="s">
        <v>540</v>
      </c>
      <c r="E261" s="1011"/>
      <c r="F261" s="1003">
        <v>0</v>
      </c>
      <c r="G261" s="1003">
        <v>0</v>
      </c>
      <c r="H261" s="1003">
        <v>0</v>
      </c>
      <c r="I261" s="1003">
        <v>0</v>
      </c>
      <c r="J261" s="1003">
        <v>0</v>
      </c>
      <c r="K261" s="1003">
        <v>0</v>
      </c>
      <c r="L261" s="1003">
        <v>0</v>
      </c>
    </row>
    <row r="262" spans="1:12" s="402" customFormat="1" x14ac:dyDescent="0.3">
      <c r="A262" s="990">
        <v>602</v>
      </c>
      <c r="B262" s="990"/>
      <c r="C262" s="992">
        <v>602</v>
      </c>
      <c r="D262" s="1011"/>
      <c r="E262" s="1011"/>
      <c r="F262" s="990"/>
      <c r="G262" s="990"/>
      <c r="H262" s="990"/>
      <c r="I262" s="990"/>
      <c r="J262" s="990"/>
      <c r="K262" s="990"/>
      <c r="L262" s="990"/>
    </row>
    <row r="263" spans="1:12" s="402" customFormat="1" ht="158.4" x14ac:dyDescent="0.3">
      <c r="A263" s="990" t="s">
        <v>1421</v>
      </c>
      <c r="B263" s="990"/>
      <c r="C263" s="992">
        <v>603</v>
      </c>
      <c r="D263" s="1012" t="s">
        <v>395</v>
      </c>
      <c r="E263" s="1012"/>
      <c r="F263" s="1003"/>
      <c r="G263" s="1003"/>
      <c r="H263" s="1003"/>
      <c r="I263" s="1003"/>
      <c r="J263" s="1003"/>
      <c r="K263" s="1003"/>
      <c r="L263" s="1003"/>
    </row>
    <row r="264" spans="1:12" s="402" customFormat="1" ht="115.2" x14ac:dyDescent="0.3">
      <c r="A264" s="990">
        <v>604</v>
      </c>
      <c r="B264" s="990"/>
      <c r="C264" s="992">
        <v>604</v>
      </c>
      <c r="D264" s="1012" t="s">
        <v>396</v>
      </c>
      <c r="E264" s="1012"/>
      <c r="F264" s="1003">
        <v>0</v>
      </c>
      <c r="G264" s="1003">
        <v>0</v>
      </c>
      <c r="H264" s="1003">
        <v>0</v>
      </c>
      <c r="I264" s="1003">
        <v>0</v>
      </c>
      <c r="J264" s="1003">
        <v>0</v>
      </c>
      <c r="K264" s="1003">
        <v>0</v>
      </c>
      <c r="L264" s="1003">
        <v>0</v>
      </c>
    </row>
    <row r="265" spans="1:12" s="402" customFormat="1" ht="28.8" x14ac:dyDescent="0.3">
      <c r="A265" s="990">
        <v>605</v>
      </c>
      <c r="B265" s="990"/>
      <c r="C265" s="992">
        <v>605</v>
      </c>
      <c r="D265" s="1012" t="s">
        <v>398</v>
      </c>
      <c r="E265" s="1012"/>
      <c r="F265" s="1003">
        <v>0</v>
      </c>
      <c r="G265" s="1003">
        <v>0</v>
      </c>
      <c r="H265" s="1003">
        <v>0</v>
      </c>
      <c r="I265" s="1003">
        <v>0</v>
      </c>
      <c r="J265" s="1003">
        <v>0</v>
      </c>
      <c r="K265" s="1003">
        <v>0</v>
      </c>
      <c r="L265" s="1003">
        <v>0</v>
      </c>
    </row>
    <row r="266" spans="1:12" s="402" customFormat="1" ht="28.8" x14ac:dyDescent="0.3">
      <c r="A266" s="990">
        <v>606</v>
      </c>
      <c r="B266" s="992">
        <v>606</v>
      </c>
      <c r="C266" s="992">
        <v>606</v>
      </c>
      <c r="D266" s="1013" t="s">
        <v>408</v>
      </c>
      <c r="E266" s="1013"/>
      <c r="F266" s="1003">
        <v>1</v>
      </c>
      <c r="G266" s="1003">
        <v>1</v>
      </c>
      <c r="H266" s="1003">
        <v>1</v>
      </c>
      <c r="I266" s="1003">
        <v>1</v>
      </c>
      <c r="J266" s="1003">
        <v>1</v>
      </c>
      <c r="K266" s="1003">
        <v>0</v>
      </c>
      <c r="L266" s="1003">
        <v>1</v>
      </c>
    </row>
    <row r="267" spans="1:12" s="402" customFormat="1" x14ac:dyDescent="0.3">
      <c r="A267" s="990">
        <v>607</v>
      </c>
      <c r="B267" s="990"/>
      <c r="C267" s="992">
        <v>607</v>
      </c>
      <c r="D267" s="1012" t="s">
        <v>388</v>
      </c>
      <c r="E267" s="1012"/>
      <c r="F267" s="1003">
        <v>0</v>
      </c>
      <c r="G267" s="1003">
        <v>0</v>
      </c>
      <c r="H267" s="1003">
        <v>0</v>
      </c>
      <c r="I267" s="1003">
        <v>0</v>
      </c>
      <c r="J267" s="1003">
        <v>0</v>
      </c>
      <c r="K267" s="1003">
        <v>0</v>
      </c>
      <c r="L267" s="1003">
        <v>0</v>
      </c>
    </row>
    <row r="268" spans="1:12" s="402" customFormat="1" ht="28.8" x14ac:dyDescent="0.3">
      <c r="A268" s="990">
        <v>608</v>
      </c>
      <c r="B268" s="990"/>
      <c r="C268" s="992">
        <v>608</v>
      </c>
      <c r="D268" s="1012" t="s">
        <v>389</v>
      </c>
      <c r="E268" s="1012"/>
      <c r="F268" s="1003">
        <v>0</v>
      </c>
      <c r="G268" s="1003">
        <v>0</v>
      </c>
      <c r="H268" s="1003">
        <v>0</v>
      </c>
      <c r="I268" s="1003">
        <v>0</v>
      </c>
      <c r="J268" s="1003">
        <v>0</v>
      </c>
      <c r="K268" s="1003">
        <v>0</v>
      </c>
      <c r="L268" s="1003">
        <v>0</v>
      </c>
    </row>
    <row r="269" spans="1:12" s="402" customFormat="1" ht="28.8" x14ac:dyDescent="0.3">
      <c r="A269" s="990">
        <v>609</v>
      </c>
      <c r="B269" s="990"/>
      <c r="C269" s="992">
        <v>609</v>
      </c>
      <c r="D269" s="1012" t="s">
        <v>1415</v>
      </c>
      <c r="E269" s="1012"/>
      <c r="F269" s="1014">
        <v>0</v>
      </c>
      <c r="G269" s="1014">
        <v>0</v>
      </c>
      <c r="H269" s="1014">
        <v>0</v>
      </c>
      <c r="I269" s="1014">
        <v>0</v>
      </c>
      <c r="J269" s="1014">
        <v>0</v>
      </c>
      <c r="K269" s="1014">
        <v>0</v>
      </c>
      <c r="L269" s="1014">
        <v>0</v>
      </c>
    </row>
    <row r="270" spans="1:12" s="402" customFormat="1" x14ac:dyDescent="0.3">
      <c r="A270" s="990">
        <v>610</v>
      </c>
      <c r="B270" s="990"/>
      <c r="C270" s="992">
        <v>610</v>
      </c>
      <c r="D270" s="1012" t="s">
        <v>390</v>
      </c>
      <c r="E270" s="1012"/>
      <c r="F270" s="1003">
        <v>0</v>
      </c>
      <c r="G270" s="1003">
        <v>0</v>
      </c>
      <c r="H270" s="1003">
        <v>0</v>
      </c>
      <c r="I270" s="1003">
        <v>0</v>
      </c>
      <c r="J270" s="1003">
        <v>0</v>
      </c>
      <c r="K270" s="1003">
        <v>0</v>
      </c>
      <c r="L270" s="1003">
        <v>0</v>
      </c>
    </row>
    <row r="271" spans="1:12" s="402" customFormat="1" ht="28.8" x14ac:dyDescent="0.3">
      <c r="A271" s="990">
        <v>611</v>
      </c>
      <c r="B271" s="990"/>
      <c r="C271" s="992">
        <v>611</v>
      </c>
      <c r="D271" s="1012" t="s">
        <v>391</v>
      </c>
      <c r="E271" s="1012"/>
      <c r="F271" s="1003">
        <v>0</v>
      </c>
      <c r="G271" s="1003">
        <v>0</v>
      </c>
      <c r="H271" s="1003">
        <v>0</v>
      </c>
      <c r="I271" s="1003">
        <v>0</v>
      </c>
      <c r="J271" s="1003">
        <v>0</v>
      </c>
      <c r="K271" s="1003">
        <v>0</v>
      </c>
      <c r="L271" s="1003">
        <v>0</v>
      </c>
    </row>
    <row r="272" spans="1:12" s="402" customFormat="1" ht="28.8" x14ac:dyDescent="0.3">
      <c r="A272" s="990">
        <v>612</v>
      </c>
      <c r="B272" s="990"/>
      <c r="C272" s="992">
        <v>612</v>
      </c>
      <c r="D272" s="1012" t="s">
        <v>1416</v>
      </c>
      <c r="E272" s="1012"/>
      <c r="F272" s="1014">
        <v>0</v>
      </c>
      <c r="G272" s="1014">
        <v>0</v>
      </c>
      <c r="H272" s="1014">
        <v>0</v>
      </c>
      <c r="I272" s="1014">
        <v>0</v>
      </c>
      <c r="J272" s="1014">
        <v>0</v>
      </c>
      <c r="K272" s="1014">
        <v>0</v>
      </c>
      <c r="L272" s="1014">
        <v>0</v>
      </c>
    </row>
    <row r="273" spans="1:12" s="402" customFormat="1" x14ac:dyDescent="0.3">
      <c r="A273" s="990">
        <v>613</v>
      </c>
      <c r="B273" s="990"/>
      <c r="C273" s="992">
        <v>613</v>
      </c>
      <c r="D273" s="1012" t="s">
        <v>399</v>
      </c>
      <c r="E273" s="1012"/>
      <c r="F273" s="1003">
        <v>0</v>
      </c>
      <c r="G273" s="1003">
        <v>0</v>
      </c>
      <c r="H273" s="1003">
        <v>0</v>
      </c>
      <c r="I273" s="1003">
        <v>0</v>
      </c>
      <c r="J273" s="1003">
        <v>0</v>
      </c>
      <c r="K273" s="1003">
        <v>0</v>
      </c>
      <c r="L273" s="1003">
        <v>0</v>
      </c>
    </row>
    <row r="274" spans="1:12" s="402" customFormat="1" ht="28.8" x14ac:dyDescent="0.3">
      <c r="A274" s="990">
        <v>614</v>
      </c>
      <c r="B274" s="990"/>
      <c r="C274" s="992">
        <v>614</v>
      </c>
      <c r="D274" s="1012" t="s">
        <v>392</v>
      </c>
      <c r="E274" s="1012"/>
      <c r="F274" s="1003">
        <v>0</v>
      </c>
      <c r="G274" s="1003">
        <v>0</v>
      </c>
      <c r="H274" s="1003">
        <v>0</v>
      </c>
      <c r="I274" s="1003">
        <v>0</v>
      </c>
      <c r="J274" s="1003">
        <v>0</v>
      </c>
      <c r="K274" s="1003">
        <v>0</v>
      </c>
      <c r="L274" s="1003">
        <v>0</v>
      </c>
    </row>
    <row r="275" spans="1:12" s="402" customFormat="1" ht="28.8" x14ac:dyDescent="0.3">
      <c r="A275" s="990">
        <v>615</v>
      </c>
      <c r="B275" s="990"/>
      <c r="C275" s="992">
        <v>615</v>
      </c>
      <c r="D275" s="1012" t="s">
        <v>1417</v>
      </c>
      <c r="E275" s="1012"/>
      <c r="F275" s="1014">
        <v>0</v>
      </c>
      <c r="G275" s="1014">
        <v>0</v>
      </c>
      <c r="H275" s="1014">
        <v>0</v>
      </c>
      <c r="I275" s="1014">
        <v>0</v>
      </c>
      <c r="J275" s="1014">
        <v>0</v>
      </c>
      <c r="K275" s="1014">
        <v>0</v>
      </c>
      <c r="L275" s="1014">
        <v>0</v>
      </c>
    </row>
    <row r="276" spans="1:12" s="402" customFormat="1" x14ac:dyDescent="0.3">
      <c r="A276" s="990">
        <v>616</v>
      </c>
      <c r="B276" s="990"/>
      <c r="C276" s="992">
        <v>616</v>
      </c>
      <c r="D276" s="1012" t="s">
        <v>393</v>
      </c>
      <c r="E276" s="1012"/>
      <c r="F276" s="1003">
        <v>0</v>
      </c>
      <c r="G276" s="1003">
        <v>0</v>
      </c>
      <c r="H276" s="1003">
        <v>0</v>
      </c>
      <c r="I276" s="1003">
        <v>0</v>
      </c>
      <c r="J276" s="1003">
        <v>0</v>
      </c>
      <c r="K276" s="1003">
        <v>0</v>
      </c>
      <c r="L276" s="1003">
        <v>0</v>
      </c>
    </row>
    <row r="277" spans="1:12" s="402" customFormat="1" ht="28.8" x14ac:dyDescent="0.3">
      <c r="A277" s="990">
        <v>617</v>
      </c>
      <c r="B277" s="990"/>
      <c r="C277" s="992">
        <v>617</v>
      </c>
      <c r="D277" s="1012" t="s">
        <v>394</v>
      </c>
      <c r="E277" s="1012"/>
      <c r="F277" s="1003">
        <v>0</v>
      </c>
      <c r="G277" s="1003">
        <v>0</v>
      </c>
      <c r="H277" s="1003">
        <v>0</v>
      </c>
      <c r="I277" s="1003">
        <v>0</v>
      </c>
      <c r="J277" s="1003">
        <v>0</v>
      </c>
      <c r="K277" s="1003">
        <v>0</v>
      </c>
      <c r="L277" s="1003">
        <v>0</v>
      </c>
    </row>
    <row r="278" spans="1:12" s="402" customFormat="1" ht="28.8" x14ac:dyDescent="0.3">
      <c r="A278" s="990">
        <v>618</v>
      </c>
      <c r="B278" s="990"/>
      <c r="C278" s="992">
        <v>618</v>
      </c>
      <c r="D278" s="1012" t="s">
        <v>1418</v>
      </c>
      <c r="E278" s="1012"/>
      <c r="F278" s="1014">
        <v>0</v>
      </c>
      <c r="G278" s="1014">
        <v>0</v>
      </c>
      <c r="H278" s="1014">
        <v>0</v>
      </c>
      <c r="I278" s="1014">
        <v>0</v>
      </c>
      <c r="J278" s="1014">
        <v>0</v>
      </c>
      <c r="K278" s="1014">
        <v>0</v>
      </c>
      <c r="L278" s="1014">
        <v>0</v>
      </c>
    </row>
    <row r="279" spans="1:12" s="402" customFormat="1" x14ac:dyDescent="0.3">
      <c r="A279" s="990">
        <v>619</v>
      </c>
      <c r="B279" s="990"/>
      <c r="C279" s="990"/>
      <c r="D279" s="990"/>
      <c r="E279" s="990"/>
      <c r="F279" s="1014">
        <v>0</v>
      </c>
      <c r="G279" s="1014">
        <v>0</v>
      </c>
      <c r="H279" s="1014">
        <v>0</v>
      </c>
      <c r="I279" s="1014">
        <v>0</v>
      </c>
      <c r="J279" s="1014">
        <v>0</v>
      </c>
      <c r="K279" s="1014">
        <v>0</v>
      </c>
      <c r="L279" s="1014">
        <v>0</v>
      </c>
    </row>
    <row r="280" spans="1:12" s="402" customFormat="1" x14ac:dyDescent="0.3">
      <c r="A280" s="990">
        <v>620</v>
      </c>
      <c r="B280" s="990"/>
      <c r="C280" s="990"/>
      <c r="D280" s="1012"/>
      <c r="E280" s="1012"/>
      <c r="F280" s="1014">
        <v>0</v>
      </c>
      <c r="G280" s="1014">
        <v>0</v>
      </c>
      <c r="H280" s="1014">
        <v>0</v>
      </c>
      <c r="I280" s="1014">
        <v>0</v>
      </c>
      <c r="J280" s="1014">
        <v>0</v>
      </c>
      <c r="K280" s="1014">
        <v>0</v>
      </c>
      <c r="L280" s="1014">
        <v>0</v>
      </c>
    </row>
    <row r="281" spans="1:12" s="402" customFormat="1" x14ac:dyDescent="0.3">
      <c r="A281" s="990">
        <v>621</v>
      </c>
      <c r="B281" s="990"/>
      <c r="C281" s="990"/>
      <c r="D281" s="1012"/>
      <c r="E281" s="1012"/>
      <c r="F281" s="1014"/>
      <c r="G281" s="1014"/>
      <c r="H281" s="1014"/>
      <c r="I281" s="1014"/>
      <c r="J281" s="1014"/>
      <c r="K281" s="1014"/>
      <c r="L281" s="1014"/>
    </row>
    <row r="282" spans="1:12" s="402" customFormat="1" x14ac:dyDescent="0.3">
      <c r="A282" s="990">
        <v>622</v>
      </c>
      <c r="B282" s="992">
        <v>622</v>
      </c>
      <c r="C282" s="992">
        <v>622</v>
      </c>
      <c r="D282" s="990"/>
      <c r="E282" s="990"/>
      <c r="F282" s="1014">
        <v>15276231</v>
      </c>
      <c r="G282" s="1014">
        <v>0</v>
      </c>
      <c r="H282" s="1014">
        <v>6197554</v>
      </c>
      <c r="I282" s="1014">
        <v>10355390</v>
      </c>
      <c r="J282" s="1014">
        <v>6095143</v>
      </c>
      <c r="K282" s="1014">
        <v>10783046</v>
      </c>
      <c r="L282" s="1014">
        <v>11121139</v>
      </c>
    </row>
    <row r="283" spans="1:12" s="402" customFormat="1" x14ac:dyDescent="0.3">
      <c r="A283" s="990">
        <v>624</v>
      </c>
      <c r="B283" s="990"/>
      <c r="C283" s="990"/>
      <c r="D283" s="990"/>
      <c r="E283" s="990"/>
      <c r="F283" s="990"/>
      <c r="G283" s="990"/>
      <c r="H283" s="990"/>
      <c r="I283" s="990"/>
      <c r="J283" s="990"/>
      <c r="K283" s="990"/>
      <c r="L283" s="990"/>
    </row>
    <row r="284" spans="1:12" s="402" customFormat="1" x14ac:dyDescent="0.3">
      <c r="A284" s="990">
        <v>625</v>
      </c>
      <c r="B284" s="990"/>
      <c r="C284" s="990"/>
      <c r="D284" s="990"/>
      <c r="E284" s="990"/>
      <c r="F284" s="990"/>
      <c r="G284" s="990"/>
      <c r="H284" s="990"/>
      <c r="I284" s="990"/>
      <c r="J284" s="990"/>
      <c r="K284" s="990"/>
      <c r="L284" s="990"/>
    </row>
    <row r="285" spans="1:12" s="402" customFormat="1" ht="28.8" x14ac:dyDescent="0.3">
      <c r="A285" s="990">
        <v>626</v>
      </c>
      <c r="B285" s="990"/>
      <c r="C285" s="992">
        <v>626</v>
      </c>
      <c r="D285" s="1015" t="s">
        <v>434</v>
      </c>
      <c r="E285" s="990"/>
      <c r="F285" s="1014">
        <v>0</v>
      </c>
      <c r="G285" s="1014">
        <v>0</v>
      </c>
      <c r="H285" s="1014">
        <v>0</v>
      </c>
      <c r="I285" s="1014">
        <v>0</v>
      </c>
      <c r="J285" s="1014">
        <v>0</v>
      </c>
      <c r="K285" s="1014">
        <v>0</v>
      </c>
      <c r="L285" s="1014">
        <v>0</v>
      </c>
    </row>
    <row r="286" spans="1:12" s="402" customFormat="1" x14ac:dyDescent="0.3">
      <c r="A286" s="990">
        <v>627</v>
      </c>
      <c r="B286" s="990"/>
      <c r="C286" s="992">
        <v>627</v>
      </c>
      <c r="D286" s="1015" t="s">
        <v>426</v>
      </c>
      <c r="E286" s="990"/>
      <c r="F286" s="1014">
        <v>0</v>
      </c>
      <c r="G286" s="1014">
        <v>0</v>
      </c>
      <c r="H286" s="1014">
        <v>0</v>
      </c>
      <c r="I286" s="1014">
        <v>0</v>
      </c>
      <c r="J286" s="1014">
        <v>0</v>
      </c>
      <c r="K286" s="1014">
        <v>0</v>
      </c>
      <c r="L286" s="1014">
        <v>0</v>
      </c>
    </row>
    <row r="287" spans="1:12" s="402" customFormat="1" ht="28.8" x14ac:dyDescent="0.3">
      <c r="A287" s="990">
        <v>628</v>
      </c>
      <c r="B287" s="990"/>
      <c r="C287" s="992">
        <v>628</v>
      </c>
      <c r="D287" s="1015" t="s">
        <v>431</v>
      </c>
      <c r="E287" s="990"/>
      <c r="F287" s="1014">
        <v>0</v>
      </c>
      <c r="G287" s="1014">
        <v>0</v>
      </c>
      <c r="H287" s="1014">
        <v>0</v>
      </c>
      <c r="I287" s="1014">
        <v>0</v>
      </c>
      <c r="J287" s="1014">
        <v>0</v>
      </c>
      <c r="K287" s="1014">
        <v>0</v>
      </c>
      <c r="L287" s="1014">
        <v>0</v>
      </c>
    </row>
    <row r="288" spans="1:12" s="402" customFormat="1" x14ac:dyDescent="0.3">
      <c r="A288" s="990">
        <v>629</v>
      </c>
      <c r="B288" s="990"/>
      <c r="C288" s="992">
        <v>629</v>
      </c>
      <c r="D288" s="1015" t="s">
        <v>430</v>
      </c>
      <c r="E288" s="990"/>
      <c r="F288" s="1014">
        <v>0</v>
      </c>
      <c r="G288" s="1014">
        <v>0</v>
      </c>
      <c r="H288" s="1014">
        <v>0</v>
      </c>
      <c r="I288" s="1014">
        <v>0</v>
      </c>
      <c r="J288" s="1014">
        <v>0</v>
      </c>
      <c r="K288" s="1014">
        <v>0</v>
      </c>
      <c r="L288" s="1014">
        <v>0</v>
      </c>
    </row>
    <row r="289" spans="1:12" s="402" customFormat="1" ht="28.8" x14ac:dyDescent="0.3">
      <c r="A289" s="990">
        <v>630</v>
      </c>
      <c r="B289" s="998"/>
      <c r="C289" s="992">
        <v>630</v>
      </c>
      <c r="D289" s="1015" t="s">
        <v>429</v>
      </c>
      <c r="E289" s="990"/>
      <c r="F289" s="1014">
        <v>0</v>
      </c>
      <c r="G289" s="1014">
        <v>0</v>
      </c>
      <c r="H289" s="1014">
        <v>0</v>
      </c>
      <c r="I289" s="1014">
        <v>0</v>
      </c>
      <c r="J289" s="1014">
        <v>0</v>
      </c>
      <c r="K289" s="1014">
        <v>0</v>
      </c>
      <c r="L289" s="1014">
        <v>0</v>
      </c>
    </row>
    <row r="290" spans="1:12" s="402" customFormat="1" x14ac:dyDescent="0.3">
      <c r="A290" s="990">
        <v>631</v>
      </c>
      <c r="B290" s="998"/>
      <c r="C290" s="992">
        <v>631</v>
      </c>
      <c r="D290" s="1015" t="s">
        <v>428</v>
      </c>
      <c r="E290" s="990"/>
      <c r="F290" s="1014">
        <v>0</v>
      </c>
      <c r="G290" s="1014">
        <v>0</v>
      </c>
      <c r="H290" s="1014">
        <v>0</v>
      </c>
      <c r="I290" s="1014">
        <v>0</v>
      </c>
      <c r="J290" s="1014">
        <v>0</v>
      </c>
      <c r="K290" s="1014">
        <v>0</v>
      </c>
      <c r="L290" s="1014">
        <v>0</v>
      </c>
    </row>
    <row r="291" spans="1:12" s="402" customFormat="1" x14ac:dyDescent="0.3">
      <c r="A291" s="990">
        <v>632</v>
      </c>
      <c r="B291" s="998"/>
      <c r="C291" s="992">
        <v>632</v>
      </c>
      <c r="D291" s="1015" t="s">
        <v>427</v>
      </c>
      <c r="E291" s="990"/>
      <c r="F291" s="1014">
        <v>0</v>
      </c>
      <c r="G291" s="1014">
        <v>0</v>
      </c>
      <c r="H291" s="1014">
        <v>0</v>
      </c>
      <c r="I291" s="1014">
        <v>0</v>
      </c>
      <c r="J291" s="1014">
        <v>0</v>
      </c>
      <c r="K291" s="1014">
        <v>0</v>
      </c>
      <c r="L291" s="1014">
        <v>0</v>
      </c>
    </row>
    <row r="292" spans="1:12" s="402" customFormat="1" ht="28.8" x14ac:dyDescent="0.3">
      <c r="A292" s="990">
        <v>633</v>
      </c>
      <c r="B292" s="998"/>
      <c r="C292" s="992">
        <v>633</v>
      </c>
      <c r="D292" s="1015" t="s">
        <v>435</v>
      </c>
      <c r="E292" s="990"/>
      <c r="F292" s="1014">
        <v>0</v>
      </c>
      <c r="G292" s="1014">
        <v>0</v>
      </c>
      <c r="H292" s="1014">
        <v>0</v>
      </c>
      <c r="I292" s="1014">
        <v>0</v>
      </c>
      <c r="J292" s="1014">
        <v>0</v>
      </c>
      <c r="K292" s="1014">
        <v>0</v>
      </c>
      <c r="L292" s="1014">
        <v>0</v>
      </c>
    </row>
    <row r="293" spans="1:12" s="402" customFormat="1" ht="28.8" x14ac:dyDescent="0.3">
      <c r="A293" s="990">
        <v>634</v>
      </c>
      <c r="B293" s="998"/>
      <c r="C293" s="992">
        <v>634</v>
      </c>
      <c r="D293" s="1015" t="s">
        <v>436</v>
      </c>
      <c r="E293" s="990"/>
      <c r="F293" s="1014">
        <v>0</v>
      </c>
      <c r="G293" s="1014">
        <v>0</v>
      </c>
      <c r="H293" s="1014">
        <v>0</v>
      </c>
      <c r="I293" s="1014">
        <v>0</v>
      </c>
      <c r="J293" s="1014">
        <v>0</v>
      </c>
      <c r="K293" s="1014">
        <v>0</v>
      </c>
      <c r="L293" s="1014">
        <v>0</v>
      </c>
    </row>
    <row r="294" spans="1:12" s="402" customFormat="1" ht="28.8" x14ac:dyDescent="0.3">
      <c r="A294" s="990">
        <v>635</v>
      </c>
      <c r="B294" s="998"/>
      <c r="C294" s="992">
        <v>635</v>
      </c>
      <c r="D294" s="1015" t="s">
        <v>437</v>
      </c>
      <c r="E294" s="990"/>
      <c r="F294" s="1014">
        <v>0</v>
      </c>
      <c r="G294" s="1014">
        <v>0</v>
      </c>
      <c r="H294" s="1014">
        <v>0</v>
      </c>
      <c r="I294" s="1014">
        <v>0</v>
      </c>
      <c r="J294" s="1014">
        <v>0</v>
      </c>
      <c r="K294" s="1014">
        <v>0</v>
      </c>
      <c r="L294" s="1014">
        <v>0</v>
      </c>
    </row>
    <row r="295" spans="1:12" s="402" customFormat="1" ht="28.8" x14ac:dyDescent="0.3">
      <c r="A295" s="990">
        <v>636</v>
      </c>
      <c r="B295" s="998"/>
      <c r="C295" s="992">
        <v>636</v>
      </c>
      <c r="D295" s="1015" t="s">
        <v>432</v>
      </c>
      <c r="E295" s="990"/>
      <c r="F295" s="1014">
        <v>0</v>
      </c>
      <c r="G295" s="1014">
        <v>0</v>
      </c>
      <c r="H295" s="1014">
        <v>0</v>
      </c>
      <c r="I295" s="1014">
        <v>0</v>
      </c>
      <c r="J295" s="1014">
        <v>0</v>
      </c>
      <c r="K295" s="1014">
        <v>0</v>
      </c>
      <c r="L295" s="1014">
        <v>0</v>
      </c>
    </row>
    <row r="296" spans="1:12" s="402" customFormat="1" ht="28.8" x14ac:dyDescent="0.3">
      <c r="A296" s="990">
        <v>637</v>
      </c>
      <c r="B296" s="998"/>
      <c r="C296" s="992">
        <v>637</v>
      </c>
      <c r="D296" s="1015" t="s">
        <v>433</v>
      </c>
      <c r="E296" s="990"/>
      <c r="F296" s="1014">
        <v>0</v>
      </c>
      <c r="G296" s="1014">
        <v>0</v>
      </c>
      <c r="H296" s="1014">
        <v>0</v>
      </c>
      <c r="I296" s="1014">
        <v>0</v>
      </c>
      <c r="J296" s="1014">
        <v>0</v>
      </c>
      <c r="K296" s="1014">
        <v>0</v>
      </c>
      <c r="L296" s="1014">
        <v>0</v>
      </c>
    </row>
    <row r="297" spans="1:12" s="402" customFormat="1" x14ac:dyDescent="0.3">
      <c r="A297" s="990">
        <v>638</v>
      </c>
      <c r="B297" s="998"/>
      <c r="C297" s="992">
        <v>638</v>
      </c>
      <c r="D297" s="1015" t="s">
        <v>438</v>
      </c>
      <c r="E297" s="990"/>
      <c r="F297" s="1014">
        <v>0</v>
      </c>
      <c r="G297" s="1014">
        <v>0</v>
      </c>
      <c r="H297" s="1014">
        <v>0</v>
      </c>
      <c r="I297" s="1014">
        <v>0</v>
      </c>
      <c r="J297" s="1014">
        <v>0</v>
      </c>
      <c r="K297" s="1014">
        <v>0</v>
      </c>
      <c r="L297" s="1014">
        <v>0</v>
      </c>
    </row>
    <row r="298" spans="1:12" s="402" customFormat="1" ht="28.8" x14ac:dyDescent="0.3">
      <c r="A298" s="990">
        <v>639</v>
      </c>
      <c r="B298" s="998"/>
      <c r="C298" s="992">
        <v>639</v>
      </c>
      <c r="D298" s="1015" t="s">
        <v>439</v>
      </c>
      <c r="E298" s="990"/>
      <c r="F298" s="1014">
        <v>0</v>
      </c>
      <c r="G298" s="1014">
        <v>0</v>
      </c>
      <c r="H298" s="1014">
        <v>0</v>
      </c>
      <c r="I298" s="1014">
        <v>0</v>
      </c>
      <c r="J298" s="1014">
        <v>0</v>
      </c>
      <c r="K298" s="1014">
        <v>0</v>
      </c>
      <c r="L298" s="1014">
        <v>0</v>
      </c>
    </row>
    <row r="299" spans="1:12" s="402" customFormat="1" ht="28.8" x14ac:dyDescent="0.3">
      <c r="A299" s="990">
        <v>640</v>
      </c>
      <c r="B299" s="990"/>
      <c r="C299" s="992">
        <v>640</v>
      </c>
      <c r="D299" s="1015" t="s">
        <v>440</v>
      </c>
      <c r="E299" s="990"/>
      <c r="F299" s="1014">
        <v>0</v>
      </c>
      <c r="G299" s="1014">
        <v>0</v>
      </c>
      <c r="H299" s="1014">
        <v>0</v>
      </c>
      <c r="I299" s="1014">
        <v>0</v>
      </c>
      <c r="J299" s="1014">
        <v>0</v>
      </c>
      <c r="K299" s="1014">
        <v>0</v>
      </c>
      <c r="L299" s="1014">
        <v>0</v>
      </c>
    </row>
    <row r="300" spans="1:12" s="402" customFormat="1" ht="28.8" x14ac:dyDescent="0.3">
      <c r="A300" s="990">
        <v>641</v>
      </c>
      <c r="B300" s="990"/>
      <c r="C300" s="992">
        <v>641</v>
      </c>
      <c r="D300" s="1015" t="s">
        <v>441</v>
      </c>
      <c r="E300" s="990"/>
      <c r="F300" s="1014">
        <v>0</v>
      </c>
      <c r="G300" s="1014">
        <v>0</v>
      </c>
      <c r="H300" s="1014">
        <v>0</v>
      </c>
      <c r="I300" s="1014">
        <v>0</v>
      </c>
      <c r="J300" s="1014">
        <v>0</v>
      </c>
      <c r="K300" s="1014">
        <v>0</v>
      </c>
      <c r="L300" s="1014">
        <v>0</v>
      </c>
    </row>
    <row r="301" spans="1:12" s="402" customFormat="1" ht="28.8" x14ac:dyDescent="0.3">
      <c r="A301" s="990">
        <v>642</v>
      </c>
      <c r="B301" s="990"/>
      <c r="C301" s="992">
        <v>642</v>
      </c>
      <c r="D301" s="1015" t="s">
        <v>442</v>
      </c>
      <c r="E301" s="990"/>
      <c r="F301" s="1014">
        <v>0</v>
      </c>
      <c r="G301" s="1014">
        <v>0</v>
      </c>
      <c r="H301" s="1014">
        <v>0</v>
      </c>
      <c r="I301" s="1014">
        <v>0</v>
      </c>
      <c r="J301" s="1014">
        <v>0</v>
      </c>
      <c r="K301" s="1014">
        <v>0</v>
      </c>
      <c r="L301" s="1014">
        <v>0</v>
      </c>
    </row>
    <row r="302" spans="1:12" s="402" customFormat="1" ht="28.8" x14ac:dyDescent="0.3">
      <c r="A302" s="990">
        <v>643</v>
      </c>
      <c r="B302" s="990"/>
      <c r="C302" s="992">
        <v>643</v>
      </c>
      <c r="D302" s="1015" t="s">
        <v>443</v>
      </c>
      <c r="E302" s="990"/>
      <c r="F302" s="1014">
        <v>0</v>
      </c>
      <c r="G302" s="1014">
        <v>0</v>
      </c>
      <c r="H302" s="1014">
        <v>0</v>
      </c>
      <c r="I302" s="1014">
        <v>0</v>
      </c>
      <c r="J302" s="1014">
        <v>0</v>
      </c>
      <c r="K302" s="1014">
        <v>0</v>
      </c>
      <c r="L302" s="1014">
        <v>0</v>
      </c>
    </row>
    <row r="303" spans="1:12" s="402" customFormat="1" x14ac:dyDescent="0.3">
      <c r="A303" s="990">
        <v>644</v>
      </c>
      <c r="B303" s="990"/>
      <c r="C303" s="992">
        <v>644</v>
      </c>
      <c r="D303" s="1015" t="s">
        <v>444</v>
      </c>
      <c r="E303" s="990"/>
      <c r="F303" s="1014">
        <v>0</v>
      </c>
      <c r="G303" s="1014">
        <v>0</v>
      </c>
      <c r="H303" s="1014">
        <v>0</v>
      </c>
      <c r="I303" s="1014">
        <v>0</v>
      </c>
      <c r="J303" s="1014">
        <v>0</v>
      </c>
      <c r="K303" s="1014">
        <v>0</v>
      </c>
      <c r="L303" s="1014">
        <v>0</v>
      </c>
    </row>
    <row r="304" spans="1:12" s="402" customFormat="1" x14ac:dyDescent="0.3">
      <c r="A304" s="990">
        <v>645</v>
      </c>
      <c r="B304" s="990"/>
      <c r="C304" s="992">
        <v>645</v>
      </c>
      <c r="D304" s="1015" t="s">
        <v>445</v>
      </c>
      <c r="E304" s="990"/>
      <c r="F304" s="1014">
        <v>0</v>
      </c>
      <c r="G304" s="1014">
        <v>0</v>
      </c>
      <c r="H304" s="1014">
        <v>0</v>
      </c>
      <c r="I304" s="1014">
        <v>0</v>
      </c>
      <c r="J304" s="1014">
        <v>0</v>
      </c>
      <c r="K304" s="1014">
        <v>0</v>
      </c>
      <c r="L304" s="1014">
        <v>0</v>
      </c>
    </row>
    <row r="305" spans="1:12" s="402" customFormat="1" x14ac:dyDescent="0.3">
      <c r="A305" s="990">
        <v>646</v>
      </c>
      <c r="B305" s="998"/>
      <c r="C305" s="992">
        <v>646</v>
      </c>
      <c r="D305" s="1015" t="s">
        <v>446</v>
      </c>
      <c r="E305" s="990"/>
      <c r="F305" s="1014">
        <v>0</v>
      </c>
      <c r="G305" s="1014">
        <v>0</v>
      </c>
      <c r="H305" s="1014">
        <v>0</v>
      </c>
      <c r="I305" s="1014">
        <v>0</v>
      </c>
      <c r="J305" s="1014">
        <v>0</v>
      </c>
      <c r="K305" s="1014">
        <v>0</v>
      </c>
      <c r="L305" s="1014">
        <v>0</v>
      </c>
    </row>
    <row r="306" spans="1:12" s="402" customFormat="1" x14ac:dyDescent="0.3">
      <c r="A306" s="990">
        <v>647</v>
      </c>
      <c r="B306" s="998"/>
      <c r="C306" s="992">
        <v>647</v>
      </c>
      <c r="D306" s="1015" t="s">
        <v>447</v>
      </c>
      <c r="E306" s="990"/>
      <c r="F306" s="1014">
        <v>0</v>
      </c>
      <c r="G306" s="1014">
        <v>0</v>
      </c>
      <c r="H306" s="1014">
        <v>0</v>
      </c>
      <c r="I306" s="1014">
        <v>0</v>
      </c>
      <c r="J306" s="1014">
        <v>0</v>
      </c>
      <c r="K306" s="1014">
        <v>0</v>
      </c>
      <c r="L306" s="1014">
        <v>0</v>
      </c>
    </row>
    <row r="307" spans="1:12" s="402" customFormat="1" ht="28.8" x14ac:dyDescent="0.3">
      <c r="A307" s="990">
        <v>654</v>
      </c>
      <c r="B307" s="998"/>
      <c r="C307" s="992">
        <v>654</v>
      </c>
      <c r="D307" s="1015" t="s">
        <v>502</v>
      </c>
      <c r="E307" s="990"/>
      <c r="F307" s="1014">
        <v>0</v>
      </c>
      <c r="G307" s="1014">
        <v>0</v>
      </c>
      <c r="H307" s="1014">
        <v>0</v>
      </c>
      <c r="I307" s="1014">
        <v>0</v>
      </c>
      <c r="J307" s="1014">
        <v>0</v>
      </c>
      <c r="K307" s="1014">
        <v>0</v>
      </c>
      <c r="L307" s="1014">
        <v>0</v>
      </c>
    </row>
    <row r="308" spans="1:12" s="402" customFormat="1" ht="28.8" x14ac:dyDescent="0.3">
      <c r="A308" s="990">
        <v>655</v>
      </c>
      <c r="B308" s="998"/>
      <c r="C308" s="992">
        <v>655</v>
      </c>
      <c r="D308" s="1015" t="s">
        <v>545</v>
      </c>
      <c r="E308" s="990"/>
      <c r="F308" s="1014">
        <v>0</v>
      </c>
      <c r="G308" s="1014">
        <v>0</v>
      </c>
      <c r="H308" s="1014">
        <v>0</v>
      </c>
      <c r="I308" s="1014">
        <v>0</v>
      </c>
      <c r="J308" s="1014">
        <v>0</v>
      </c>
      <c r="K308" s="1014">
        <v>0</v>
      </c>
      <c r="L308" s="1014">
        <v>0</v>
      </c>
    </row>
    <row r="309" spans="1:12" s="402" customFormat="1" ht="43.2" x14ac:dyDescent="0.3">
      <c r="A309" s="990">
        <v>656</v>
      </c>
      <c r="B309" s="998"/>
      <c r="C309" s="992">
        <v>656</v>
      </c>
      <c r="D309" s="1015" t="s">
        <v>510</v>
      </c>
      <c r="E309" s="990"/>
      <c r="F309" s="1014">
        <v>0</v>
      </c>
      <c r="G309" s="1014">
        <v>0</v>
      </c>
      <c r="H309" s="1014">
        <v>0</v>
      </c>
      <c r="I309" s="1014">
        <v>0</v>
      </c>
      <c r="J309" s="1014">
        <v>0</v>
      </c>
      <c r="K309" s="1014">
        <v>0</v>
      </c>
      <c r="L309" s="1014">
        <v>0</v>
      </c>
    </row>
    <row r="310" spans="1:12" s="402" customFormat="1" ht="43.2" x14ac:dyDescent="0.3">
      <c r="A310" s="990">
        <v>657</v>
      </c>
      <c r="B310" s="998"/>
      <c r="C310" s="992">
        <v>657</v>
      </c>
      <c r="D310" s="1015" t="s">
        <v>507</v>
      </c>
      <c r="E310" s="990"/>
      <c r="F310" s="1014">
        <v>0</v>
      </c>
      <c r="G310" s="1014">
        <v>0</v>
      </c>
      <c r="H310" s="1014">
        <v>0</v>
      </c>
      <c r="I310" s="1014">
        <v>0</v>
      </c>
      <c r="J310" s="1014">
        <v>0</v>
      </c>
      <c r="K310" s="1014">
        <v>0</v>
      </c>
      <c r="L310" s="1014">
        <v>0</v>
      </c>
    </row>
    <row r="311" spans="1:12" s="402" customFormat="1" ht="43.2" x14ac:dyDescent="0.3">
      <c r="A311" s="990">
        <v>658</v>
      </c>
      <c r="B311" s="998"/>
      <c r="C311" s="992">
        <v>658</v>
      </c>
      <c r="D311" s="1015" t="s">
        <v>544</v>
      </c>
      <c r="E311" s="990"/>
      <c r="F311" s="1014">
        <v>0</v>
      </c>
      <c r="G311" s="1014">
        <v>0</v>
      </c>
      <c r="H311" s="1014">
        <v>0</v>
      </c>
      <c r="I311" s="1014">
        <v>0</v>
      </c>
      <c r="J311" s="1014">
        <v>0</v>
      </c>
      <c r="K311" s="1014">
        <v>0</v>
      </c>
      <c r="L311" s="1014">
        <v>0</v>
      </c>
    </row>
    <row r="312" spans="1:12" s="402" customFormat="1" ht="28.8" x14ac:dyDescent="0.3">
      <c r="A312" s="990">
        <v>659</v>
      </c>
      <c r="B312" s="992">
        <v>659</v>
      </c>
      <c r="C312" s="992">
        <v>659</v>
      </c>
      <c r="D312" s="1015" t="s">
        <v>505</v>
      </c>
      <c r="E312" s="990"/>
      <c r="F312" s="1014">
        <v>0</v>
      </c>
      <c r="G312" s="1014">
        <v>0</v>
      </c>
      <c r="H312" s="1014">
        <v>31318000</v>
      </c>
      <c r="I312" s="1014">
        <v>4278396</v>
      </c>
      <c r="J312" s="1014">
        <v>1828300</v>
      </c>
      <c r="K312" s="1014">
        <v>-2928988</v>
      </c>
      <c r="L312" s="1014">
        <v>2150000</v>
      </c>
    </row>
    <row r="313" spans="1:12" s="402" customFormat="1" ht="43.2" x14ac:dyDescent="0.3">
      <c r="A313" s="990">
        <v>660</v>
      </c>
      <c r="B313" s="992">
        <v>660</v>
      </c>
      <c r="C313" s="992">
        <v>660</v>
      </c>
      <c r="D313" s="1015" t="s">
        <v>506</v>
      </c>
      <c r="E313" s="990"/>
      <c r="F313" s="1014">
        <v>0</v>
      </c>
      <c r="G313" s="1014">
        <v>0</v>
      </c>
      <c r="H313" s="1014">
        <v>26250000</v>
      </c>
      <c r="I313" s="1014">
        <v>3817385</v>
      </c>
      <c r="J313" s="1014">
        <v>0</v>
      </c>
      <c r="K313" s="1014">
        <v>16046321</v>
      </c>
      <c r="L313" s="1014">
        <v>0</v>
      </c>
    </row>
    <row r="314" spans="1:12" s="402" customFormat="1" ht="28.8" x14ac:dyDescent="0.3">
      <c r="A314" s="990">
        <v>661</v>
      </c>
      <c r="B314" s="992">
        <v>661</v>
      </c>
      <c r="C314" s="992">
        <v>661</v>
      </c>
      <c r="D314" s="1015" t="s">
        <v>509</v>
      </c>
      <c r="E314" s="990"/>
      <c r="F314" s="1014">
        <v>0</v>
      </c>
      <c r="G314" s="1014">
        <v>0</v>
      </c>
      <c r="H314" s="1014">
        <v>83.8</v>
      </c>
      <c r="I314" s="1014">
        <v>89.2</v>
      </c>
      <c r="J314" s="1014">
        <v>0</v>
      </c>
      <c r="K314" s="1014">
        <v>5.5</v>
      </c>
      <c r="L314" s="1014">
        <v>0</v>
      </c>
    </row>
    <row r="315" spans="1:12" s="402" customFormat="1" ht="28.8" x14ac:dyDescent="0.3">
      <c r="A315" s="990">
        <v>662</v>
      </c>
      <c r="B315" s="992">
        <v>662</v>
      </c>
      <c r="C315" s="992">
        <v>662</v>
      </c>
      <c r="D315" s="1016" t="s">
        <v>548</v>
      </c>
      <c r="E315" s="990"/>
      <c r="F315" s="1014">
        <v>0</v>
      </c>
      <c r="G315" s="1014">
        <v>0</v>
      </c>
      <c r="H315" s="1014">
        <v>0</v>
      </c>
      <c r="I315" s="1014">
        <v>0</v>
      </c>
      <c r="J315" s="1014">
        <v>0</v>
      </c>
      <c r="K315" s="1014">
        <v>0</v>
      </c>
      <c r="L315" s="1014">
        <v>0</v>
      </c>
    </row>
    <row r="316" spans="1:12" s="402" customFormat="1" ht="28.8" x14ac:dyDescent="0.3">
      <c r="A316" s="990">
        <v>663</v>
      </c>
      <c r="B316" s="992">
        <v>663</v>
      </c>
      <c r="C316" s="992">
        <v>663</v>
      </c>
      <c r="D316" s="1016" t="s">
        <v>549</v>
      </c>
      <c r="E316" s="990"/>
      <c r="F316" s="1014">
        <v>0</v>
      </c>
      <c r="G316" s="1014">
        <v>0</v>
      </c>
      <c r="H316" s="1014">
        <v>0</v>
      </c>
      <c r="I316" s="1014">
        <v>0</v>
      </c>
      <c r="J316" s="1014">
        <v>0</v>
      </c>
      <c r="K316" s="1014">
        <v>0</v>
      </c>
      <c r="L316" s="1014">
        <v>0</v>
      </c>
    </row>
    <row r="317" spans="1:12" s="402" customFormat="1" ht="28.8" x14ac:dyDescent="0.3">
      <c r="A317" s="990">
        <v>906</v>
      </c>
      <c r="B317" s="998"/>
      <c r="C317" s="992" t="s">
        <v>1422</v>
      </c>
      <c r="D317" s="1017" t="s">
        <v>599</v>
      </c>
      <c r="E317" s="990"/>
      <c r="F317" s="1014">
        <v>1</v>
      </c>
      <c r="G317" s="1014">
        <v>1</v>
      </c>
      <c r="H317" s="1014">
        <v>1</v>
      </c>
      <c r="I317" s="1014">
        <v>1</v>
      </c>
      <c r="J317" s="1014">
        <v>1</v>
      </c>
      <c r="K317" s="1014">
        <v>1</v>
      </c>
      <c r="L317" s="1014">
        <v>1</v>
      </c>
    </row>
    <row r="318" spans="1:12" s="402" customFormat="1" ht="28.8" x14ac:dyDescent="0.3">
      <c r="A318" s="990">
        <v>907</v>
      </c>
      <c r="B318" s="998"/>
      <c r="C318" s="992" t="s">
        <v>1422</v>
      </c>
      <c r="D318" s="1017" t="s">
        <v>600</v>
      </c>
      <c r="E318" s="990"/>
      <c r="F318" s="1014">
        <v>2</v>
      </c>
      <c r="G318" s="1014">
        <v>2</v>
      </c>
      <c r="H318" s="1014">
        <v>2</v>
      </c>
      <c r="I318" s="1014">
        <v>2</v>
      </c>
      <c r="J318" s="1014">
        <v>2</v>
      </c>
      <c r="K318" s="1014">
        <v>2</v>
      </c>
      <c r="L318" s="1014">
        <v>2</v>
      </c>
    </row>
    <row r="319" spans="1:12" s="402" customFormat="1" ht="28.8" x14ac:dyDescent="0.3">
      <c r="A319" s="990">
        <v>951</v>
      </c>
      <c r="B319" s="998"/>
      <c r="C319" s="992" t="s">
        <v>1422</v>
      </c>
      <c r="D319" s="1017" t="s">
        <v>601</v>
      </c>
      <c r="E319" s="990"/>
      <c r="F319" s="1014">
        <v>2</v>
      </c>
      <c r="G319" s="1014">
        <v>2</v>
      </c>
      <c r="H319" s="1014">
        <v>2</v>
      </c>
      <c r="I319" s="1014">
        <v>2</v>
      </c>
      <c r="J319" s="1014">
        <v>2</v>
      </c>
      <c r="K319" s="1014">
        <v>2</v>
      </c>
      <c r="L319" s="1014">
        <v>2</v>
      </c>
    </row>
    <row r="320" spans="1:12" s="402" customFormat="1" ht="28.8" x14ac:dyDescent="0.3">
      <c r="A320" s="990">
        <v>953</v>
      </c>
      <c r="B320" s="998"/>
      <c r="C320" s="992" t="s">
        <v>1422</v>
      </c>
      <c r="D320" s="1017" t="s">
        <v>602</v>
      </c>
      <c r="E320" s="990"/>
      <c r="F320" s="1014">
        <v>2</v>
      </c>
      <c r="G320" s="1014">
        <v>2</v>
      </c>
      <c r="H320" s="1014">
        <v>2</v>
      </c>
      <c r="I320" s="1014">
        <v>2</v>
      </c>
      <c r="J320" s="1014">
        <v>2</v>
      </c>
      <c r="K320" s="1014">
        <v>2</v>
      </c>
      <c r="L320" s="1014">
        <v>2</v>
      </c>
    </row>
    <row r="321" spans="1:12" s="402" customFormat="1" ht="28.8" x14ac:dyDescent="0.3">
      <c r="A321" s="990">
        <v>955</v>
      </c>
      <c r="B321" s="998"/>
      <c r="C321" s="992" t="s">
        <v>1422</v>
      </c>
      <c r="D321" s="1017" t="s">
        <v>612</v>
      </c>
      <c r="E321" s="990"/>
      <c r="F321" s="1014">
        <v>0</v>
      </c>
      <c r="G321" s="1014">
        <v>0</v>
      </c>
      <c r="H321" s="1014">
        <v>0</v>
      </c>
      <c r="I321" s="1014">
        <v>0</v>
      </c>
      <c r="J321" s="1014">
        <v>0</v>
      </c>
      <c r="K321" s="1014">
        <v>0</v>
      </c>
      <c r="L321" s="1014">
        <v>0</v>
      </c>
    </row>
    <row r="322" spans="1:12" s="402" customFormat="1" ht="28.8" x14ac:dyDescent="0.3">
      <c r="A322" s="990">
        <v>957</v>
      </c>
      <c r="B322" s="998"/>
      <c r="C322" s="992" t="s">
        <v>1422</v>
      </c>
      <c r="D322" s="1017" t="s">
        <v>613</v>
      </c>
      <c r="E322" s="990"/>
      <c r="F322" s="1014">
        <v>0</v>
      </c>
      <c r="G322" s="1014">
        <v>0</v>
      </c>
      <c r="H322" s="1014">
        <v>0</v>
      </c>
      <c r="I322" s="1014">
        <v>0</v>
      </c>
      <c r="J322" s="1014">
        <v>0</v>
      </c>
      <c r="K322" s="1014">
        <v>0</v>
      </c>
      <c r="L322" s="1014">
        <v>0</v>
      </c>
    </row>
    <row r="323" spans="1:12" s="402" customFormat="1" ht="57.6" x14ac:dyDescent="0.3">
      <c r="A323" s="990">
        <v>959</v>
      </c>
      <c r="B323" s="998"/>
      <c r="C323" s="992" t="s">
        <v>1422</v>
      </c>
      <c r="D323" s="1017" t="s">
        <v>603</v>
      </c>
      <c r="E323" s="990"/>
      <c r="F323" s="1014">
        <v>2</v>
      </c>
      <c r="G323" s="1014">
        <v>2</v>
      </c>
      <c r="H323" s="1014">
        <v>2</v>
      </c>
      <c r="I323" s="1014">
        <v>2</v>
      </c>
      <c r="J323" s="1014">
        <v>3</v>
      </c>
      <c r="K323" s="1014">
        <v>2</v>
      </c>
      <c r="L323" s="1014">
        <v>2</v>
      </c>
    </row>
    <row r="324" spans="1:12" s="402" customFormat="1" ht="57.6" x14ac:dyDescent="0.3">
      <c r="A324" s="990">
        <v>961</v>
      </c>
      <c r="B324" s="998"/>
      <c r="C324" s="992" t="s">
        <v>1422</v>
      </c>
      <c r="D324" s="1017" t="s">
        <v>604</v>
      </c>
      <c r="E324" s="990"/>
      <c r="F324" s="1014">
        <v>2</v>
      </c>
      <c r="G324" s="1014">
        <v>2</v>
      </c>
      <c r="H324" s="1014">
        <v>3</v>
      </c>
      <c r="I324" s="1014">
        <v>3</v>
      </c>
      <c r="J324" s="1014">
        <v>3</v>
      </c>
      <c r="K324" s="1014">
        <v>2</v>
      </c>
      <c r="L324" s="1014">
        <v>3</v>
      </c>
    </row>
    <row r="325" spans="1:12" s="402" customFormat="1" x14ac:dyDescent="0.3">
      <c r="A325" s="990">
        <v>963</v>
      </c>
      <c r="B325" s="998"/>
      <c r="C325" s="992" t="s">
        <v>1422</v>
      </c>
      <c r="D325" s="1017" t="s">
        <v>605</v>
      </c>
      <c r="E325" s="990"/>
      <c r="F325" s="1014">
        <v>1</v>
      </c>
      <c r="G325" s="1014">
        <v>1</v>
      </c>
      <c r="H325" s="1014">
        <v>3</v>
      </c>
      <c r="I325" s="1014">
        <v>3</v>
      </c>
      <c r="J325" s="1014">
        <v>3</v>
      </c>
      <c r="K325" s="1014">
        <v>3</v>
      </c>
      <c r="L325" s="1014">
        <v>3</v>
      </c>
    </row>
    <row r="326" spans="1:12" s="402" customFormat="1" ht="28.8" x14ac:dyDescent="0.3">
      <c r="A326" s="990">
        <v>965</v>
      </c>
      <c r="B326" s="998"/>
      <c r="C326" s="992" t="s">
        <v>1422</v>
      </c>
      <c r="D326" s="1017" t="s">
        <v>606</v>
      </c>
      <c r="E326" s="990"/>
      <c r="F326" s="1014">
        <v>1</v>
      </c>
      <c r="G326" s="1014">
        <v>1</v>
      </c>
      <c r="H326" s="1014">
        <v>1</v>
      </c>
      <c r="I326" s="1014">
        <v>1</v>
      </c>
      <c r="J326" s="1014">
        <v>1</v>
      </c>
      <c r="K326" s="1014">
        <v>1</v>
      </c>
      <c r="L326" s="1014">
        <v>1</v>
      </c>
    </row>
    <row r="327" spans="1:12" s="402" customFormat="1" ht="28.8" x14ac:dyDescent="0.3">
      <c r="A327" s="990">
        <v>603</v>
      </c>
      <c r="B327" s="998"/>
      <c r="C327" s="992" t="s">
        <v>1423</v>
      </c>
      <c r="D327" s="1017" t="s">
        <v>611</v>
      </c>
      <c r="E327" s="990"/>
      <c r="F327" s="1014">
        <v>0</v>
      </c>
      <c r="G327" s="1014">
        <v>1</v>
      </c>
      <c r="H327" s="1014">
        <v>0</v>
      </c>
      <c r="I327" s="1014">
        <v>0</v>
      </c>
      <c r="J327" s="1014">
        <v>0</v>
      </c>
      <c r="K327" s="1014">
        <v>0</v>
      </c>
      <c r="L327" s="1014">
        <v>0</v>
      </c>
    </row>
    <row r="328" spans="1:12" s="402" customFormat="1" x14ac:dyDescent="0.3">
      <c r="A328" s="990">
        <v>929</v>
      </c>
      <c r="B328" s="998"/>
      <c r="C328" s="992" t="s">
        <v>1423</v>
      </c>
      <c r="D328" s="1017" t="s">
        <v>607</v>
      </c>
      <c r="E328" s="990"/>
      <c r="F328" s="1014">
        <v>0</v>
      </c>
      <c r="G328" s="1014">
        <v>2</v>
      </c>
      <c r="H328" s="1014">
        <v>0</v>
      </c>
      <c r="I328" s="1014">
        <v>0</v>
      </c>
      <c r="J328" s="1014">
        <v>0</v>
      </c>
      <c r="K328" s="1014">
        <v>0</v>
      </c>
      <c r="L328" s="1014">
        <v>0</v>
      </c>
    </row>
    <row r="329" spans="1:12" s="402" customFormat="1" x14ac:dyDescent="0.3">
      <c r="A329" s="990">
        <v>930</v>
      </c>
      <c r="B329" s="998"/>
      <c r="C329" s="992" t="s">
        <v>1423</v>
      </c>
      <c r="D329" s="1017" t="s">
        <v>608</v>
      </c>
      <c r="E329" s="990"/>
      <c r="F329" s="1014">
        <v>0</v>
      </c>
      <c r="G329" s="1014">
        <v>1</v>
      </c>
      <c r="H329" s="1014">
        <v>0</v>
      </c>
      <c r="I329" s="1014">
        <v>0</v>
      </c>
      <c r="J329" s="1014">
        <v>0</v>
      </c>
      <c r="K329" s="1014">
        <v>0</v>
      </c>
      <c r="L329" s="1014">
        <v>0</v>
      </c>
    </row>
    <row r="330" spans="1:12" s="402" customFormat="1" x14ac:dyDescent="0.3">
      <c r="A330" s="990">
        <v>931</v>
      </c>
      <c r="B330" s="998"/>
      <c r="C330" s="992" t="s">
        <v>1423</v>
      </c>
      <c r="D330" s="1017" t="s">
        <v>609</v>
      </c>
      <c r="E330" s="990"/>
      <c r="F330" s="1014">
        <v>0</v>
      </c>
      <c r="G330" s="1014">
        <v>2</v>
      </c>
      <c r="H330" s="1014">
        <v>0</v>
      </c>
      <c r="I330" s="1014">
        <v>0</v>
      </c>
      <c r="J330" s="1014">
        <v>0</v>
      </c>
      <c r="K330" s="1014">
        <v>0</v>
      </c>
      <c r="L330" s="1014">
        <v>0</v>
      </c>
    </row>
    <row r="331" spans="1:12" s="402" customFormat="1" x14ac:dyDescent="0.3">
      <c r="A331" s="990">
        <v>932</v>
      </c>
      <c r="B331" s="998"/>
      <c r="C331" s="992" t="s">
        <v>1423</v>
      </c>
      <c r="D331" s="1017" t="s">
        <v>610</v>
      </c>
      <c r="E331" s="990"/>
      <c r="F331" s="1014">
        <v>0</v>
      </c>
      <c r="G331" s="1014">
        <v>2</v>
      </c>
      <c r="H331" s="1014">
        <v>0</v>
      </c>
      <c r="I331" s="1014">
        <v>0</v>
      </c>
      <c r="J331" s="1014">
        <v>0</v>
      </c>
      <c r="K331" s="1014">
        <v>0</v>
      </c>
      <c r="L331" s="1014">
        <v>0</v>
      </c>
    </row>
    <row r="332" spans="1:12" s="402" customFormat="1" x14ac:dyDescent="0.3">
      <c r="A332" s="990" t="s">
        <v>1424</v>
      </c>
      <c r="B332" s="998"/>
      <c r="C332" s="990"/>
      <c r="D332" s="1017"/>
      <c r="E332" s="990"/>
      <c r="F332" s="990"/>
      <c r="G332" s="990"/>
      <c r="H332" s="990"/>
      <c r="I332" s="990"/>
      <c r="J332" s="990"/>
      <c r="K332" s="990"/>
      <c r="L332" s="990"/>
    </row>
    <row r="333" spans="1:12" s="402" customFormat="1" x14ac:dyDescent="0.3">
      <c r="A333" s="990" t="s">
        <v>1424</v>
      </c>
      <c r="B333" s="998"/>
      <c r="C333" s="990"/>
      <c r="D333" s="990"/>
      <c r="E333" s="990"/>
      <c r="F333" s="990"/>
      <c r="G333" s="990"/>
      <c r="H333" s="990"/>
      <c r="I333" s="990"/>
      <c r="J333" s="990"/>
      <c r="K333" s="990"/>
      <c r="L333" s="990"/>
    </row>
    <row r="334" spans="1:12" s="402" customFormat="1" x14ac:dyDescent="0.3">
      <c r="A334" s="990"/>
      <c r="B334" s="992" t="s">
        <v>1425</v>
      </c>
      <c r="C334" s="990"/>
      <c r="D334" s="1018" t="s">
        <v>774</v>
      </c>
      <c r="E334" s="990"/>
      <c r="F334" s="1019">
        <v>0</v>
      </c>
      <c r="G334" s="1019">
        <v>0</v>
      </c>
      <c r="H334" s="1019">
        <v>0</v>
      </c>
      <c r="I334" s="1019">
        <v>0</v>
      </c>
      <c r="J334" s="1019">
        <v>0</v>
      </c>
      <c r="K334" s="1019">
        <v>0</v>
      </c>
      <c r="L334" s="990"/>
    </row>
    <row r="335" spans="1:12" s="402" customFormat="1" x14ac:dyDescent="0.3">
      <c r="A335" s="990"/>
      <c r="B335" s="990"/>
      <c r="C335" s="990"/>
      <c r="D335" s="1020"/>
      <c r="E335" s="990"/>
      <c r="F335" s="1021" t="b">
        <v>0</v>
      </c>
      <c r="G335" s="1021" t="b">
        <v>0</v>
      </c>
      <c r="H335" s="1021" t="b">
        <v>0</v>
      </c>
      <c r="I335" s="1021" t="b">
        <v>0</v>
      </c>
      <c r="J335" s="1021" t="b">
        <v>0</v>
      </c>
      <c r="K335" s="1021" t="b">
        <v>0</v>
      </c>
      <c r="L335" s="1019">
        <v>0</v>
      </c>
    </row>
    <row r="336" spans="1:12" s="405" customFormat="1" x14ac:dyDescent="0.3">
      <c r="A336" s="990"/>
      <c r="B336" s="990"/>
      <c r="C336" s="990"/>
      <c r="D336" s="1020"/>
      <c r="E336" s="990"/>
      <c r="F336" s="1021" t="b">
        <v>0</v>
      </c>
      <c r="G336" s="1021" t="b">
        <v>0</v>
      </c>
      <c r="H336" s="1021" t="b">
        <v>0</v>
      </c>
      <c r="I336" s="1021" t="b">
        <v>0</v>
      </c>
      <c r="J336" s="1021" t="b">
        <v>0</v>
      </c>
      <c r="K336" s="1021" t="b">
        <v>0</v>
      </c>
      <c r="L336" s="1021" t="b">
        <v>0</v>
      </c>
    </row>
    <row r="337" spans="2:12" s="402" customFormat="1" x14ac:dyDescent="0.3">
      <c r="B337" s="992" t="s">
        <v>775</v>
      </c>
      <c r="C337" s="990"/>
      <c r="D337" s="1022" t="s">
        <v>566</v>
      </c>
      <c r="E337" s="990"/>
      <c r="F337" s="990">
        <v>0</v>
      </c>
      <c r="G337" s="990">
        <v>0</v>
      </c>
      <c r="H337" s="990">
        <v>0</v>
      </c>
      <c r="I337" s="990">
        <v>0</v>
      </c>
      <c r="J337" s="990">
        <v>0</v>
      </c>
      <c r="K337" s="990">
        <v>0</v>
      </c>
      <c r="L337" s="1021" t="b">
        <v>0</v>
      </c>
    </row>
    <row r="338" spans="2:12" s="402" customFormat="1" x14ac:dyDescent="0.3">
      <c r="B338" s="992" t="s">
        <v>483</v>
      </c>
      <c r="C338" s="990"/>
      <c r="D338" s="1022" t="s">
        <v>488</v>
      </c>
      <c r="E338" s="990"/>
      <c r="F338" s="1019">
        <v>0</v>
      </c>
      <c r="G338" s="1019">
        <v>0</v>
      </c>
      <c r="H338" s="1019">
        <v>0</v>
      </c>
      <c r="I338" s="1019">
        <v>0</v>
      </c>
      <c r="J338" s="1019">
        <v>0</v>
      </c>
      <c r="K338" s="1019">
        <v>0</v>
      </c>
      <c r="L338" s="990">
        <v>0</v>
      </c>
    </row>
    <row r="339" spans="2:12" s="405" customFormat="1" x14ac:dyDescent="0.3">
      <c r="B339" s="992" t="s">
        <v>776</v>
      </c>
      <c r="C339" s="990"/>
      <c r="D339" s="1023" t="s">
        <v>565</v>
      </c>
      <c r="E339" s="990"/>
      <c r="F339" s="1024" t="e">
        <v>#DIV/0!</v>
      </c>
      <c r="G339" s="1024" t="e">
        <v>#DIV/0!</v>
      </c>
      <c r="H339" s="1024" t="e">
        <v>#DIV/0!</v>
      </c>
      <c r="I339" s="1024" t="e">
        <v>#DIV/0!</v>
      </c>
      <c r="J339" s="1024" t="e">
        <v>#DIV/0!</v>
      </c>
      <c r="K339" s="1024" t="e">
        <v>#DIV/0!</v>
      </c>
      <c r="L339" s="1019">
        <v>0</v>
      </c>
    </row>
    <row r="340" spans="2:12" s="402" customFormat="1" x14ac:dyDescent="0.3">
      <c r="B340" s="992" t="s">
        <v>484</v>
      </c>
      <c r="C340" s="990"/>
      <c r="D340" s="1025" t="s">
        <v>489</v>
      </c>
      <c r="E340" s="990"/>
      <c r="F340" s="1026">
        <v>0</v>
      </c>
      <c r="G340" s="1026">
        <v>0</v>
      </c>
      <c r="H340" s="1026">
        <v>0</v>
      </c>
      <c r="I340" s="1026">
        <v>0</v>
      </c>
      <c r="J340" s="1026">
        <v>0</v>
      </c>
      <c r="K340" s="1026">
        <v>0</v>
      </c>
      <c r="L340" s="1024" t="e">
        <v>#DIV/0!</v>
      </c>
    </row>
    <row r="341" spans="2:12" s="402" customFormat="1" x14ac:dyDescent="0.3">
      <c r="B341" s="992" t="s">
        <v>541</v>
      </c>
      <c r="C341" s="990"/>
      <c r="D341" s="1022" t="s">
        <v>485</v>
      </c>
      <c r="E341" s="990"/>
      <c r="F341" s="1026"/>
      <c r="G341" s="1026"/>
      <c r="H341" s="1026"/>
      <c r="I341" s="1026"/>
      <c r="J341" s="1026"/>
      <c r="K341" s="1026"/>
      <c r="L341" s="1026">
        <v>0</v>
      </c>
    </row>
    <row r="342" spans="2:12" s="402" customFormat="1" x14ac:dyDescent="0.3">
      <c r="B342" s="992" t="s">
        <v>487</v>
      </c>
      <c r="C342" s="990"/>
      <c r="D342" s="1022" t="s">
        <v>486</v>
      </c>
      <c r="E342" s="990"/>
      <c r="F342" s="1026"/>
      <c r="G342" s="1026"/>
      <c r="H342" s="1026"/>
      <c r="I342" s="1026"/>
      <c r="J342" s="1026"/>
      <c r="K342" s="1026"/>
      <c r="L342" s="1026"/>
    </row>
    <row r="343" spans="2:12" s="402" customFormat="1" x14ac:dyDescent="0.3">
      <c r="B343" s="992" t="s">
        <v>490</v>
      </c>
      <c r="C343" s="990"/>
      <c r="D343" s="1022" t="s">
        <v>492</v>
      </c>
      <c r="E343" s="990"/>
      <c r="F343" s="1026"/>
      <c r="G343" s="1026"/>
      <c r="H343" s="1026"/>
      <c r="I343" s="1026"/>
      <c r="J343" s="1026"/>
      <c r="K343" s="1026"/>
      <c r="L343" s="1026"/>
    </row>
    <row r="344" spans="2:12" s="402" customFormat="1" x14ac:dyDescent="0.3">
      <c r="B344" s="992" t="s">
        <v>491</v>
      </c>
      <c r="C344" s="990"/>
      <c r="D344" s="1022" t="s">
        <v>493</v>
      </c>
      <c r="E344" s="990"/>
      <c r="F344" s="1026"/>
      <c r="G344" s="1026"/>
      <c r="H344" s="1026"/>
      <c r="I344" s="1026"/>
      <c r="J344" s="1026"/>
      <c r="K344" s="1026"/>
      <c r="L344" s="1026"/>
    </row>
    <row r="345" spans="2:12" s="402" customFormat="1" x14ac:dyDescent="0.3">
      <c r="B345" s="992" t="s">
        <v>563</v>
      </c>
      <c r="C345" s="990"/>
      <c r="D345" s="1022" t="s">
        <v>566</v>
      </c>
      <c r="E345" s="990"/>
      <c r="F345" s="1026"/>
      <c r="G345" s="1026"/>
      <c r="H345" s="1026"/>
      <c r="I345" s="1026"/>
      <c r="J345" s="1026"/>
      <c r="K345" s="1026"/>
      <c r="L345" s="1026"/>
    </row>
    <row r="346" spans="2:12" s="402" customFormat="1" x14ac:dyDescent="0.3">
      <c r="B346" s="992" t="s">
        <v>564</v>
      </c>
      <c r="C346" s="990"/>
      <c r="D346" s="990" t="s">
        <v>565</v>
      </c>
      <c r="E346" s="990"/>
      <c r="F346" s="1026"/>
      <c r="G346" s="1026"/>
      <c r="H346" s="1026"/>
      <c r="I346" s="1026"/>
      <c r="J346" s="1026"/>
      <c r="K346" s="1026"/>
      <c r="L346" s="1026"/>
    </row>
    <row r="347" spans="2:12" s="402" customFormat="1" ht="27.6" x14ac:dyDescent="0.3">
      <c r="B347" s="992" t="s">
        <v>777</v>
      </c>
      <c r="C347" s="990"/>
      <c r="D347" s="1027" t="s">
        <v>511</v>
      </c>
      <c r="E347" s="990"/>
      <c r="F347" s="1026" t="e">
        <v>#DIV/0!</v>
      </c>
      <c r="G347" s="1026" t="e">
        <v>#DIV/0!</v>
      </c>
      <c r="H347" s="1026" t="e">
        <v>#DIV/0!</v>
      </c>
      <c r="I347" s="1026" t="e">
        <v>#DIV/0!</v>
      </c>
      <c r="J347" s="1026" t="e">
        <v>#DIV/0!</v>
      </c>
      <c r="K347" s="1026" t="e">
        <v>#DIV/0!</v>
      </c>
      <c r="L347" s="1026"/>
    </row>
    <row r="348" spans="2:12" s="402" customFormat="1" x14ac:dyDescent="0.3">
      <c r="B348" s="992" t="s">
        <v>784</v>
      </c>
      <c r="C348" s="990"/>
      <c r="D348" s="1028" t="s">
        <v>941</v>
      </c>
      <c r="E348" s="990"/>
      <c r="F348" s="1029" t="s">
        <v>1433</v>
      </c>
      <c r="G348" s="1029">
        <v>0</v>
      </c>
      <c r="H348" s="1029">
        <v>0</v>
      </c>
      <c r="I348" s="1029">
        <v>0</v>
      </c>
      <c r="J348" s="1029">
        <v>0</v>
      </c>
      <c r="K348" s="1029">
        <v>0</v>
      </c>
      <c r="L348" s="1026" t="e">
        <v>#DIV/0!</v>
      </c>
    </row>
    <row r="349" spans="2:12" s="402" customFormat="1" x14ac:dyDescent="0.3">
      <c r="B349" s="992" t="s">
        <v>783</v>
      </c>
      <c r="C349" s="990"/>
      <c r="D349" s="1028" t="s">
        <v>785</v>
      </c>
      <c r="E349" s="990"/>
      <c r="F349" s="1026" t="e">
        <v>#DIV/0!</v>
      </c>
      <c r="G349" s="1026" t="e">
        <v>#DIV/0!</v>
      </c>
      <c r="H349" s="1026" t="e">
        <v>#DIV/0!</v>
      </c>
      <c r="I349" s="1026" t="e">
        <v>#DIV/0!</v>
      </c>
      <c r="J349" s="1026" t="e">
        <v>#DIV/0!</v>
      </c>
      <c r="K349" s="1026" t="e">
        <v>#DIV/0!</v>
      </c>
      <c r="L349" s="1029">
        <v>0</v>
      </c>
    </row>
    <row r="350" spans="2:12" s="402" customFormat="1" x14ac:dyDescent="0.3">
      <c r="B350" s="992" t="s">
        <v>782</v>
      </c>
      <c r="C350" s="990"/>
      <c r="D350" s="990" t="s">
        <v>786</v>
      </c>
      <c r="E350" s="990"/>
      <c r="F350" s="1026" t="e">
        <v>#DIV/0!</v>
      </c>
      <c r="G350" s="1026" t="e">
        <v>#DIV/0!</v>
      </c>
      <c r="H350" s="1026" t="e">
        <v>#DIV/0!</v>
      </c>
      <c r="I350" s="1026" t="e">
        <v>#DIV/0!</v>
      </c>
      <c r="J350" s="1026" t="e">
        <v>#DIV/0!</v>
      </c>
      <c r="K350" s="1026" t="e">
        <v>#DIV/0!</v>
      </c>
      <c r="L350" s="1026" t="e">
        <v>#DIV/0!</v>
      </c>
    </row>
    <row r="351" spans="2:12" s="402" customFormat="1" x14ac:dyDescent="0.3">
      <c r="B351" s="992" t="s">
        <v>788</v>
      </c>
      <c r="C351" s="990"/>
      <c r="D351" s="995" t="s">
        <v>942</v>
      </c>
      <c r="E351" s="990"/>
      <c r="F351" s="1029" t="s">
        <v>1433</v>
      </c>
      <c r="G351" s="1029">
        <v>0</v>
      </c>
      <c r="H351" s="1029">
        <v>0</v>
      </c>
      <c r="I351" s="1029">
        <v>0</v>
      </c>
      <c r="J351" s="1029">
        <v>0</v>
      </c>
      <c r="K351" s="1029">
        <v>0</v>
      </c>
      <c r="L351" s="1026" t="e">
        <v>#DIV/0!</v>
      </c>
    </row>
    <row r="352" spans="2:12" s="402" customFormat="1" x14ac:dyDescent="0.3">
      <c r="B352" s="992" t="s">
        <v>789</v>
      </c>
      <c r="C352" s="990"/>
      <c r="D352" s="995" t="s">
        <v>790</v>
      </c>
      <c r="E352" s="990"/>
      <c r="F352" s="1026" t="e">
        <v>#DIV/0!</v>
      </c>
      <c r="G352" s="1026" t="e">
        <v>#DIV/0!</v>
      </c>
      <c r="H352" s="1026" t="e">
        <v>#DIV/0!</v>
      </c>
      <c r="I352" s="1026" t="e">
        <v>#DIV/0!</v>
      </c>
      <c r="J352" s="1026" t="e">
        <v>#DIV/0!</v>
      </c>
      <c r="K352" s="1026" t="e">
        <v>#DIV/0!</v>
      </c>
      <c r="L352" s="1029">
        <v>0</v>
      </c>
    </row>
    <row r="353" spans="2:12" s="402" customFormat="1" x14ac:dyDescent="0.3">
      <c r="B353" s="992" t="s">
        <v>1426</v>
      </c>
      <c r="C353" s="990"/>
      <c r="D353" s="1027" t="s">
        <v>804</v>
      </c>
      <c r="E353" s="990"/>
      <c r="F353" s="1030">
        <v>0</v>
      </c>
      <c r="G353" s="1030">
        <v>0</v>
      </c>
      <c r="H353" s="1030">
        <v>0</v>
      </c>
      <c r="I353" s="1030">
        <v>0</v>
      </c>
      <c r="J353" s="1030">
        <v>0</v>
      </c>
      <c r="K353" s="1030">
        <v>0</v>
      </c>
      <c r="L353" s="1026" t="e">
        <v>#DIV/0!</v>
      </c>
    </row>
    <row r="354" spans="2:12" s="402" customFormat="1" x14ac:dyDescent="0.3">
      <c r="B354" s="992" t="s">
        <v>803</v>
      </c>
      <c r="C354" s="990"/>
      <c r="D354" s="1027"/>
      <c r="E354" s="990"/>
      <c r="F354" s="990"/>
      <c r="G354" s="990"/>
      <c r="H354" s="990"/>
      <c r="I354" s="990"/>
      <c r="J354" s="990"/>
      <c r="K354" s="990"/>
      <c r="L354" s="1030">
        <v>0</v>
      </c>
    </row>
    <row r="355" spans="2:12" s="402" customFormat="1" x14ac:dyDescent="0.3">
      <c r="B355" s="1005"/>
      <c r="C355" s="990"/>
      <c r="D355" s="990"/>
      <c r="E355" s="990"/>
      <c r="F355" s="990"/>
      <c r="G355" s="990"/>
      <c r="H355" s="990"/>
      <c r="I355" s="990"/>
      <c r="J355" s="990"/>
      <c r="K355" s="990"/>
      <c r="L355" s="990"/>
    </row>
    <row r="356" spans="2:12" s="402" customFormat="1" x14ac:dyDescent="0.3">
      <c r="B356" s="998"/>
      <c r="C356" s="990"/>
      <c r="D356" s="990"/>
      <c r="E356" s="990"/>
      <c r="F356" s="990"/>
      <c r="G356" s="990"/>
      <c r="H356" s="990"/>
      <c r="I356" s="990"/>
      <c r="J356" s="990"/>
      <c r="K356" s="990"/>
      <c r="L356" s="990"/>
    </row>
    <row r="357" spans="2:12" x14ac:dyDescent="0.3">
      <c r="B357" s="1005"/>
      <c r="C357" s="990"/>
      <c r="D357" s="990"/>
      <c r="E357" s="990"/>
      <c r="F357" s="990"/>
      <c r="G357" s="990"/>
      <c r="H357" s="990"/>
      <c r="I357" s="990"/>
      <c r="J357" s="990"/>
      <c r="K357" s="990"/>
      <c r="L357" s="990"/>
    </row>
    <row r="358" spans="2:12" x14ac:dyDescent="0.3">
      <c r="B358" s="998"/>
      <c r="C358" s="990"/>
      <c r="D358" s="990"/>
      <c r="E358" s="990"/>
      <c r="F358" s="990"/>
      <c r="G358" s="990"/>
      <c r="H358" s="990"/>
      <c r="I358" s="990"/>
      <c r="J358" s="990"/>
      <c r="K358" s="990"/>
      <c r="L358" s="990"/>
    </row>
    <row r="359" spans="2:12" x14ac:dyDescent="0.3">
      <c r="B359" s="1005"/>
      <c r="C359" s="990"/>
      <c r="D359" s="990"/>
      <c r="E359" s="990"/>
      <c r="F359" s="990"/>
      <c r="G359" s="990"/>
      <c r="H359" s="990"/>
      <c r="I359" s="990"/>
      <c r="J359" s="990"/>
      <c r="K359" s="990"/>
      <c r="L359" s="990"/>
    </row>
    <row r="360" spans="2:12" x14ac:dyDescent="0.3">
      <c r="B360" s="998"/>
      <c r="C360" s="990"/>
      <c r="D360" s="990"/>
      <c r="E360" s="990"/>
      <c r="F360" s="990"/>
      <c r="G360" s="990"/>
      <c r="H360" s="990"/>
      <c r="I360" s="990"/>
      <c r="J360" s="990"/>
      <c r="K360" s="990"/>
      <c r="L360" s="990"/>
    </row>
    <row r="361" spans="2:12" x14ac:dyDescent="0.3">
      <c r="B361" s="1005"/>
      <c r="C361" s="990"/>
      <c r="D361" s="990"/>
      <c r="E361" s="990"/>
      <c r="F361" s="990"/>
      <c r="G361" s="990"/>
      <c r="H361" s="990"/>
      <c r="I361" s="990"/>
      <c r="J361" s="990"/>
      <c r="K361" s="990"/>
      <c r="L361" s="990"/>
    </row>
    <row r="362" spans="2:12" x14ac:dyDescent="0.3">
      <c r="B362" s="998"/>
      <c r="C362" s="990"/>
      <c r="D362" s="990"/>
      <c r="E362" s="990"/>
      <c r="F362" s="990"/>
      <c r="G362" s="990"/>
      <c r="H362" s="990"/>
      <c r="I362" s="990"/>
      <c r="J362" s="990"/>
      <c r="K362" s="990"/>
      <c r="L362" s="990"/>
    </row>
    <row r="363" spans="2:12" x14ac:dyDescent="0.3">
      <c r="B363" s="992">
        <v>593</v>
      </c>
      <c r="C363" s="992">
        <v>593</v>
      </c>
      <c r="D363" s="1031" t="s">
        <v>1072</v>
      </c>
      <c r="E363" s="1009"/>
      <c r="F363" s="996">
        <v>0</v>
      </c>
      <c r="G363" s="996">
        <v>0</v>
      </c>
      <c r="H363" s="996">
        <v>0</v>
      </c>
      <c r="I363" s="996">
        <v>0</v>
      </c>
      <c r="J363" s="996">
        <v>0</v>
      </c>
      <c r="K363" s="996">
        <v>0</v>
      </c>
      <c r="L363" s="996">
        <v>0</v>
      </c>
    </row>
    <row r="364" spans="2:12" x14ac:dyDescent="0.3">
      <c r="B364" s="992">
        <v>594</v>
      </c>
      <c r="C364" s="992">
        <v>594</v>
      </c>
      <c r="D364" s="1032" t="s">
        <v>1073</v>
      </c>
      <c r="E364" s="1033"/>
      <c r="F364" s="996">
        <v>0</v>
      </c>
      <c r="G364" s="996">
        <v>0</v>
      </c>
      <c r="H364" s="996">
        <v>0</v>
      </c>
      <c r="I364" s="996">
        <v>0</v>
      </c>
      <c r="J364" s="996">
        <v>0</v>
      </c>
      <c r="K364" s="996">
        <v>0</v>
      </c>
      <c r="L364" s="996">
        <v>0</v>
      </c>
    </row>
    <row r="369" spans="1:12" x14ac:dyDescent="0.3">
      <c r="A369" s="990"/>
      <c r="B369" s="990"/>
      <c r="C369" s="990"/>
      <c r="D369" s="1034"/>
      <c r="E369" s="1034"/>
      <c r="F369" s="1035"/>
      <c r="G369" s="1035"/>
      <c r="H369" s="1035"/>
      <c r="I369" s="1035"/>
      <c r="J369" s="1035"/>
      <c r="K369" s="1035"/>
      <c r="L369" s="1035"/>
    </row>
    <row r="370" spans="1:12" x14ac:dyDescent="0.3">
      <c r="A370" s="990"/>
      <c r="B370" s="990"/>
      <c r="C370" s="990"/>
      <c r="D370" s="1034" t="s">
        <v>938</v>
      </c>
      <c r="E370" s="1034"/>
      <c r="F370" s="1035">
        <v>3245891947</v>
      </c>
      <c r="G370" s="1035">
        <v>4749929383</v>
      </c>
      <c r="H370" s="1035">
        <v>1673392244.8</v>
      </c>
      <c r="I370" s="1035">
        <v>1994345146.2</v>
      </c>
      <c r="J370" s="1035">
        <v>1858415527</v>
      </c>
      <c r="K370" s="1035">
        <v>3025212745.5</v>
      </c>
      <c r="L370" s="1035">
        <v>2175701474</v>
      </c>
    </row>
    <row r="371" spans="1:12" x14ac:dyDescent="0.3">
      <c r="A371" s="990"/>
      <c r="B371" s="998"/>
      <c r="C371" s="990"/>
      <c r="D371" s="1034" t="s">
        <v>939</v>
      </c>
      <c r="E371" s="1034"/>
      <c r="F371" s="1035">
        <v>3245891947</v>
      </c>
      <c r="G371" s="1035">
        <v>4749929383</v>
      </c>
      <c r="H371" s="1035">
        <v>1673392244.8</v>
      </c>
      <c r="I371" s="1035">
        <v>1994345146.2</v>
      </c>
      <c r="J371" s="1035">
        <v>1858415527</v>
      </c>
      <c r="K371" s="1035">
        <v>3025212745.5</v>
      </c>
      <c r="L371" s="1035">
        <v>2175701474</v>
      </c>
    </row>
    <row r="372" spans="1:12" x14ac:dyDescent="0.3">
      <c r="A372" s="990"/>
      <c r="B372" s="990"/>
      <c r="C372" s="990"/>
      <c r="D372" s="1034"/>
      <c r="E372" s="1034"/>
      <c r="F372" s="1035">
        <v>0</v>
      </c>
      <c r="G372" s="1035">
        <v>0</v>
      </c>
      <c r="H372" s="1035">
        <v>0</v>
      </c>
      <c r="I372" s="1035">
        <v>0</v>
      </c>
      <c r="J372" s="1035">
        <v>0</v>
      </c>
      <c r="K372" s="1035">
        <v>0</v>
      </c>
      <c r="L372" s="1035">
        <v>0</v>
      </c>
    </row>
    <row r="379" spans="1:12" x14ac:dyDescent="0.3">
      <c r="A379" s="990">
        <v>537</v>
      </c>
      <c r="B379" s="990"/>
      <c r="C379" s="992">
        <v>537</v>
      </c>
      <c r="D379" s="990"/>
      <c r="E379" s="990"/>
      <c r="F379" s="996"/>
      <c r="G379" s="996"/>
      <c r="H379" s="996"/>
      <c r="I379" s="996"/>
      <c r="J379" s="996"/>
      <c r="K379" s="996"/>
      <c r="L379" s="996"/>
    </row>
    <row r="380" spans="1:12" x14ac:dyDescent="0.3">
      <c r="A380" s="990">
        <v>538</v>
      </c>
      <c r="B380" s="990"/>
      <c r="C380" s="992">
        <v>538</v>
      </c>
      <c r="D380" s="990"/>
      <c r="E380" s="990"/>
      <c r="F380" s="996"/>
      <c r="G380" s="996"/>
      <c r="H380" s="996"/>
      <c r="I380" s="996"/>
      <c r="J380" s="996"/>
      <c r="K380" s="996"/>
      <c r="L380" s="996"/>
    </row>
    <row r="381" spans="1:12" ht="72" x14ac:dyDescent="0.3">
      <c r="A381" s="990">
        <v>577</v>
      </c>
      <c r="B381" s="992">
        <v>577</v>
      </c>
      <c r="C381" s="992">
        <v>577</v>
      </c>
      <c r="D381" s="995" t="s">
        <v>1413</v>
      </c>
      <c r="E381" s="990"/>
      <c r="F381" s="990">
        <v>2</v>
      </c>
      <c r="G381" s="990">
        <v>0</v>
      </c>
      <c r="H381" s="990">
        <v>2</v>
      </c>
      <c r="I381" s="990">
        <v>2</v>
      </c>
      <c r="J381" s="990">
        <v>2</v>
      </c>
      <c r="K381" s="990">
        <v>2</v>
      </c>
      <c r="L381" s="990">
        <v>2</v>
      </c>
    </row>
    <row r="382" spans="1:12" x14ac:dyDescent="0.3">
      <c r="A382" s="990">
        <v>554</v>
      </c>
      <c r="B382" s="992">
        <v>554</v>
      </c>
      <c r="C382" s="992">
        <v>554</v>
      </c>
      <c r="D382" s="1004" t="s">
        <v>345</v>
      </c>
      <c r="E382" s="1004"/>
      <c r="F382" s="1003">
        <v>15731257</v>
      </c>
      <c r="G382" s="1003">
        <v>16965288</v>
      </c>
      <c r="H382" s="1003">
        <v>8902523</v>
      </c>
      <c r="I382" s="1003">
        <v>10053052</v>
      </c>
      <c r="J382" s="1003">
        <v>6960363</v>
      </c>
      <c r="K382" s="1003">
        <v>0</v>
      </c>
      <c r="L382" s="1003">
        <v>16737010</v>
      </c>
    </row>
    <row r="383" spans="1:12" x14ac:dyDescent="0.3">
      <c r="A383" s="990">
        <v>555</v>
      </c>
      <c r="B383" s="992">
        <v>555</v>
      </c>
      <c r="C383" s="992">
        <v>555</v>
      </c>
      <c r="D383" s="1004" t="s">
        <v>346</v>
      </c>
      <c r="E383" s="1004"/>
      <c r="F383" s="1003">
        <v>5833297</v>
      </c>
      <c r="G383" s="1003">
        <v>4437150</v>
      </c>
      <c r="H383" s="1003">
        <v>6541905</v>
      </c>
      <c r="I383" s="1003">
        <v>10053052</v>
      </c>
      <c r="J383" s="1003">
        <v>6236571</v>
      </c>
      <c r="K383" s="1003">
        <v>0</v>
      </c>
      <c r="L383" s="1003">
        <v>15828299</v>
      </c>
    </row>
    <row r="384" spans="1:12" x14ac:dyDescent="0.3">
      <c r="A384" s="990">
        <v>556</v>
      </c>
      <c r="B384" s="992">
        <v>556</v>
      </c>
      <c r="C384" s="992">
        <v>556</v>
      </c>
      <c r="D384" s="1004" t="s">
        <v>347</v>
      </c>
      <c r="E384" s="1004"/>
      <c r="F384" s="1003">
        <v>63386049</v>
      </c>
      <c r="G384" s="1003">
        <v>112947998</v>
      </c>
      <c r="H384" s="1003">
        <v>31395841</v>
      </c>
      <c r="I384" s="1003">
        <v>48415391</v>
      </c>
      <c r="J384" s="1003">
        <v>38021808</v>
      </c>
      <c r="K384" s="1003">
        <v>0</v>
      </c>
      <c r="L384" s="1003">
        <v>66355158</v>
      </c>
    </row>
    <row r="385" spans="1:12" x14ac:dyDescent="0.3">
      <c r="A385" s="990">
        <v>557</v>
      </c>
      <c r="B385" s="992">
        <v>557</v>
      </c>
      <c r="C385" s="992">
        <v>557</v>
      </c>
      <c r="D385" s="1004" t="s">
        <v>348</v>
      </c>
      <c r="E385" s="1004"/>
      <c r="F385" s="1003">
        <v>42847830</v>
      </c>
      <c r="G385" s="1003">
        <v>87261968</v>
      </c>
      <c r="H385" s="1003">
        <v>31005379</v>
      </c>
      <c r="I385" s="1003">
        <v>48415391</v>
      </c>
      <c r="J385" s="1003">
        <v>31677420</v>
      </c>
      <c r="K385" s="1003">
        <v>0</v>
      </c>
      <c r="L385" s="1003">
        <v>66355158</v>
      </c>
    </row>
    <row r="386" spans="1:12" ht="28.8" x14ac:dyDescent="0.3">
      <c r="A386" s="990">
        <v>606</v>
      </c>
      <c r="B386" s="992">
        <v>606</v>
      </c>
      <c r="C386" s="992">
        <v>606</v>
      </c>
      <c r="D386" s="995" t="s">
        <v>408</v>
      </c>
      <c r="E386" s="990"/>
      <c r="F386" s="990">
        <v>1</v>
      </c>
      <c r="G386" s="990">
        <v>1</v>
      </c>
      <c r="H386" s="990">
        <v>1</v>
      </c>
      <c r="I386" s="990">
        <v>1</v>
      </c>
      <c r="J386" s="990">
        <v>1</v>
      </c>
      <c r="K386" s="990">
        <v>0</v>
      </c>
      <c r="L386" s="990">
        <v>1</v>
      </c>
    </row>
    <row r="387" spans="1:12" x14ac:dyDescent="0.3">
      <c r="A387" s="990">
        <v>620</v>
      </c>
      <c r="B387" s="990"/>
      <c r="C387" s="990"/>
      <c r="D387" s="990"/>
      <c r="E387" s="990"/>
      <c r="F387" s="990">
        <v>0</v>
      </c>
      <c r="G387" s="990">
        <v>0</v>
      </c>
      <c r="H387" s="990">
        <v>0</v>
      </c>
      <c r="I387" s="990">
        <v>0</v>
      </c>
      <c r="J387" s="990">
        <v>0</v>
      </c>
      <c r="K387" s="990">
        <v>0</v>
      </c>
      <c r="L387" s="990">
        <v>0</v>
      </c>
    </row>
    <row r="388" spans="1:12" ht="28.8" x14ac:dyDescent="0.3">
      <c r="A388" s="990">
        <v>662</v>
      </c>
      <c r="B388" s="992">
        <v>662</v>
      </c>
      <c r="C388" s="992">
        <v>662</v>
      </c>
      <c r="D388" s="995" t="s">
        <v>548</v>
      </c>
      <c r="E388" s="990"/>
      <c r="F388" s="990">
        <v>0</v>
      </c>
      <c r="G388" s="990">
        <v>0</v>
      </c>
      <c r="H388" s="990">
        <v>0</v>
      </c>
      <c r="I388" s="990">
        <v>0</v>
      </c>
      <c r="J388" s="990">
        <v>0</v>
      </c>
      <c r="K388" s="990">
        <v>0</v>
      </c>
      <c r="L388" s="990">
        <v>0</v>
      </c>
    </row>
    <row r="389" spans="1:12" ht="28.8" x14ac:dyDescent="0.3">
      <c r="A389" s="990">
        <v>663</v>
      </c>
      <c r="B389" s="992">
        <v>663</v>
      </c>
      <c r="C389" s="992">
        <v>663</v>
      </c>
      <c r="D389" s="995" t="s">
        <v>549</v>
      </c>
      <c r="E389" s="990"/>
      <c r="F389" s="990">
        <v>0</v>
      </c>
      <c r="G389" s="990">
        <v>0</v>
      </c>
      <c r="H389" s="990">
        <v>0</v>
      </c>
      <c r="I389" s="990">
        <v>0</v>
      </c>
      <c r="J389" s="990">
        <v>0</v>
      </c>
      <c r="K389" s="990">
        <v>0</v>
      </c>
      <c r="L389" s="990">
        <v>0</v>
      </c>
    </row>
    <row r="390" spans="1:12" x14ac:dyDescent="0.3">
      <c r="A390" s="990">
        <v>992</v>
      </c>
      <c r="B390" s="990"/>
      <c r="C390" s="990"/>
      <c r="D390" s="990"/>
      <c r="E390" s="990"/>
      <c r="F390" s="990"/>
      <c r="G390" s="990"/>
      <c r="H390" s="990"/>
      <c r="I390" s="990"/>
      <c r="J390" s="990"/>
      <c r="K390" s="990"/>
      <c r="L390" s="990"/>
    </row>
    <row r="391" spans="1:12" x14ac:dyDescent="0.3">
      <c r="A391" s="990">
        <v>993</v>
      </c>
      <c r="B391" s="990"/>
      <c r="C391" s="990"/>
      <c r="D391" s="990"/>
      <c r="E391" s="990"/>
      <c r="F391" s="990"/>
      <c r="G391" s="990"/>
      <c r="H391" s="990"/>
      <c r="I391" s="990"/>
      <c r="J391" s="990"/>
      <c r="K391" s="990"/>
      <c r="L391" s="990"/>
    </row>
    <row r="392" spans="1:12" x14ac:dyDescent="0.3">
      <c r="A392" s="990">
        <v>994</v>
      </c>
      <c r="B392" s="990"/>
      <c r="C392" s="990"/>
      <c r="D392" s="990"/>
      <c r="E392" s="990"/>
      <c r="F392" s="990"/>
      <c r="G392" s="990"/>
      <c r="H392" s="990"/>
      <c r="I392" s="990"/>
      <c r="J392" s="990"/>
      <c r="K392" s="990"/>
      <c r="L392" s="990"/>
    </row>
    <row r="393" spans="1:12" x14ac:dyDescent="0.3">
      <c r="A393" s="990">
        <v>995</v>
      </c>
      <c r="B393" s="990"/>
      <c r="C393" s="990"/>
      <c r="D393" s="990"/>
      <c r="E393" s="990"/>
      <c r="F393" s="990"/>
      <c r="G393" s="990"/>
      <c r="H393" s="990"/>
      <c r="I393" s="990"/>
      <c r="J393" s="990"/>
      <c r="K393" s="990"/>
      <c r="L393" s="990"/>
    </row>
    <row r="394" spans="1:12" x14ac:dyDescent="0.3">
      <c r="A394" s="990">
        <v>996</v>
      </c>
      <c r="B394" s="990"/>
      <c r="C394" s="990"/>
      <c r="D394" s="990"/>
      <c r="E394" s="990"/>
      <c r="F394" s="990"/>
      <c r="G394" s="990"/>
      <c r="H394" s="990"/>
      <c r="I394" s="990"/>
      <c r="J394" s="990"/>
      <c r="K394" s="990"/>
      <c r="L394" s="990"/>
    </row>
    <row r="395" spans="1:12" x14ac:dyDescent="0.3">
      <c r="A395" s="990">
        <v>997</v>
      </c>
      <c r="B395" s="990"/>
      <c r="C395" s="990"/>
      <c r="D395" s="990"/>
      <c r="E395" s="990"/>
      <c r="F395" s="990"/>
      <c r="G395" s="990"/>
      <c r="H395" s="990"/>
      <c r="I395" s="990"/>
      <c r="J395" s="990"/>
      <c r="K395" s="990"/>
      <c r="L395" s="990"/>
    </row>
    <row r="396" spans="1:12" x14ac:dyDescent="0.3">
      <c r="A396" s="990">
        <v>998</v>
      </c>
      <c r="B396" s="992">
        <v>998</v>
      </c>
      <c r="C396" s="992">
        <v>998</v>
      </c>
      <c r="D396" s="995" t="s">
        <v>288</v>
      </c>
      <c r="E396" s="990"/>
      <c r="F396" s="990">
        <v>58</v>
      </c>
      <c r="G396" s="990">
        <v>58</v>
      </c>
      <c r="H396" s="990">
        <v>58</v>
      </c>
      <c r="I396" s="990">
        <v>58</v>
      </c>
      <c r="J396" s="990">
        <v>58</v>
      </c>
      <c r="K396" s="990">
        <v>58</v>
      </c>
      <c r="L396" s="990">
        <v>58</v>
      </c>
    </row>
    <row r="397" spans="1:12" x14ac:dyDescent="0.3">
      <c r="A397" s="990">
        <v>999</v>
      </c>
      <c r="B397" s="992">
        <v>999</v>
      </c>
      <c r="C397" s="992">
        <v>999</v>
      </c>
      <c r="D397" s="995" t="s">
        <v>289</v>
      </c>
      <c r="E397" s="990"/>
      <c r="F397" s="987">
        <v>584016</v>
      </c>
      <c r="G397" s="990">
        <v>584021</v>
      </c>
      <c r="H397" s="990">
        <v>581427</v>
      </c>
      <c r="I397" s="990">
        <v>584015</v>
      </c>
      <c r="J397" s="990">
        <v>581418</v>
      </c>
      <c r="K397" s="990">
        <v>584134</v>
      </c>
      <c r="L397" s="990">
        <v>581419</v>
      </c>
    </row>
    <row r="398" spans="1:12" ht="28.8" x14ac:dyDescent="0.3">
      <c r="A398" s="990">
        <v>906</v>
      </c>
      <c r="B398" s="998"/>
      <c r="C398" s="992" t="s">
        <v>1422</v>
      </c>
      <c r="D398" s="1017" t="s">
        <v>599</v>
      </c>
      <c r="E398" s="990"/>
      <c r="F398" s="1014">
        <v>1</v>
      </c>
      <c r="G398" s="1014">
        <v>1</v>
      </c>
      <c r="H398" s="1014">
        <v>1</v>
      </c>
      <c r="I398" s="1014">
        <v>1</v>
      </c>
      <c r="J398" s="1014">
        <v>1</v>
      </c>
      <c r="K398" s="1014">
        <v>1</v>
      </c>
      <c r="L398" s="1014">
        <v>1</v>
      </c>
    </row>
    <row r="399" spans="1:12" ht="28.8" x14ac:dyDescent="0.3">
      <c r="A399" s="990">
        <v>907</v>
      </c>
      <c r="B399" s="998"/>
      <c r="C399" s="992" t="s">
        <v>1422</v>
      </c>
      <c r="D399" s="1017" t="s">
        <v>600</v>
      </c>
      <c r="E399" s="990"/>
      <c r="F399" s="1014">
        <v>2</v>
      </c>
      <c r="G399" s="1014">
        <v>2</v>
      </c>
      <c r="H399" s="1014">
        <v>2</v>
      </c>
      <c r="I399" s="1014">
        <v>2</v>
      </c>
      <c r="J399" s="1014">
        <v>2</v>
      </c>
      <c r="K399" s="1014">
        <v>2</v>
      </c>
      <c r="L399" s="1014">
        <v>2</v>
      </c>
    </row>
    <row r="400" spans="1:12" ht="28.8" x14ac:dyDescent="0.3">
      <c r="A400" s="990">
        <v>951</v>
      </c>
      <c r="B400" s="998"/>
      <c r="C400" s="992" t="s">
        <v>1422</v>
      </c>
      <c r="D400" s="1017" t="s">
        <v>601</v>
      </c>
      <c r="E400" s="990"/>
      <c r="F400" s="1014">
        <v>2</v>
      </c>
      <c r="G400" s="1014">
        <v>2</v>
      </c>
      <c r="H400" s="1014">
        <v>2</v>
      </c>
      <c r="I400" s="1014">
        <v>2</v>
      </c>
      <c r="J400" s="1014">
        <v>2</v>
      </c>
      <c r="K400" s="1014">
        <v>2</v>
      </c>
      <c r="L400" s="1014">
        <v>2</v>
      </c>
    </row>
    <row r="401" spans="1:12" ht="28.8" x14ac:dyDescent="0.3">
      <c r="A401" s="990">
        <v>953</v>
      </c>
      <c r="B401" s="998"/>
      <c r="C401" s="992" t="s">
        <v>1422</v>
      </c>
      <c r="D401" s="1017" t="s">
        <v>602</v>
      </c>
      <c r="E401" s="990"/>
      <c r="F401" s="1014">
        <v>2</v>
      </c>
      <c r="G401" s="1014">
        <v>2</v>
      </c>
      <c r="H401" s="1014">
        <v>2</v>
      </c>
      <c r="I401" s="1014">
        <v>2</v>
      </c>
      <c r="J401" s="1014">
        <v>2</v>
      </c>
      <c r="K401" s="1014">
        <v>2</v>
      </c>
      <c r="L401" s="1014">
        <v>2</v>
      </c>
    </row>
    <row r="402" spans="1:12" ht="28.8" x14ac:dyDescent="0.3">
      <c r="A402" s="990">
        <v>955</v>
      </c>
      <c r="B402" s="998"/>
      <c r="C402" s="992" t="s">
        <v>1422</v>
      </c>
      <c r="D402" s="1017" t="s">
        <v>612</v>
      </c>
      <c r="E402" s="990"/>
      <c r="F402" s="1014">
        <v>0</v>
      </c>
      <c r="G402" s="1014">
        <v>0</v>
      </c>
      <c r="H402" s="1014">
        <v>0</v>
      </c>
      <c r="I402" s="1014">
        <v>0</v>
      </c>
      <c r="J402" s="1014">
        <v>0</v>
      </c>
      <c r="K402" s="1014">
        <v>0</v>
      </c>
      <c r="L402" s="1014">
        <v>0</v>
      </c>
    </row>
    <row r="403" spans="1:12" ht="28.8" x14ac:dyDescent="0.3">
      <c r="A403" s="990">
        <v>957</v>
      </c>
      <c r="B403" s="998"/>
      <c r="C403" s="992" t="s">
        <v>1422</v>
      </c>
      <c r="D403" s="1017" t="s">
        <v>613</v>
      </c>
      <c r="E403" s="990"/>
      <c r="F403" s="1014">
        <v>0</v>
      </c>
      <c r="G403" s="1014">
        <v>0</v>
      </c>
      <c r="H403" s="1014">
        <v>0</v>
      </c>
      <c r="I403" s="1014">
        <v>0</v>
      </c>
      <c r="J403" s="1014">
        <v>0</v>
      </c>
      <c r="K403" s="1014">
        <v>0</v>
      </c>
      <c r="L403" s="1014">
        <v>0</v>
      </c>
    </row>
    <row r="404" spans="1:12" ht="57.6" x14ac:dyDescent="0.3">
      <c r="A404" s="990">
        <v>959</v>
      </c>
      <c r="B404" s="998"/>
      <c r="C404" s="992" t="s">
        <v>1422</v>
      </c>
      <c r="D404" s="1017" t="s">
        <v>603</v>
      </c>
      <c r="E404" s="990"/>
      <c r="F404" s="1014">
        <v>2</v>
      </c>
      <c r="G404" s="1014">
        <v>2</v>
      </c>
      <c r="H404" s="1014">
        <v>2</v>
      </c>
      <c r="I404" s="1014">
        <v>2</v>
      </c>
      <c r="J404" s="1014">
        <v>3</v>
      </c>
      <c r="K404" s="1014">
        <v>2</v>
      </c>
      <c r="L404" s="1014">
        <v>2</v>
      </c>
    </row>
    <row r="405" spans="1:12" ht="57.6" x14ac:dyDescent="0.3">
      <c r="A405" s="990">
        <v>961</v>
      </c>
      <c r="B405" s="998"/>
      <c r="C405" s="992" t="s">
        <v>1422</v>
      </c>
      <c r="D405" s="1017" t="s">
        <v>604</v>
      </c>
      <c r="E405" s="990"/>
      <c r="F405" s="1014">
        <v>2</v>
      </c>
      <c r="G405" s="1014">
        <v>2</v>
      </c>
      <c r="H405" s="1014">
        <v>3</v>
      </c>
      <c r="I405" s="1014">
        <v>3</v>
      </c>
      <c r="J405" s="1014">
        <v>3</v>
      </c>
      <c r="K405" s="1014">
        <v>2</v>
      </c>
      <c r="L405" s="1014">
        <v>3</v>
      </c>
    </row>
    <row r="406" spans="1:12" x14ac:dyDescent="0.3">
      <c r="A406" s="990">
        <v>963</v>
      </c>
      <c r="B406" s="998"/>
      <c r="C406" s="992" t="s">
        <v>1422</v>
      </c>
      <c r="D406" s="1017" t="s">
        <v>605</v>
      </c>
      <c r="E406" s="990"/>
      <c r="F406" s="1014">
        <v>1</v>
      </c>
      <c r="G406" s="1014">
        <v>1</v>
      </c>
      <c r="H406" s="1014">
        <v>3</v>
      </c>
      <c r="I406" s="1014">
        <v>3</v>
      </c>
      <c r="J406" s="1014">
        <v>3</v>
      </c>
      <c r="K406" s="1014">
        <v>3</v>
      </c>
      <c r="L406" s="1014">
        <v>3</v>
      </c>
    </row>
    <row r="407" spans="1:12" ht="28.8" x14ac:dyDescent="0.3">
      <c r="A407" s="990">
        <v>965</v>
      </c>
      <c r="B407" s="998"/>
      <c r="C407" s="992" t="s">
        <v>1422</v>
      </c>
      <c r="D407" s="1017" t="s">
        <v>606</v>
      </c>
      <c r="E407" s="990"/>
      <c r="F407" s="1014">
        <v>1</v>
      </c>
      <c r="G407" s="1014">
        <v>1</v>
      </c>
      <c r="H407" s="1014">
        <v>1</v>
      </c>
      <c r="I407" s="1014">
        <v>1</v>
      </c>
      <c r="J407" s="1014">
        <v>1</v>
      </c>
      <c r="K407" s="1014">
        <v>1</v>
      </c>
      <c r="L407" s="1014">
        <v>1</v>
      </c>
    </row>
    <row r="408" spans="1:12" ht="28.8" x14ac:dyDescent="0.3">
      <c r="A408" s="990">
        <v>603</v>
      </c>
      <c r="B408" s="998"/>
      <c r="C408" s="992" t="s">
        <v>1423</v>
      </c>
      <c r="D408" s="1017" t="s">
        <v>611</v>
      </c>
      <c r="E408" s="990"/>
      <c r="F408" s="1014">
        <v>0</v>
      </c>
      <c r="G408" s="1014">
        <v>1</v>
      </c>
      <c r="H408" s="1014">
        <v>0</v>
      </c>
      <c r="I408" s="1014">
        <v>0</v>
      </c>
      <c r="J408" s="1014">
        <v>0</v>
      </c>
      <c r="K408" s="1014">
        <v>0</v>
      </c>
      <c r="L408" s="1014">
        <v>0</v>
      </c>
    </row>
    <row r="409" spans="1:12" x14ac:dyDescent="0.3">
      <c r="A409" s="990">
        <v>929</v>
      </c>
      <c r="B409" s="998"/>
      <c r="C409" s="992" t="s">
        <v>1423</v>
      </c>
      <c r="D409" s="1017" t="s">
        <v>607</v>
      </c>
      <c r="E409" s="990"/>
      <c r="F409" s="1014">
        <v>0</v>
      </c>
      <c r="G409" s="1014">
        <v>2</v>
      </c>
      <c r="H409" s="1014">
        <v>0</v>
      </c>
      <c r="I409" s="1014">
        <v>0</v>
      </c>
      <c r="J409" s="1014">
        <v>0</v>
      </c>
      <c r="K409" s="1014">
        <v>0</v>
      </c>
      <c r="L409" s="1014">
        <v>0</v>
      </c>
    </row>
    <row r="410" spans="1:12" x14ac:dyDescent="0.3">
      <c r="A410" s="990">
        <v>930</v>
      </c>
      <c r="B410" s="998"/>
      <c r="C410" s="992" t="s">
        <v>1423</v>
      </c>
      <c r="D410" s="1017" t="s">
        <v>608</v>
      </c>
      <c r="E410" s="990"/>
      <c r="F410" s="1014">
        <v>0</v>
      </c>
      <c r="G410" s="1014">
        <v>1</v>
      </c>
      <c r="H410" s="1014">
        <v>0</v>
      </c>
      <c r="I410" s="1014">
        <v>0</v>
      </c>
      <c r="J410" s="1014">
        <v>0</v>
      </c>
      <c r="K410" s="1014">
        <v>0</v>
      </c>
      <c r="L410" s="1014">
        <v>0</v>
      </c>
    </row>
    <row r="411" spans="1:12" x14ac:dyDescent="0.3">
      <c r="A411" s="990">
        <v>931</v>
      </c>
      <c r="B411" s="998"/>
      <c r="C411" s="992" t="s">
        <v>1423</v>
      </c>
      <c r="D411" s="1017" t="s">
        <v>609</v>
      </c>
      <c r="E411" s="990"/>
      <c r="F411" s="1014">
        <v>0</v>
      </c>
      <c r="G411" s="1014">
        <v>2</v>
      </c>
      <c r="H411" s="1014">
        <v>0</v>
      </c>
      <c r="I411" s="1014">
        <v>0</v>
      </c>
      <c r="J411" s="1014">
        <v>0</v>
      </c>
      <c r="K411" s="1014">
        <v>0</v>
      </c>
      <c r="L411" s="1014">
        <v>0</v>
      </c>
    </row>
    <row r="412" spans="1:12" x14ac:dyDescent="0.3">
      <c r="A412" s="990">
        <v>932</v>
      </c>
      <c r="B412" s="998"/>
      <c r="C412" s="992" t="s">
        <v>1423</v>
      </c>
      <c r="D412" s="1017" t="s">
        <v>610</v>
      </c>
      <c r="E412" s="990"/>
      <c r="F412" s="1014">
        <v>0</v>
      </c>
      <c r="G412" s="1014">
        <v>2</v>
      </c>
      <c r="H412" s="1014">
        <v>0</v>
      </c>
      <c r="I412" s="1014">
        <v>0</v>
      </c>
      <c r="J412" s="1014">
        <v>0</v>
      </c>
      <c r="K412" s="1014">
        <v>0</v>
      </c>
      <c r="L412" s="1014">
        <v>0</v>
      </c>
    </row>
    <row r="413" spans="1:12" x14ac:dyDescent="0.3">
      <c r="A413" s="990"/>
      <c r="B413" s="990"/>
      <c r="C413" s="990"/>
      <c r="D413" s="990"/>
      <c r="E413" s="990"/>
      <c r="F413" s="987">
        <v>128382523</v>
      </c>
      <c r="G413" s="990">
        <v>222196505</v>
      </c>
      <c r="H413" s="990">
        <v>78427152</v>
      </c>
      <c r="I413" s="990">
        <v>117520978</v>
      </c>
      <c r="J413" s="990">
        <v>83477658</v>
      </c>
      <c r="K413" s="990">
        <v>584209</v>
      </c>
      <c r="L413" s="990">
        <v>165857121</v>
      </c>
    </row>
    <row r="415" spans="1:12" x14ac:dyDescent="0.3">
      <c r="A415" s="990"/>
      <c r="B415" s="990"/>
      <c r="C415" s="990"/>
      <c r="D415" s="990"/>
      <c r="E415" s="990"/>
      <c r="F415" s="1030">
        <v>3117509424</v>
      </c>
      <c r="G415" s="1030">
        <v>4527732878</v>
      </c>
      <c r="H415" s="1030">
        <v>1594965092.8</v>
      </c>
      <c r="I415" s="1030">
        <v>1876824168.2</v>
      </c>
      <c r="J415" s="1030">
        <v>1774937869</v>
      </c>
      <c r="K415" s="1030">
        <v>3024628536.5</v>
      </c>
      <c r="L415" s="1030">
        <v>2009844353</v>
      </c>
    </row>
    <row r="419" spans="2:2" x14ac:dyDescent="0.3">
      <c r="B419" s="992" t="s">
        <v>1427</v>
      </c>
    </row>
    <row r="420" spans="2:2" x14ac:dyDescent="0.3">
      <c r="B420" s="992">
        <v>947</v>
      </c>
    </row>
    <row r="421" spans="2:2" x14ac:dyDescent="0.3">
      <c r="B421" s="998">
        <v>948</v>
      </c>
    </row>
    <row r="422" spans="2:2" x14ac:dyDescent="0.3">
      <c r="B422" s="998">
        <v>949</v>
      </c>
    </row>
    <row r="423" spans="2:2" x14ac:dyDescent="0.3">
      <c r="B423" s="998">
        <v>950</v>
      </c>
    </row>
    <row r="424" spans="2:2" x14ac:dyDescent="0.3">
      <c r="B424" s="998">
        <v>952</v>
      </c>
    </row>
    <row r="425" spans="2:2" x14ac:dyDescent="0.3">
      <c r="B425" s="998">
        <v>954</v>
      </c>
    </row>
    <row r="426" spans="2:2" x14ac:dyDescent="0.3">
      <c r="B426" s="998">
        <v>956</v>
      </c>
    </row>
    <row r="427" spans="2:2" x14ac:dyDescent="0.3">
      <c r="B427" s="998">
        <v>958</v>
      </c>
    </row>
    <row r="428" spans="2:2" x14ac:dyDescent="0.3">
      <c r="B428" s="998">
        <v>960</v>
      </c>
    </row>
    <row r="429" spans="2:2" x14ac:dyDescent="0.3">
      <c r="B429" s="998">
        <v>962</v>
      </c>
    </row>
    <row r="430" spans="2:2" x14ac:dyDescent="0.3">
      <c r="B430" s="998">
        <v>964</v>
      </c>
    </row>
    <row r="431" spans="2:2" x14ac:dyDescent="0.3">
      <c r="B431" s="998">
        <v>966</v>
      </c>
    </row>
    <row r="432" spans="2:2" x14ac:dyDescent="0.3">
      <c r="B432" s="998">
        <v>968</v>
      </c>
    </row>
    <row r="433" spans="2:2" x14ac:dyDescent="0.3">
      <c r="B433" s="998"/>
    </row>
    <row r="434" spans="2:2" x14ac:dyDescent="0.3">
      <c r="B434" s="998"/>
    </row>
    <row r="435" spans="2:2" x14ac:dyDescent="0.3">
      <c r="B435" s="998"/>
    </row>
    <row r="436" spans="2:2" x14ac:dyDescent="0.3">
      <c r="B436" s="1005"/>
    </row>
    <row r="437" spans="2:2" x14ac:dyDescent="0.3">
      <c r="B437" s="1005"/>
    </row>
    <row r="438" spans="2:2" x14ac:dyDescent="0.3">
      <c r="B438" s="1005"/>
    </row>
    <row r="439" spans="2:2" x14ac:dyDescent="0.3">
      <c r="B439" s="1005"/>
    </row>
    <row r="444" spans="2:2" x14ac:dyDescent="0.3">
      <c r="B444" s="1005"/>
    </row>
    <row r="457" spans="2:2" x14ac:dyDescent="0.3">
      <c r="B457" s="1036"/>
    </row>
    <row r="458" spans="2:2" x14ac:dyDescent="0.3">
      <c r="B458" s="1036"/>
    </row>
    <row r="459" spans="2:2" x14ac:dyDescent="0.3">
      <c r="B459" s="1036"/>
    </row>
    <row r="460" spans="2:2" x14ac:dyDescent="0.3">
      <c r="B460" s="1036"/>
    </row>
    <row r="461" spans="2:2" x14ac:dyDescent="0.3">
      <c r="B461" s="1036"/>
    </row>
    <row r="462" spans="2:2" x14ac:dyDescent="0.3">
      <c r="B462" s="1036"/>
    </row>
    <row r="463" spans="2:2" x14ac:dyDescent="0.3">
      <c r="B463" s="1036"/>
    </row>
    <row r="464" spans="2:2" x14ac:dyDescent="0.3">
      <c r="B464" s="1005"/>
    </row>
    <row r="465" spans="2:2" x14ac:dyDescent="0.3">
      <c r="B465" s="1036"/>
    </row>
    <row r="466" spans="2:2" x14ac:dyDescent="0.3">
      <c r="B466" s="1036"/>
    </row>
    <row r="467" spans="2:2" x14ac:dyDescent="0.3">
      <c r="B467" s="1036"/>
    </row>
    <row r="469" spans="2:2" x14ac:dyDescent="0.3">
      <c r="B469" s="1005"/>
    </row>
    <row r="470" spans="2:2" x14ac:dyDescent="0.3">
      <c r="B470" s="1005"/>
    </row>
    <row r="480" spans="2:2" x14ac:dyDescent="0.3">
      <c r="B480" s="1036"/>
    </row>
    <row r="481" spans="2:2" x14ac:dyDescent="0.3">
      <c r="B481" s="1036"/>
    </row>
    <row r="482" spans="2:2" x14ac:dyDescent="0.3">
      <c r="B482" s="1036"/>
    </row>
    <row r="483" spans="2:2" x14ac:dyDescent="0.3">
      <c r="B483" s="1005"/>
    </row>
    <row r="490" spans="2:2" x14ac:dyDescent="0.3">
      <c r="B490" s="1036"/>
    </row>
    <row r="491" spans="2:2" x14ac:dyDescent="0.3">
      <c r="B491" s="1036"/>
    </row>
    <row r="492" spans="2:2" x14ac:dyDescent="0.3">
      <c r="B492" s="1036"/>
    </row>
    <row r="493" spans="2:2" x14ac:dyDescent="0.3">
      <c r="B493" s="1036"/>
    </row>
    <row r="494" spans="2:2" x14ac:dyDescent="0.3">
      <c r="B494" s="1036"/>
    </row>
    <row r="495" spans="2:2" x14ac:dyDescent="0.3">
      <c r="B495" s="1036"/>
    </row>
    <row r="496" spans="2:2" x14ac:dyDescent="0.3">
      <c r="B496" s="1036"/>
    </row>
    <row r="497" spans="2:2" x14ac:dyDescent="0.3">
      <c r="B497" s="1036"/>
    </row>
    <row r="498" spans="2:2" x14ac:dyDescent="0.3">
      <c r="B498" s="1036"/>
    </row>
    <row r="499" spans="2:2" x14ac:dyDescent="0.3">
      <c r="B499" s="1005"/>
    </row>
    <row r="505" spans="2:2" x14ac:dyDescent="0.3">
      <c r="B505" s="1036"/>
    </row>
    <row r="506" spans="2:2" x14ac:dyDescent="0.3">
      <c r="B506" s="1036"/>
    </row>
    <row r="507" spans="2:2" x14ac:dyDescent="0.3">
      <c r="B507" s="1036"/>
    </row>
    <row r="508" spans="2:2" x14ac:dyDescent="0.3">
      <c r="B508" s="1036"/>
    </row>
    <row r="509" spans="2:2" x14ac:dyDescent="0.3">
      <c r="B509" s="1036"/>
    </row>
    <row r="510" spans="2:2" x14ac:dyDescent="0.3">
      <c r="B510" s="1036"/>
    </row>
    <row r="511" spans="2:2" x14ac:dyDescent="0.3">
      <c r="B511" s="1036"/>
    </row>
    <row r="515" spans="2:2" x14ac:dyDescent="0.3">
      <c r="B515" s="1037"/>
    </row>
    <row r="520" spans="2:2" x14ac:dyDescent="0.3">
      <c r="B520" s="1037"/>
    </row>
    <row r="525" spans="2:2" x14ac:dyDescent="0.3">
      <c r="B525" s="1037"/>
    </row>
    <row r="529" spans="2:2" x14ac:dyDescent="0.3">
      <c r="B529" s="1005"/>
    </row>
    <row r="530" spans="2:2" x14ac:dyDescent="0.3">
      <c r="B530" s="1005"/>
    </row>
    <row r="531" spans="2:2" x14ac:dyDescent="0.3">
      <c r="B531" s="1005"/>
    </row>
    <row r="532" spans="2:2" x14ac:dyDescent="0.3">
      <c r="B532" s="1005"/>
    </row>
    <row r="533" spans="2:2" x14ac:dyDescent="0.3">
      <c r="B533" s="1005"/>
    </row>
    <row r="534" spans="2:2" x14ac:dyDescent="0.3">
      <c r="B534" s="1005"/>
    </row>
    <row r="535" spans="2:2" x14ac:dyDescent="0.3">
      <c r="B535" s="1005"/>
    </row>
    <row r="536" spans="2:2" x14ac:dyDescent="0.3">
      <c r="B536" s="1005"/>
    </row>
    <row r="537" spans="2:2" x14ac:dyDescent="0.3">
      <c r="B537" s="1005"/>
    </row>
    <row r="538" spans="2:2" x14ac:dyDescent="0.3">
      <c r="B538" s="1005"/>
    </row>
    <row r="539" spans="2:2" x14ac:dyDescent="0.3">
      <c r="B539" s="1005"/>
    </row>
    <row r="540" spans="2:2" x14ac:dyDescent="0.3">
      <c r="B540" s="1005"/>
    </row>
    <row r="541" spans="2:2" x14ac:dyDescent="0.3">
      <c r="B541" s="1005"/>
    </row>
    <row r="542" spans="2:2" x14ac:dyDescent="0.3">
      <c r="B542" s="1005"/>
    </row>
    <row r="543" spans="2:2" x14ac:dyDescent="0.3">
      <c r="B543" s="1005"/>
    </row>
    <row r="544" spans="2:2" x14ac:dyDescent="0.3">
      <c r="B544" s="1005"/>
    </row>
    <row r="545" spans="2:2" x14ac:dyDescent="0.3">
      <c r="B545" s="1005"/>
    </row>
    <row r="546" spans="2:2" x14ac:dyDescent="0.3">
      <c r="B546" s="1005"/>
    </row>
    <row r="547" spans="2:2" x14ac:dyDescent="0.3">
      <c r="B547" s="1005"/>
    </row>
    <row r="548" spans="2:2" x14ac:dyDescent="0.3">
      <c r="B548" s="1005"/>
    </row>
    <row r="549" spans="2:2" x14ac:dyDescent="0.3">
      <c r="B549" s="1005"/>
    </row>
    <row r="550" spans="2:2" x14ac:dyDescent="0.3">
      <c r="B550" s="1005"/>
    </row>
    <row r="577" spans="2:5" x14ac:dyDescent="0.3">
      <c r="B577" s="1038"/>
      <c r="C577" s="990"/>
      <c r="D577" s="990"/>
      <c r="E577" s="990"/>
    </row>
    <row r="578" spans="2:5" x14ac:dyDescent="0.3">
      <c r="B578" s="1038"/>
      <c r="C578" s="990"/>
      <c r="D578" s="990"/>
      <c r="E578" s="990"/>
    </row>
    <row r="579" spans="2:5" x14ac:dyDescent="0.3">
      <c r="B579" s="1038"/>
      <c r="C579" s="990"/>
      <c r="D579" s="990"/>
      <c r="E579" s="990"/>
    </row>
    <row r="580" spans="2:5" x14ac:dyDescent="0.3">
      <c r="B580" s="1038"/>
      <c r="C580" s="990"/>
      <c r="D580" s="990"/>
      <c r="E580" s="990"/>
    </row>
    <row r="581" spans="2:5" x14ac:dyDescent="0.3">
      <c r="B581" s="1038"/>
      <c r="C581" s="990"/>
      <c r="D581" s="990"/>
      <c r="E581" s="990"/>
    </row>
    <row r="582" spans="2:5" x14ac:dyDescent="0.3">
      <c r="B582" s="1038"/>
      <c r="C582" s="990"/>
      <c r="D582" s="990"/>
      <c r="E582" s="990"/>
    </row>
    <row r="583" spans="2:5" x14ac:dyDescent="0.3">
      <c r="B583" s="1038"/>
      <c r="C583" s="990"/>
      <c r="D583" s="990"/>
      <c r="E583" s="990"/>
    </row>
    <row r="584" spans="2:5" x14ac:dyDescent="0.3">
      <c r="B584" s="1038"/>
      <c r="C584" s="990"/>
      <c r="D584" s="990"/>
      <c r="E584" s="990"/>
    </row>
    <row r="585" spans="2:5" x14ac:dyDescent="0.3">
      <c r="B585" s="1038"/>
      <c r="C585" s="990"/>
      <c r="D585" s="990"/>
      <c r="E585" s="990"/>
    </row>
    <row r="586" spans="2:5" x14ac:dyDescent="0.3">
      <c r="B586" s="1038"/>
      <c r="C586" s="990"/>
      <c r="D586" s="990"/>
      <c r="E586" s="990"/>
    </row>
    <row r="587" spans="2:5" x14ac:dyDescent="0.3">
      <c r="B587" s="1038"/>
      <c r="C587" s="990"/>
      <c r="D587" s="990"/>
      <c r="E587" s="990"/>
    </row>
    <row r="588" spans="2:5" x14ac:dyDescent="0.3">
      <c r="B588" s="1038"/>
      <c r="C588" s="990"/>
      <c r="D588" s="990"/>
      <c r="E588" s="990"/>
    </row>
    <row r="589" spans="2:5" x14ac:dyDescent="0.3">
      <c r="B589" s="1038"/>
      <c r="C589" s="990"/>
      <c r="D589" s="990"/>
      <c r="E589" s="990"/>
    </row>
    <row r="590" spans="2:5" x14ac:dyDescent="0.3">
      <c r="B590" s="990"/>
      <c r="C590" s="990"/>
      <c r="D590" s="990"/>
      <c r="E590" s="990"/>
    </row>
    <row r="591" spans="2:5" x14ac:dyDescent="0.3">
      <c r="B591" s="990"/>
      <c r="C591" s="990"/>
      <c r="D591" s="990"/>
      <c r="E591" s="990"/>
    </row>
    <row r="592" spans="2:5" x14ac:dyDescent="0.3">
      <c r="B592" s="990"/>
      <c r="C592" s="990"/>
      <c r="D592" s="990"/>
      <c r="E592" s="990"/>
    </row>
    <row r="593" spans="2:5" x14ac:dyDescent="0.3">
      <c r="B593" s="990"/>
      <c r="C593" s="990"/>
      <c r="D593" s="990"/>
      <c r="E593" s="990"/>
    </row>
    <row r="594" spans="2:5" x14ac:dyDescent="0.3">
      <c r="B594" s="990"/>
      <c r="C594" s="990"/>
      <c r="D594" s="990"/>
      <c r="E594" s="990"/>
    </row>
    <row r="595" spans="2:5" x14ac:dyDescent="0.3">
      <c r="B595" s="990"/>
      <c r="C595" s="990"/>
      <c r="D595" s="990"/>
      <c r="E595" s="990"/>
    </row>
    <row r="596" spans="2:5" x14ac:dyDescent="0.3">
      <c r="B596" s="990"/>
      <c r="C596" s="990"/>
      <c r="D596" s="990"/>
      <c r="E596" s="990"/>
    </row>
    <row r="597" spans="2:5" x14ac:dyDescent="0.3">
      <c r="B597" s="990"/>
      <c r="C597" s="990"/>
      <c r="D597" s="990"/>
      <c r="E597" s="990"/>
    </row>
    <row r="598" spans="2:5" x14ac:dyDescent="0.3">
      <c r="B598" s="990"/>
      <c r="C598" s="990"/>
      <c r="D598" s="990"/>
      <c r="E598" s="990"/>
    </row>
    <row r="599" spans="2:5" x14ac:dyDescent="0.3">
      <c r="B599" s="990"/>
      <c r="C599" s="990"/>
      <c r="D599" s="990"/>
      <c r="E599" s="990"/>
    </row>
    <row r="600" spans="2:5" x14ac:dyDescent="0.3">
      <c r="B600" s="990"/>
      <c r="C600" s="990"/>
      <c r="D600" s="990"/>
      <c r="E600" s="990"/>
    </row>
    <row r="601" spans="2:5" x14ac:dyDescent="0.3">
      <c r="B601" s="990"/>
      <c r="C601" s="990"/>
      <c r="D601" s="990"/>
      <c r="E601" s="990"/>
    </row>
    <row r="602" spans="2:5" x14ac:dyDescent="0.3">
      <c r="B602" s="990"/>
      <c r="C602" s="990"/>
      <c r="D602" s="990"/>
      <c r="E602" s="990"/>
    </row>
    <row r="603" spans="2:5" x14ac:dyDescent="0.3">
      <c r="B603" s="990"/>
      <c r="C603" s="990"/>
      <c r="D603" s="990"/>
      <c r="E603" s="990"/>
    </row>
    <row r="604" spans="2:5" x14ac:dyDescent="0.3">
      <c r="B604" s="990"/>
      <c r="C604" s="990"/>
      <c r="D604" s="990"/>
      <c r="E604" s="990"/>
    </row>
    <row r="605" spans="2:5" x14ac:dyDescent="0.3">
      <c r="B605" s="990"/>
      <c r="C605" s="990"/>
      <c r="D605" s="990"/>
      <c r="E605" s="990"/>
    </row>
    <row r="606" spans="2:5" x14ac:dyDescent="0.3">
      <c r="B606" s="990"/>
      <c r="C606" s="990"/>
      <c r="D606" s="990"/>
      <c r="E606" s="990"/>
    </row>
    <row r="607" spans="2:5" x14ac:dyDescent="0.3">
      <c r="B607" s="990"/>
      <c r="C607" s="990"/>
      <c r="D607" s="990"/>
      <c r="E607" s="990"/>
    </row>
  </sheetData>
  <sheetProtection algorithmName="SHA-512" hashValue="hJBjFnxK3cRGxdWnI90LbLPRvzBHhheL8JbTTZsbPEaXqCkfhgljaUMByxaADfX4x6X2iq6araF2OM6bpJTwmg==" saltValue="v+VzMLhxJvwc7T9tav6gMA==" spinCount="100000" sheet="1" objects="1" scenarios="1"/>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J177"/>
  <sheetViews>
    <sheetView zoomScale="120" zoomScaleNormal="120" workbookViewId="0">
      <selection activeCell="A2" sqref="A2:H2"/>
    </sheetView>
  </sheetViews>
  <sheetFormatPr defaultColWidth="9.109375" defaultRowHeight="14.4" x14ac:dyDescent="0.3"/>
  <cols>
    <col min="1" max="2" width="9.109375" style="270"/>
    <col min="3" max="3" width="42" style="270" customWidth="1"/>
    <col min="4" max="4" width="34.6640625" style="270" customWidth="1"/>
    <col min="5" max="5" width="22.6640625" style="270" customWidth="1"/>
    <col min="6" max="6" width="26" style="270" customWidth="1"/>
    <col min="7" max="7" width="27.109375" style="270" customWidth="1"/>
    <col min="8" max="8" width="27.33203125" style="270" customWidth="1"/>
    <col min="9" max="9" width="28.44140625" style="270" customWidth="1"/>
    <col min="10" max="10" width="27.44140625" style="270" customWidth="1"/>
    <col min="11" max="16384" width="9.109375" style="270"/>
  </cols>
  <sheetData>
    <row r="1" spans="1:10" x14ac:dyDescent="0.3">
      <c r="B1" s="270" t="s">
        <v>1337</v>
      </c>
      <c r="C1" s="270" t="s">
        <v>42</v>
      </c>
      <c r="D1" s="270" t="s">
        <v>1330</v>
      </c>
      <c r="E1" s="270" t="s">
        <v>1331</v>
      </c>
      <c r="F1" s="270" t="s">
        <v>1332</v>
      </c>
      <c r="G1" s="270" t="s">
        <v>1333</v>
      </c>
      <c r="H1" s="270" t="s">
        <v>1334</v>
      </c>
      <c r="I1" s="270" t="s">
        <v>1335</v>
      </c>
      <c r="J1" s="270" t="s">
        <v>1336</v>
      </c>
    </row>
    <row r="2" spans="1:10" x14ac:dyDescent="0.3">
      <c r="A2" s="270" t="s">
        <v>1338</v>
      </c>
      <c r="D2" s="270">
        <v>584016</v>
      </c>
      <c r="E2" s="270">
        <v>584021</v>
      </c>
      <c r="F2" s="270">
        <v>581427</v>
      </c>
      <c r="G2" s="270">
        <v>584015</v>
      </c>
      <c r="H2" s="270">
        <v>581418</v>
      </c>
      <c r="I2" s="270">
        <v>584134</v>
      </c>
      <c r="J2" s="270">
        <v>581419</v>
      </c>
    </row>
    <row r="3" spans="1:10" x14ac:dyDescent="0.3">
      <c r="B3" s="270">
        <v>10</v>
      </c>
      <c r="C3" s="270" t="s">
        <v>1339</v>
      </c>
      <c r="D3" s="270">
        <v>0</v>
      </c>
      <c r="E3" s="270">
        <v>0</v>
      </c>
      <c r="F3" s="270">
        <v>0</v>
      </c>
      <c r="G3" s="270">
        <v>0</v>
      </c>
      <c r="H3" s="270">
        <v>0</v>
      </c>
      <c r="I3" s="270">
        <v>0</v>
      </c>
      <c r="J3" s="270">
        <v>0</v>
      </c>
    </row>
    <row r="4" spans="1:10" x14ac:dyDescent="0.3">
      <c r="A4" s="270">
        <v>108</v>
      </c>
      <c r="B4" s="270">
        <v>108</v>
      </c>
      <c r="C4" s="270" t="s">
        <v>1340</v>
      </c>
      <c r="D4" s="987">
        <v>535429973</v>
      </c>
      <c r="E4" s="987">
        <v>884431978</v>
      </c>
      <c r="F4" s="987">
        <v>287863597</v>
      </c>
      <c r="G4" s="987">
        <v>343564762</v>
      </c>
      <c r="H4" s="987">
        <v>338628943</v>
      </c>
      <c r="I4" s="987">
        <v>493849761</v>
      </c>
      <c r="J4" s="987">
        <v>427880469</v>
      </c>
    </row>
    <row r="5" spans="1:10" x14ac:dyDescent="0.3">
      <c r="B5" s="270">
        <v>12</v>
      </c>
      <c r="C5" s="270" t="s">
        <v>363</v>
      </c>
      <c r="D5" s="270">
        <v>0</v>
      </c>
      <c r="E5" s="270">
        <v>0</v>
      </c>
      <c r="F5" s="270">
        <v>0</v>
      </c>
      <c r="G5" s="270">
        <v>0</v>
      </c>
      <c r="H5" s="270">
        <v>0</v>
      </c>
      <c r="I5" s="270">
        <v>0</v>
      </c>
      <c r="J5" s="270">
        <v>0</v>
      </c>
    </row>
    <row r="6" spans="1:10" x14ac:dyDescent="0.3">
      <c r="A6" s="270">
        <v>13</v>
      </c>
      <c r="B6" s="270">
        <v>13</v>
      </c>
      <c r="C6" s="270" t="s">
        <v>364</v>
      </c>
      <c r="D6" s="987">
        <v>79082090</v>
      </c>
      <c r="E6" s="987">
        <v>117159420</v>
      </c>
      <c r="F6" s="987">
        <v>71109093</v>
      </c>
      <c r="G6" s="987">
        <v>35715701</v>
      </c>
      <c r="H6" s="987">
        <v>88801903</v>
      </c>
      <c r="I6" s="987">
        <v>111374250</v>
      </c>
      <c r="J6" s="987">
        <v>62595947</v>
      </c>
    </row>
    <row r="7" spans="1:10" x14ac:dyDescent="0.3">
      <c r="A7" s="270">
        <v>14</v>
      </c>
      <c r="B7" s="270">
        <v>14</v>
      </c>
      <c r="C7" s="270" t="s">
        <v>1341</v>
      </c>
      <c r="D7" s="987">
        <v>45034984</v>
      </c>
      <c r="E7" s="987">
        <v>51306996</v>
      </c>
      <c r="F7" s="987">
        <v>15527868</v>
      </c>
      <c r="G7" s="987">
        <v>20397423</v>
      </c>
      <c r="H7" s="987">
        <v>15537463</v>
      </c>
      <c r="I7" s="987">
        <v>37152828</v>
      </c>
      <c r="J7" s="987">
        <v>30649067</v>
      </c>
    </row>
    <row r="8" spans="1:10" x14ac:dyDescent="0.3">
      <c r="B8" s="270">
        <v>16</v>
      </c>
      <c r="C8" s="270" t="s">
        <v>1342</v>
      </c>
      <c r="D8" s="270">
        <v>0</v>
      </c>
      <c r="E8" s="270">
        <v>0</v>
      </c>
      <c r="F8" s="270">
        <v>0</v>
      </c>
      <c r="G8" s="270">
        <v>0</v>
      </c>
      <c r="H8" s="270">
        <v>0</v>
      </c>
      <c r="I8" s="270">
        <v>0</v>
      </c>
      <c r="J8" s="270">
        <v>0</v>
      </c>
    </row>
    <row r="9" spans="1:10" x14ac:dyDescent="0.3">
      <c r="B9" s="270">
        <v>17</v>
      </c>
      <c r="C9" s="270" t="s">
        <v>1343</v>
      </c>
      <c r="D9" s="270">
        <v>0</v>
      </c>
      <c r="E9" s="270">
        <v>0</v>
      </c>
      <c r="F9" s="270">
        <v>0</v>
      </c>
      <c r="G9" s="270">
        <v>0</v>
      </c>
      <c r="H9" s="270">
        <v>0</v>
      </c>
      <c r="I9" s="270">
        <v>0</v>
      </c>
      <c r="J9" s="270">
        <v>0</v>
      </c>
    </row>
    <row r="10" spans="1:10" x14ac:dyDescent="0.3">
      <c r="B10" s="270">
        <v>19</v>
      </c>
      <c r="C10" s="270" t="s">
        <v>1344</v>
      </c>
      <c r="D10" s="270">
        <v>0</v>
      </c>
      <c r="E10" s="270">
        <v>0</v>
      </c>
      <c r="F10" s="270">
        <v>0</v>
      </c>
      <c r="G10" s="270">
        <v>0</v>
      </c>
      <c r="H10" s="270">
        <v>0</v>
      </c>
      <c r="I10" s="270">
        <v>0</v>
      </c>
      <c r="J10" s="270">
        <v>0</v>
      </c>
    </row>
    <row r="11" spans="1:10" x14ac:dyDescent="0.3">
      <c r="A11" s="270">
        <v>107</v>
      </c>
      <c r="B11" s="270">
        <v>107</v>
      </c>
      <c r="C11" s="270" t="s">
        <v>1345</v>
      </c>
      <c r="D11" s="987">
        <v>509195973</v>
      </c>
      <c r="E11" s="987">
        <v>844791271</v>
      </c>
      <c r="F11" s="987">
        <v>288103892</v>
      </c>
      <c r="G11" s="987">
        <v>331608812</v>
      </c>
      <c r="H11" s="987">
        <v>313040772</v>
      </c>
      <c r="I11" s="987">
        <v>536514578</v>
      </c>
      <c r="J11" s="987">
        <v>423209547</v>
      </c>
    </row>
    <row r="12" spans="1:10" x14ac:dyDescent="0.3">
      <c r="B12" s="270">
        <v>193</v>
      </c>
      <c r="C12" s="270" t="s">
        <v>1346</v>
      </c>
      <c r="D12" s="270">
        <v>0</v>
      </c>
      <c r="E12" s="270">
        <v>0</v>
      </c>
      <c r="F12" s="270">
        <v>0</v>
      </c>
      <c r="G12" s="270">
        <v>0</v>
      </c>
      <c r="H12" s="270">
        <v>0</v>
      </c>
      <c r="I12" s="270">
        <v>0</v>
      </c>
      <c r="J12" s="270">
        <v>0</v>
      </c>
    </row>
    <row r="13" spans="1:10" x14ac:dyDescent="0.3">
      <c r="B13" s="270">
        <v>20</v>
      </c>
      <c r="C13" s="270" t="s">
        <v>1347</v>
      </c>
      <c r="D13" s="270">
        <v>0</v>
      </c>
      <c r="E13" s="270">
        <v>0</v>
      </c>
      <c r="F13" s="270">
        <v>0</v>
      </c>
      <c r="G13" s="270">
        <v>0</v>
      </c>
      <c r="H13" s="270">
        <v>0</v>
      </c>
      <c r="I13" s="270">
        <v>0</v>
      </c>
      <c r="J13" s="270">
        <v>0</v>
      </c>
    </row>
    <row r="14" spans="1:10" x14ac:dyDescent="0.3">
      <c r="B14" s="270">
        <v>21</v>
      </c>
      <c r="C14" s="270" t="s">
        <v>365</v>
      </c>
      <c r="D14" s="270">
        <v>0</v>
      </c>
      <c r="E14" s="270">
        <v>0</v>
      </c>
      <c r="F14" s="270">
        <v>0</v>
      </c>
      <c r="G14" s="270">
        <v>0</v>
      </c>
      <c r="H14" s="270">
        <v>0</v>
      </c>
      <c r="I14" s="270">
        <v>0</v>
      </c>
      <c r="J14" s="270">
        <v>0</v>
      </c>
    </row>
    <row r="15" spans="1:10" x14ac:dyDescent="0.3">
      <c r="B15" s="270">
        <v>22</v>
      </c>
      <c r="C15" s="270" t="s">
        <v>1348</v>
      </c>
      <c r="D15" s="270">
        <v>0</v>
      </c>
      <c r="E15" s="270">
        <v>0</v>
      </c>
      <c r="F15" s="270">
        <v>0</v>
      </c>
      <c r="G15" s="270">
        <v>0</v>
      </c>
      <c r="H15" s="270">
        <v>0</v>
      </c>
      <c r="I15" s="270">
        <v>0</v>
      </c>
      <c r="J15" s="270">
        <v>0</v>
      </c>
    </row>
    <row r="16" spans="1:10" x14ac:dyDescent="0.3">
      <c r="B16" s="270">
        <v>23</v>
      </c>
      <c r="C16" s="270" t="s">
        <v>1349</v>
      </c>
      <c r="D16" s="270">
        <v>0</v>
      </c>
      <c r="E16" s="270">
        <v>0</v>
      </c>
      <c r="F16" s="270">
        <v>0</v>
      </c>
      <c r="G16" s="270">
        <v>0</v>
      </c>
      <c r="H16" s="270">
        <v>0</v>
      </c>
      <c r="I16" s="270">
        <v>0</v>
      </c>
      <c r="J16" s="270">
        <v>0</v>
      </c>
    </row>
    <row r="17" spans="2:10" x14ac:dyDescent="0.3">
      <c r="B17" s="270">
        <v>231</v>
      </c>
      <c r="C17" s="270" t="s">
        <v>302</v>
      </c>
      <c r="D17" s="270">
        <v>0</v>
      </c>
      <c r="E17" s="270">
        <v>0</v>
      </c>
      <c r="F17" s="270">
        <v>0</v>
      </c>
      <c r="G17" s="270">
        <v>0</v>
      </c>
      <c r="H17" s="270">
        <v>0</v>
      </c>
      <c r="I17" s="270">
        <v>0</v>
      </c>
      <c r="J17" s="270">
        <v>0</v>
      </c>
    </row>
    <row r="18" spans="2:10" x14ac:dyDescent="0.3">
      <c r="B18" s="270">
        <v>251</v>
      </c>
      <c r="C18" s="270" t="s">
        <v>303</v>
      </c>
      <c r="D18" s="270">
        <v>0</v>
      </c>
      <c r="E18" s="270">
        <v>0</v>
      </c>
      <c r="F18" s="270">
        <v>0</v>
      </c>
      <c r="G18" s="270">
        <v>0</v>
      </c>
      <c r="H18" s="270">
        <v>0</v>
      </c>
      <c r="I18" s="270">
        <v>0</v>
      </c>
      <c r="J18" s="270">
        <v>0</v>
      </c>
    </row>
    <row r="19" spans="2:10" x14ac:dyDescent="0.3">
      <c r="B19" s="270">
        <v>252</v>
      </c>
      <c r="C19" s="270" t="s">
        <v>1350</v>
      </c>
      <c r="D19" s="270">
        <v>0</v>
      </c>
      <c r="E19" s="270">
        <v>0</v>
      </c>
      <c r="F19" s="270">
        <v>0</v>
      </c>
      <c r="G19" s="270">
        <v>0</v>
      </c>
      <c r="H19" s="270">
        <v>0</v>
      </c>
      <c r="I19" s="270">
        <v>0</v>
      </c>
      <c r="J19" s="270">
        <v>0</v>
      </c>
    </row>
    <row r="20" spans="2:10" x14ac:dyDescent="0.3">
      <c r="B20" s="270">
        <v>253</v>
      </c>
      <c r="C20" s="270" t="s">
        <v>1351</v>
      </c>
      <c r="D20" s="270">
        <v>0</v>
      </c>
      <c r="E20" s="270">
        <v>0</v>
      </c>
      <c r="F20" s="270">
        <v>0</v>
      </c>
      <c r="G20" s="270">
        <v>0</v>
      </c>
      <c r="H20" s="270">
        <v>0</v>
      </c>
      <c r="I20" s="270">
        <v>0</v>
      </c>
      <c r="J20" s="270">
        <v>0</v>
      </c>
    </row>
    <row r="21" spans="2:10" x14ac:dyDescent="0.3">
      <c r="B21" s="270">
        <v>254</v>
      </c>
      <c r="C21" s="270" t="s">
        <v>1352</v>
      </c>
      <c r="D21" s="270">
        <v>0</v>
      </c>
      <c r="E21" s="270">
        <v>0</v>
      </c>
      <c r="F21" s="270">
        <v>0</v>
      </c>
      <c r="G21" s="270">
        <v>0</v>
      </c>
      <c r="H21" s="270">
        <v>0</v>
      </c>
      <c r="I21" s="270">
        <v>0</v>
      </c>
      <c r="J21" s="270">
        <v>0</v>
      </c>
    </row>
    <row r="22" spans="2:10" x14ac:dyDescent="0.3">
      <c r="B22" s="270">
        <v>255</v>
      </c>
      <c r="C22" s="270" t="s">
        <v>1353</v>
      </c>
      <c r="D22" s="270">
        <v>0</v>
      </c>
      <c r="E22" s="270">
        <v>0</v>
      </c>
      <c r="F22" s="270">
        <v>0</v>
      </c>
      <c r="G22" s="270">
        <v>0</v>
      </c>
      <c r="H22" s="270">
        <v>0</v>
      </c>
      <c r="I22" s="270">
        <v>0</v>
      </c>
      <c r="J22" s="270">
        <v>0</v>
      </c>
    </row>
    <row r="23" spans="2:10" x14ac:dyDescent="0.3">
      <c r="B23" s="270">
        <v>256</v>
      </c>
      <c r="C23" s="270" t="s">
        <v>1354</v>
      </c>
      <c r="D23" s="270">
        <v>0</v>
      </c>
      <c r="E23" s="270">
        <v>0</v>
      </c>
      <c r="F23" s="270">
        <v>0</v>
      </c>
      <c r="G23" s="270">
        <v>0</v>
      </c>
      <c r="H23" s="270">
        <v>0</v>
      </c>
      <c r="I23" s="270">
        <v>0</v>
      </c>
      <c r="J23" s="270">
        <v>0</v>
      </c>
    </row>
    <row r="24" spans="2:10" x14ac:dyDescent="0.3">
      <c r="B24" s="270">
        <v>257</v>
      </c>
      <c r="C24" s="270" t="s">
        <v>1355</v>
      </c>
      <c r="D24" s="270">
        <v>0</v>
      </c>
      <c r="E24" s="270">
        <v>0</v>
      </c>
      <c r="F24" s="270">
        <v>0</v>
      </c>
      <c r="G24" s="270">
        <v>0</v>
      </c>
      <c r="H24" s="270">
        <v>0</v>
      </c>
      <c r="I24" s="270">
        <v>0</v>
      </c>
      <c r="J24" s="270">
        <v>0</v>
      </c>
    </row>
    <row r="25" spans="2:10" x14ac:dyDescent="0.3">
      <c r="B25" s="270">
        <v>258</v>
      </c>
      <c r="C25" s="270" t="s">
        <v>1356</v>
      </c>
      <c r="D25" s="270">
        <v>0</v>
      </c>
      <c r="E25" s="270">
        <v>0</v>
      </c>
      <c r="F25" s="270">
        <v>0</v>
      </c>
      <c r="G25" s="270">
        <v>0</v>
      </c>
      <c r="H25" s="270">
        <v>0</v>
      </c>
      <c r="I25" s="270">
        <v>0</v>
      </c>
      <c r="J25" s="270">
        <v>0</v>
      </c>
    </row>
    <row r="26" spans="2:10" x14ac:dyDescent="0.3">
      <c r="B26" s="270">
        <v>259</v>
      </c>
      <c r="C26" s="270" t="s">
        <v>1357</v>
      </c>
      <c r="D26" s="270">
        <v>0</v>
      </c>
      <c r="E26" s="270">
        <v>0</v>
      </c>
      <c r="F26" s="270">
        <v>0</v>
      </c>
      <c r="G26" s="270">
        <v>0</v>
      </c>
      <c r="H26" s="270">
        <v>0</v>
      </c>
      <c r="I26" s="270">
        <v>0</v>
      </c>
      <c r="J26" s="270">
        <v>0</v>
      </c>
    </row>
    <row r="27" spans="2:10" x14ac:dyDescent="0.3">
      <c r="B27" s="270">
        <v>260</v>
      </c>
      <c r="C27" s="270" t="s">
        <v>1358</v>
      </c>
      <c r="D27" s="270">
        <v>0</v>
      </c>
      <c r="E27" s="270">
        <v>0</v>
      </c>
      <c r="F27" s="270">
        <v>0</v>
      </c>
      <c r="G27" s="270">
        <v>0</v>
      </c>
      <c r="H27" s="270">
        <v>0</v>
      </c>
      <c r="I27" s="270">
        <v>0</v>
      </c>
      <c r="J27" s="270">
        <v>0</v>
      </c>
    </row>
    <row r="28" spans="2:10" x14ac:dyDescent="0.3">
      <c r="B28" s="270">
        <v>261</v>
      </c>
      <c r="C28" s="270" t="s">
        <v>1359</v>
      </c>
      <c r="D28" s="270">
        <v>0</v>
      </c>
      <c r="E28" s="270">
        <v>0</v>
      </c>
      <c r="F28" s="270">
        <v>0</v>
      </c>
      <c r="G28" s="270">
        <v>0</v>
      </c>
      <c r="H28" s="270">
        <v>0</v>
      </c>
      <c r="I28" s="270">
        <v>0</v>
      </c>
      <c r="J28" s="270">
        <v>0</v>
      </c>
    </row>
    <row r="29" spans="2:10" x14ac:dyDescent="0.3">
      <c r="B29" s="270">
        <v>262</v>
      </c>
      <c r="C29" s="270" t="s">
        <v>1360</v>
      </c>
      <c r="D29" s="270">
        <v>0</v>
      </c>
      <c r="E29" s="270">
        <v>0</v>
      </c>
      <c r="F29" s="270">
        <v>0</v>
      </c>
      <c r="G29" s="270">
        <v>0</v>
      </c>
      <c r="H29" s="270">
        <v>0</v>
      </c>
      <c r="I29" s="270">
        <v>0</v>
      </c>
      <c r="J29" s="270">
        <v>0</v>
      </c>
    </row>
    <row r="30" spans="2:10" x14ac:dyDescent="0.3">
      <c r="B30" s="270">
        <v>263</v>
      </c>
      <c r="C30" s="270" t="s">
        <v>1361</v>
      </c>
      <c r="D30" s="270">
        <v>0</v>
      </c>
      <c r="E30" s="270">
        <v>0</v>
      </c>
      <c r="F30" s="270">
        <v>0</v>
      </c>
      <c r="G30" s="270">
        <v>0</v>
      </c>
      <c r="H30" s="270">
        <v>0</v>
      </c>
      <c r="I30" s="270">
        <v>0</v>
      </c>
      <c r="J30" s="270">
        <v>0</v>
      </c>
    </row>
    <row r="31" spans="2:10" x14ac:dyDescent="0.3">
      <c r="B31" s="270">
        <v>31</v>
      </c>
      <c r="C31" s="270" t="s">
        <v>1362</v>
      </c>
      <c r="D31" s="270">
        <v>0</v>
      </c>
      <c r="E31" s="270">
        <v>0</v>
      </c>
      <c r="F31" s="270">
        <v>0</v>
      </c>
      <c r="G31" s="270">
        <v>0</v>
      </c>
      <c r="H31" s="270">
        <v>0</v>
      </c>
      <c r="I31" s="270">
        <v>0</v>
      </c>
      <c r="J31" s="270">
        <v>0</v>
      </c>
    </row>
    <row r="32" spans="2:10" x14ac:dyDescent="0.3">
      <c r="B32" s="270">
        <v>317</v>
      </c>
      <c r="C32" s="270" t="s">
        <v>1363</v>
      </c>
      <c r="D32" s="270">
        <v>0</v>
      </c>
      <c r="E32" s="270">
        <v>0</v>
      </c>
      <c r="F32" s="270">
        <v>0</v>
      </c>
      <c r="G32" s="270">
        <v>0</v>
      </c>
      <c r="H32" s="270">
        <v>0</v>
      </c>
      <c r="I32" s="270">
        <v>0</v>
      </c>
      <c r="J32" s="270">
        <v>0</v>
      </c>
    </row>
    <row r="33" spans="1:10" x14ac:dyDescent="0.3">
      <c r="A33" s="270">
        <v>32</v>
      </c>
      <c r="B33" s="270">
        <v>32</v>
      </c>
      <c r="C33" s="270" t="s">
        <v>1364</v>
      </c>
      <c r="D33" s="987">
        <v>817816</v>
      </c>
      <c r="E33" s="987">
        <v>3069270</v>
      </c>
      <c r="F33" s="987">
        <v>523356</v>
      </c>
      <c r="G33" s="987">
        <v>761531</v>
      </c>
      <c r="H33" s="987">
        <v>712340</v>
      </c>
      <c r="I33" s="987">
        <v>1419386</v>
      </c>
      <c r="J33" s="987">
        <v>794708</v>
      </c>
    </row>
    <row r="34" spans="1:10" x14ac:dyDescent="0.3">
      <c r="B34" s="270">
        <v>320</v>
      </c>
      <c r="C34" s="270" t="s">
        <v>1365</v>
      </c>
      <c r="D34" s="270">
        <v>0</v>
      </c>
      <c r="E34" s="270">
        <v>0</v>
      </c>
      <c r="F34" s="270">
        <v>0</v>
      </c>
      <c r="G34" s="270">
        <v>0</v>
      </c>
      <c r="H34" s="270">
        <v>0</v>
      </c>
      <c r="I34" s="270">
        <v>0</v>
      </c>
      <c r="J34" s="270">
        <v>0</v>
      </c>
    </row>
    <row r="35" spans="1:10" x14ac:dyDescent="0.3">
      <c r="B35" s="270">
        <v>321</v>
      </c>
      <c r="C35" s="270" t="s">
        <v>1366</v>
      </c>
      <c r="D35" s="270">
        <v>0</v>
      </c>
      <c r="E35" s="270">
        <v>0</v>
      </c>
      <c r="F35" s="270">
        <v>0</v>
      </c>
      <c r="G35" s="270">
        <v>0</v>
      </c>
      <c r="H35" s="270">
        <v>0</v>
      </c>
      <c r="I35" s="270">
        <v>0</v>
      </c>
      <c r="J35" s="270">
        <v>0</v>
      </c>
    </row>
    <row r="36" spans="1:10" x14ac:dyDescent="0.3">
      <c r="B36" s="270">
        <v>322</v>
      </c>
      <c r="C36" s="270" t="s">
        <v>1367</v>
      </c>
      <c r="D36" s="270">
        <v>0</v>
      </c>
      <c r="E36" s="270">
        <v>0</v>
      </c>
      <c r="F36" s="270">
        <v>0</v>
      </c>
      <c r="G36" s="270">
        <v>0</v>
      </c>
      <c r="H36" s="270">
        <v>0</v>
      </c>
      <c r="I36" s="270">
        <v>0</v>
      </c>
      <c r="J36" s="270">
        <v>0</v>
      </c>
    </row>
    <row r="37" spans="1:10" x14ac:dyDescent="0.3">
      <c r="B37" s="270">
        <v>323</v>
      </c>
      <c r="C37" s="270" t="s">
        <v>257</v>
      </c>
      <c r="D37" s="270">
        <v>0</v>
      </c>
      <c r="E37" s="270">
        <v>0</v>
      </c>
      <c r="F37" s="270">
        <v>0</v>
      </c>
      <c r="G37" s="270">
        <v>0</v>
      </c>
      <c r="H37" s="270">
        <v>0</v>
      </c>
      <c r="I37" s="270">
        <v>0</v>
      </c>
      <c r="J37" s="270">
        <v>0</v>
      </c>
    </row>
    <row r="38" spans="1:10" x14ac:dyDescent="0.3">
      <c r="B38" s="270">
        <v>324</v>
      </c>
      <c r="C38" s="270" t="s">
        <v>1368</v>
      </c>
      <c r="D38" s="270">
        <v>0</v>
      </c>
      <c r="E38" s="270">
        <v>0</v>
      </c>
      <c r="F38" s="270">
        <v>0</v>
      </c>
      <c r="G38" s="270">
        <v>0</v>
      </c>
      <c r="H38" s="270">
        <v>0</v>
      </c>
      <c r="I38" s="270">
        <v>0</v>
      </c>
      <c r="J38" s="270">
        <v>0</v>
      </c>
    </row>
    <row r="39" spans="1:10" x14ac:dyDescent="0.3">
      <c r="B39" s="270">
        <v>325</v>
      </c>
      <c r="C39" s="270" t="s">
        <v>1369</v>
      </c>
      <c r="D39" s="270">
        <v>0</v>
      </c>
      <c r="E39" s="270">
        <v>0</v>
      </c>
      <c r="F39" s="270">
        <v>0</v>
      </c>
      <c r="G39" s="270">
        <v>0</v>
      </c>
      <c r="H39" s="270">
        <v>0</v>
      </c>
      <c r="I39" s="270">
        <v>0</v>
      </c>
      <c r="J39" s="270">
        <v>0</v>
      </c>
    </row>
    <row r="40" spans="1:10" x14ac:dyDescent="0.3">
      <c r="A40" s="270">
        <v>33</v>
      </c>
      <c r="B40" s="270">
        <v>33</v>
      </c>
      <c r="C40" s="270" t="s">
        <v>1370</v>
      </c>
      <c r="D40" s="987">
        <v>-16609163</v>
      </c>
      <c r="E40" s="987">
        <v>-58035404</v>
      </c>
      <c r="F40" s="987">
        <v>-4688416</v>
      </c>
      <c r="G40" s="987">
        <v>-14404312</v>
      </c>
      <c r="H40" s="987">
        <v>-16541316</v>
      </c>
      <c r="I40" s="987">
        <v>43567111</v>
      </c>
      <c r="J40" s="987">
        <v>-3761665</v>
      </c>
    </row>
    <row r="41" spans="1:10" x14ac:dyDescent="0.3">
      <c r="B41" s="270">
        <v>333</v>
      </c>
      <c r="C41" s="270" t="s">
        <v>1371</v>
      </c>
      <c r="D41" s="270">
        <v>0</v>
      </c>
      <c r="E41" s="270">
        <v>0</v>
      </c>
      <c r="F41" s="270">
        <v>0</v>
      </c>
      <c r="G41" s="270">
        <v>0</v>
      </c>
      <c r="H41" s="270">
        <v>0</v>
      </c>
      <c r="I41" s="270">
        <v>0</v>
      </c>
      <c r="J41" s="270">
        <v>0</v>
      </c>
    </row>
    <row r="42" spans="1:10" x14ac:dyDescent="0.3">
      <c r="B42" s="270">
        <v>334</v>
      </c>
      <c r="C42" s="270" t="s">
        <v>1372</v>
      </c>
      <c r="D42" s="270">
        <v>0</v>
      </c>
      <c r="E42" s="270">
        <v>0</v>
      </c>
      <c r="F42" s="270">
        <v>0</v>
      </c>
      <c r="G42" s="270">
        <v>0</v>
      </c>
      <c r="H42" s="270">
        <v>0</v>
      </c>
      <c r="I42" s="270">
        <v>0</v>
      </c>
      <c r="J42" s="270">
        <v>0</v>
      </c>
    </row>
    <row r="43" spans="1:10" x14ac:dyDescent="0.3">
      <c r="B43" s="270">
        <v>335</v>
      </c>
      <c r="C43" s="270" t="s">
        <v>1373</v>
      </c>
      <c r="D43" s="270">
        <v>0</v>
      </c>
      <c r="E43" s="270">
        <v>0</v>
      </c>
      <c r="F43" s="270">
        <v>0</v>
      </c>
      <c r="G43" s="270">
        <v>0</v>
      </c>
      <c r="H43" s="270">
        <v>0</v>
      </c>
      <c r="I43" s="270">
        <v>0</v>
      </c>
      <c r="J43" s="270">
        <v>0</v>
      </c>
    </row>
    <row r="44" spans="1:10" x14ac:dyDescent="0.3">
      <c r="B44" s="270">
        <v>336</v>
      </c>
      <c r="C44" s="270" t="s">
        <v>1374</v>
      </c>
      <c r="D44" s="270">
        <v>0</v>
      </c>
      <c r="E44" s="270">
        <v>0</v>
      </c>
      <c r="F44" s="270">
        <v>0</v>
      </c>
      <c r="G44" s="270">
        <v>0</v>
      </c>
      <c r="H44" s="270">
        <v>0</v>
      </c>
      <c r="I44" s="270">
        <v>0</v>
      </c>
      <c r="J44" s="270">
        <v>0</v>
      </c>
    </row>
    <row r="45" spans="1:10" x14ac:dyDescent="0.3">
      <c r="B45" s="270">
        <v>337</v>
      </c>
      <c r="C45" s="270" t="s">
        <v>1375</v>
      </c>
      <c r="D45" s="270">
        <v>0</v>
      </c>
      <c r="E45" s="270">
        <v>0</v>
      </c>
      <c r="F45" s="270">
        <v>0</v>
      </c>
      <c r="G45" s="270">
        <v>0</v>
      </c>
      <c r="H45" s="270">
        <v>0</v>
      </c>
      <c r="I45" s="270">
        <v>0</v>
      </c>
      <c r="J45" s="270">
        <v>0</v>
      </c>
    </row>
    <row r="46" spans="1:10" x14ac:dyDescent="0.3">
      <c r="B46" s="270">
        <v>338</v>
      </c>
      <c r="C46" s="270" t="s">
        <v>1376</v>
      </c>
      <c r="D46" s="270">
        <v>0</v>
      </c>
      <c r="E46" s="270">
        <v>0</v>
      </c>
      <c r="F46" s="270">
        <v>0</v>
      </c>
      <c r="G46" s="270">
        <v>0</v>
      </c>
      <c r="H46" s="270">
        <v>0</v>
      </c>
      <c r="I46" s="270">
        <v>0</v>
      </c>
      <c r="J46" s="270">
        <v>0</v>
      </c>
    </row>
    <row r="47" spans="1:10" x14ac:dyDescent="0.3">
      <c r="B47" s="270">
        <v>339</v>
      </c>
      <c r="C47" s="270" t="s">
        <v>1377</v>
      </c>
      <c r="D47" s="270">
        <v>0</v>
      </c>
      <c r="E47" s="270">
        <v>0</v>
      </c>
      <c r="F47" s="270">
        <v>0</v>
      </c>
      <c r="G47" s="270">
        <v>0</v>
      </c>
      <c r="H47" s="270">
        <v>0</v>
      </c>
      <c r="I47" s="270">
        <v>0</v>
      </c>
      <c r="J47" s="270">
        <v>0</v>
      </c>
    </row>
    <row r="48" spans="1:10" x14ac:dyDescent="0.3">
      <c r="B48" s="270">
        <v>340</v>
      </c>
      <c r="C48" s="270" t="s">
        <v>1378</v>
      </c>
      <c r="D48" s="270">
        <v>0</v>
      </c>
      <c r="E48" s="270">
        <v>0</v>
      </c>
      <c r="F48" s="270">
        <v>0</v>
      </c>
      <c r="G48" s="270">
        <v>0</v>
      </c>
      <c r="H48" s="270">
        <v>0</v>
      </c>
      <c r="I48" s="270">
        <v>0</v>
      </c>
      <c r="J48" s="270">
        <v>0</v>
      </c>
    </row>
    <row r="49" spans="1:10" x14ac:dyDescent="0.3">
      <c r="B49" s="270">
        <v>341</v>
      </c>
      <c r="C49" s="270" t="s">
        <v>1379</v>
      </c>
      <c r="D49" s="270">
        <v>0</v>
      </c>
      <c r="E49" s="270">
        <v>0</v>
      </c>
      <c r="F49" s="270">
        <v>0</v>
      </c>
      <c r="G49" s="270">
        <v>0</v>
      </c>
      <c r="H49" s="270">
        <v>0</v>
      </c>
      <c r="I49" s="270">
        <v>0</v>
      </c>
      <c r="J49" s="270">
        <v>0</v>
      </c>
    </row>
    <row r="50" spans="1:10" x14ac:dyDescent="0.3">
      <c r="B50" s="270">
        <v>342</v>
      </c>
      <c r="C50" s="270" t="s">
        <v>372</v>
      </c>
      <c r="D50" s="270">
        <v>0</v>
      </c>
      <c r="E50" s="270">
        <v>0</v>
      </c>
      <c r="F50" s="270">
        <v>0</v>
      </c>
      <c r="G50" s="270">
        <v>0</v>
      </c>
      <c r="H50" s="270">
        <v>0</v>
      </c>
      <c r="I50" s="270">
        <v>0</v>
      </c>
      <c r="J50" s="270">
        <v>0</v>
      </c>
    </row>
    <row r="51" spans="1:10" x14ac:dyDescent="0.3">
      <c r="B51" s="270">
        <v>343</v>
      </c>
      <c r="C51" s="270" t="s">
        <v>1380</v>
      </c>
      <c r="D51" s="270">
        <v>0</v>
      </c>
      <c r="E51" s="270">
        <v>0</v>
      </c>
      <c r="F51" s="270">
        <v>0</v>
      </c>
      <c r="G51" s="270">
        <v>0</v>
      </c>
      <c r="H51" s="270">
        <v>0</v>
      </c>
      <c r="I51" s="270">
        <v>0</v>
      </c>
      <c r="J51" s="270">
        <v>0</v>
      </c>
    </row>
    <row r="52" spans="1:10" x14ac:dyDescent="0.3">
      <c r="B52" s="270">
        <v>344</v>
      </c>
      <c r="C52" s="270" t="s">
        <v>1381</v>
      </c>
      <c r="D52" s="270">
        <v>0</v>
      </c>
      <c r="E52" s="270">
        <v>0</v>
      </c>
      <c r="F52" s="270">
        <v>0</v>
      </c>
      <c r="G52" s="270">
        <v>0</v>
      </c>
      <c r="H52" s="270">
        <v>0</v>
      </c>
      <c r="I52" s="270">
        <v>0</v>
      </c>
      <c r="J52" s="270">
        <v>0</v>
      </c>
    </row>
    <row r="53" spans="1:10" x14ac:dyDescent="0.3">
      <c r="A53" s="270">
        <v>35</v>
      </c>
      <c r="B53" s="270">
        <v>35</v>
      </c>
      <c r="C53" s="270" t="s">
        <v>1382</v>
      </c>
      <c r="D53" s="270">
        <v>0</v>
      </c>
      <c r="E53" s="987">
        <v>21505785</v>
      </c>
      <c r="F53" s="987">
        <v>1675987</v>
      </c>
      <c r="G53" s="987">
        <v>2774759</v>
      </c>
      <c r="H53" s="270">
        <v>0</v>
      </c>
      <c r="I53" s="987">
        <v>4440569</v>
      </c>
      <c r="J53" s="987">
        <v>11422250</v>
      </c>
    </row>
    <row r="54" spans="1:10" x14ac:dyDescent="0.3">
      <c r="B54" s="270">
        <v>367</v>
      </c>
      <c r="C54" s="270" t="s">
        <v>373</v>
      </c>
      <c r="D54" s="270">
        <v>0</v>
      </c>
      <c r="E54" s="270">
        <v>0</v>
      </c>
      <c r="F54" s="270">
        <v>0</v>
      </c>
      <c r="G54" s="270">
        <v>0</v>
      </c>
      <c r="H54" s="270">
        <v>0</v>
      </c>
      <c r="I54" s="270">
        <v>0</v>
      </c>
      <c r="J54" s="270">
        <v>0</v>
      </c>
    </row>
    <row r="55" spans="1:10" x14ac:dyDescent="0.3">
      <c r="B55" s="270">
        <v>368</v>
      </c>
      <c r="C55" s="270" t="s">
        <v>1383</v>
      </c>
      <c r="D55" s="270">
        <v>0</v>
      </c>
      <c r="E55" s="270">
        <v>0</v>
      </c>
      <c r="F55" s="270">
        <v>0</v>
      </c>
      <c r="G55" s="270">
        <v>0</v>
      </c>
      <c r="H55" s="270">
        <v>0</v>
      </c>
      <c r="I55" s="270">
        <v>0</v>
      </c>
      <c r="J55" s="270">
        <v>0</v>
      </c>
    </row>
    <row r="56" spans="1:10" x14ac:dyDescent="0.3">
      <c r="B56" s="270">
        <v>369</v>
      </c>
      <c r="C56" s="270" t="s">
        <v>1384</v>
      </c>
      <c r="D56" s="270">
        <v>0</v>
      </c>
      <c r="E56" s="270">
        <v>0</v>
      </c>
      <c r="F56" s="270">
        <v>0</v>
      </c>
      <c r="G56" s="270">
        <v>0</v>
      </c>
      <c r="H56" s="270">
        <v>0</v>
      </c>
      <c r="I56" s="270">
        <v>0</v>
      </c>
      <c r="J56" s="270">
        <v>0</v>
      </c>
    </row>
    <row r="57" spans="1:10" x14ac:dyDescent="0.3">
      <c r="B57" s="270">
        <v>370</v>
      </c>
      <c r="C57" s="270" t="s">
        <v>1385</v>
      </c>
      <c r="D57" s="270">
        <v>0</v>
      </c>
      <c r="E57" s="270">
        <v>0</v>
      </c>
      <c r="F57" s="270">
        <v>0</v>
      </c>
      <c r="G57" s="270">
        <v>0</v>
      </c>
      <c r="H57" s="270">
        <v>0</v>
      </c>
      <c r="I57" s="270">
        <v>0</v>
      </c>
      <c r="J57" s="270">
        <v>0</v>
      </c>
    </row>
    <row r="58" spans="1:10" x14ac:dyDescent="0.3">
      <c r="B58" s="270">
        <v>371</v>
      </c>
      <c r="C58" s="270" t="s">
        <v>1386</v>
      </c>
      <c r="D58" s="270">
        <v>0</v>
      </c>
      <c r="E58" s="270">
        <v>0</v>
      </c>
      <c r="F58" s="270">
        <v>0</v>
      </c>
      <c r="G58" s="270">
        <v>0</v>
      </c>
      <c r="H58" s="270">
        <v>0</v>
      </c>
      <c r="I58" s="270">
        <v>0</v>
      </c>
      <c r="J58" s="270">
        <v>0</v>
      </c>
    </row>
    <row r="59" spans="1:10" x14ac:dyDescent="0.3">
      <c r="B59" s="270">
        <v>372</v>
      </c>
      <c r="C59" s="270" t="s">
        <v>1387</v>
      </c>
      <c r="D59" s="270">
        <v>0</v>
      </c>
      <c r="E59" s="270">
        <v>0</v>
      </c>
      <c r="F59" s="270">
        <v>0</v>
      </c>
      <c r="G59" s="270">
        <v>0</v>
      </c>
      <c r="H59" s="270">
        <v>0</v>
      </c>
      <c r="I59" s="270">
        <v>0</v>
      </c>
      <c r="J59" s="270">
        <v>0</v>
      </c>
    </row>
    <row r="60" spans="1:10" x14ac:dyDescent="0.3">
      <c r="B60" s="270">
        <v>373</v>
      </c>
      <c r="C60" s="270" t="s">
        <v>1388</v>
      </c>
      <c r="D60" s="270">
        <v>0</v>
      </c>
      <c r="E60" s="270">
        <v>0</v>
      </c>
      <c r="F60" s="270">
        <v>0</v>
      </c>
      <c r="G60" s="270">
        <v>0</v>
      </c>
      <c r="H60" s="270">
        <v>0</v>
      </c>
      <c r="I60" s="270">
        <v>0</v>
      </c>
      <c r="J60" s="270">
        <v>0</v>
      </c>
    </row>
    <row r="61" spans="1:10" x14ac:dyDescent="0.3">
      <c r="B61" s="270">
        <v>376</v>
      </c>
      <c r="C61" s="270" t="s">
        <v>1389</v>
      </c>
      <c r="D61" s="270">
        <v>0</v>
      </c>
      <c r="E61" s="270">
        <v>0</v>
      </c>
      <c r="F61" s="270">
        <v>0</v>
      </c>
      <c r="G61" s="270">
        <v>0</v>
      </c>
      <c r="H61" s="270">
        <v>0</v>
      </c>
      <c r="I61" s="270">
        <v>0</v>
      </c>
      <c r="J61" s="270">
        <v>0</v>
      </c>
    </row>
    <row r="62" spans="1:10" x14ac:dyDescent="0.3">
      <c r="B62" s="270">
        <v>379</v>
      </c>
      <c r="C62" s="270" t="s">
        <v>1390</v>
      </c>
      <c r="D62" s="270">
        <v>0</v>
      </c>
      <c r="E62" s="270">
        <v>0</v>
      </c>
      <c r="F62" s="270">
        <v>0</v>
      </c>
      <c r="G62" s="270">
        <v>0</v>
      </c>
      <c r="H62" s="270">
        <v>0</v>
      </c>
      <c r="I62" s="270">
        <v>0</v>
      </c>
      <c r="J62" s="270">
        <v>0</v>
      </c>
    </row>
    <row r="63" spans="1:10" x14ac:dyDescent="0.3">
      <c r="B63" s="270">
        <v>380</v>
      </c>
      <c r="C63" s="270" t="s">
        <v>1391</v>
      </c>
      <c r="D63" s="270">
        <v>0</v>
      </c>
      <c r="E63" s="270">
        <v>0</v>
      </c>
      <c r="F63" s="270">
        <v>0</v>
      </c>
      <c r="G63" s="270">
        <v>0</v>
      </c>
      <c r="H63" s="270">
        <v>0</v>
      </c>
      <c r="I63" s="270">
        <v>0</v>
      </c>
      <c r="J63" s="270">
        <v>0</v>
      </c>
    </row>
    <row r="64" spans="1:10" x14ac:dyDescent="0.3">
      <c r="B64" s="270">
        <v>385</v>
      </c>
      <c r="C64" s="270" t="s">
        <v>1392</v>
      </c>
      <c r="D64" s="270">
        <v>0</v>
      </c>
      <c r="E64" s="270">
        <v>0</v>
      </c>
      <c r="F64" s="270">
        <v>0</v>
      </c>
      <c r="G64" s="270">
        <v>0</v>
      </c>
      <c r="H64" s="270">
        <v>0</v>
      </c>
      <c r="I64" s="270">
        <v>0</v>
      </c>
      <c r="J64" s="270">
        <v>0</v>
      </c>
    </row>
    <row r="65" spans="1:10" x14ac:dyDescent="0.3">
      <c r="B65" s="270">
        <v>386</v>
      </c>
      <c r="C65" s="270" t="s">
        <v>1393</v>
      </c>
      <c r="D65" s="270">
        <v>0</v>
      </c>
      <c r="E65" s="270">
        <v>0</v>
      </c>
      <c r="F65" s="270">
        <v>0</v>
      </c>
      <c r="G65" s="270">
        <v>0</v>
      </c>
      <c r="H65" s="270">
        <v>0</v>
      </c>
      <c r="I65" s="270">
        <v>0</v>
      </c>
      <c r="J65" s="270">
        <v>0</v>
      </c>
    </row>
    <row r="66" spans="1:10" x14ac:dyDescent="0.3">
      <c r="B66" s="270">
        <v>387</v>
      </c>
      <c r="C66" s="270" t="s">
        <v>1394</v>
      </c>
      <c r="D66" s="270">
        <v>0</v>
      </c>
      <c r="E66" s="270">
        <v>0</v>
      </c>
      <c r="F66" s="270">
        <v>0</v>
      </c>
      <c r="G66" s="270">
        <v>0</v>
      </c>
      <c r="H66" s="270">
        <v>0</v>
      </c>
      <c r="I66" s="270">
        <v>0</v>
      </c>
      <c r="J66" s="270">
        <v>0</v>
      </c>
    </row>
    <row r="67" spans="1:10" x14ac:dyDescent="0.3">
      <c r="B67" s="270">
        <v>388</v>
      </c>
      <c r="C67" s="270" t="s">
        <v>1395</v>
      </c>
      <c r="D67" s="270">
        <v>0</v>
      </c>
      <c r="E67" s="270">
        <v>0</v>
      </c>
      <c r="F67" s="270">
        <v>0</v>
      </c>
      <c r="G67" s="270">
        <v>0</v>
      </c>
      <c r="H67" s="270">
        <v>0</v>
      </c>
      <c r="I67" s="270">
        <v>0</v>
      </c>
      <c r="J67" s="270">
        <v>0</v>
      </c>
    </row>
    <row r="68" spans="1:10" x14ac:dyDescent="0.3">
      <c r="B68" s="270">
        <v>389</v>
      </c>
      <c r="C68" s="270" t="s">
        <v>1396</v>
      </c>
      <c r="D68" s="270">
        <v>0</v>
      </c>
      <c r="E68" s="270">
        <v>0</v>
      </c>
      <c r="F68" s="270">
        <v>0</v>
      </c>
      <c r="G68" s="270">
        <v>0</v>
      </c>
      <c r="H68" s="270">
        <v>0</v>
      </c>
      <c r="I68" s="270">
        <v>0</v>
      </c>
      <c r="J68" s="270">
        <v>0</v>
      </c>
    </row>
    <row r="69" spans="1:10" x14ac:dyDescent="0.3">
      <c r="B69" s="270">
        <v>390</v>
      </c>
      <c r="C69" s="270" t="s">
        <v>1397</v>
      </c>
      <c r="D69" s="270">
        <v>0</v>
      </c>
      <c r="E69" s="270">
        <v>0</v>
      </c>
      <c r="F69" s="270">
        <v>0</v>
      </c>
      <c r="G69" s="270">
        <v>0</v>
      </c>
      <c r="H69" s="270">
        <v>0</v>
      </c>
      <c r="I69" s="270">
        <v>0</v>
      </c>
      <c r="J69" s="270">
        <v>0</v>
      </c>
    </row>
    <row r="70" spans="1:10" x14ac:dyDescent="0.3">
      <c r="B70" s="270">
        <v>391</v>
      </c>
      <c r="C70" s="270" t="s">
        <v>1398</v>
      </c>
      <c r="D70" s="270">
        <v>0</v>
      </c>
      <c r="E70" s="270">
        <v>0</v>
      </c>
      <c r="F70" s="270">
        <v>0</v>
      </c>
      <c r="G70" s="270">
        <v>0</v>
      </c>
      <c r="H70" s="270">
        <v>0</v>
      </c>
      <c r="I70" s="270">
        <v>0</v>
      </c>
      <c r="J70" s="270">
        <v>0</v>
      </c>
    </row>
    <row r="71" spans="1:10" x14ac:dyDescent="0.3">
      <c r="B71" s="270">
        <v>4</v>
      </c>
      <c r="C71" s="270" t="s">
        <v>1399</v>
      </c>
      <c r="D71" s="270">
        <v>0</v>
      </c>
      <c r="E71" s="270">
        <v>0</v>
      </c>
      <c r="F71" s="270">
        <v>0</v>
      </c>
      <c r="G71" s="270">
        <v>0</v>
      </c>
      <c r="H71" s="270">
        <v>0</v>
      </c>
      <c r="I71" s="270">
        <v>0</v>
      </c>
      <c r="J71" s="270">
        <v>0</v>
      </c>
    </row>
    <row r="72" spans="1:10" x14ac:dyDescent="0.3">
      <c r="A72" s="270">
        <v>40</v>
      </c>
      <c r="B72" s="270">
        <v>40</v>
      </c>
      <c r="C72" s="270" t="s">
        <v>294</v>
      </c>
      <c r="D72" s="987">
        <v>374712927</v>
      </c>
      <c r="E72" s="270">
        <v>0</v>
      </c>
      <c r="F72" s="270">
        <v>0</v>
      </c>
      <c r="G72" s="270">
        <v>0</v>
      </c>
      <c r="H72" s="270">
        <v>0</v>
      </c>
      <c r="I72" s="987">
        <v>436795938</v>
      </c>
      <c r="J72" s="270">
        <v>0</v>
      </c>
    </row>
    <row r="73" spans="1:10" x14ac:dyDescent="0.3">
      <c r="B73" s="270">
        <v>5</v>
      </c>
      <c r="C73" s="270" t="s">
        <v>1400</v>
      </c>
      <c r="D73" s="270">
        <v>0</v>
      </c>
      <c r="E73" s="270">
        <v>0</v>
      </c>
      <c r="F73" s="270">
        <v>0</v>
      </c>
      <c r="G73" s="270">
        <v>0</v>
      </c>
      <c r="H73" s="270">
        <v>0</v>
      </c>
      <c r="I73" s="270">
        <v>0</v>
      </c>
      <c r="J73" s="270">
        <v>0</v>
      </c>
    </row>
    <row r="74" spans="1:10" x14ac:dyDescent="0.3">
      <c r="B74" s="270">
        <v>500</v>
      </c>
      <c r="C74" s="270" t="s">
        <v>183</v>
      </c>
      <c r="D74" s="270">
        <v>0</v>
      </c>
      <c r="E74" s="270">
        <v>0</v>
      </c>
      <c r="F74" s="270">
        <v>0</v>
      </c>
      <c r="G74" s="270">
        <v>0</v>
      </c>
      <c r="H74" s="270">
        <v>0</v>
      </c>
      <c r="I74" s="270">
        <v>0</v>
      </c>
      <c r="J74" s="270">
        <v>0</v>
      </c>
    </row>
    <row r="75" spans="1:10" x14ac:dyDescent="0.3">
      <c r="B75" s="270">
        <v>501</v>
      </c>
      <c r="C75" s="270" t="s">
        <v>185</v>
      </c>
      <c r="D75" s="270">
        <v>0</v>
      </c>
      <c r="E75" s="270">
        <v>0</v>
      </c>
      <c r="F75" s="270">
        <v>0</v>
      </c>
      <c r="G75" s="270">
        <v>0</v>
      </c>
      <c r="H75" s="270">
        <v>0</v>
      </c>
      <c r="I75" s="270">
        <v>0</v>
      </c>
      <c r="J75" s="270">
        <v>0</v>
      </c>
    </row>
    <row r="76" spans="1:10" x14ac:dyDescent="0.3">
      <c r="B76" s="270">
        <v>502</v>
      </c>
      <c r="C76" s="270" t="s">
        <v>186</v>
      </c>
      <c r="D76" s="270">
        <v>0</v>
      </c>
      <c r="E76" s="270">
        <v>0</v>
      </c>
      <c r="F76" s="270">
        <v>0</v>
      </c>
      <c r="G76" s="270">
        <v>0</v>
      </c>
      <c r="H76" s="270">
        <v>0</v>
      </c>
      <c r="I76" s="270">
        <v>0</v>
      </c>
      <c r="J76" s="270">
        <v>0</v>
      </c>
    </row>
    <row r="77" spans="1:10" x14ac:dyDescent="0.3">
      <c r="B77" s="270">
        <v>503</v>
      </c>
      <c r="C77" s="270" t="s">
        <v>187</v>
      </c>
      <c r="D77" s="270">
        <v>0</v>
      </c>
      <c r="E77" s="270">
        <v>0</v>
      </c>
      <c r="F77" s="270">
        <v>0</v>
      </c>
      <c r="G77" s="270">
        <v>0</v>
      </c>
      <c r="H77" s="270">
        <v>0</v>
      </c>
      <c r="I77" s="270">
        <v>0</v>
      </c>
      <c r="J77" s="270">
        <v>0</v>
      </c>
    </row>
    <row r="78" spans="1:10" x14ac:dyDescent="0.3">
      <c r="B78" s="270">
        <v>504</v>
      </c>
      <c r="C78" s="270" t="s">
        <v>191</v>
      </c>
      <c r="D78" s="270">
        <v>0</v>
      </c>
      <c r="E78" s="270">
        <v>0</v>
      </c>
      <c r="F78" s="270">
        <v>0</v>
      </c>
      <c r="G78" s="270">
        <v>0</v>
      </c>
      <c r="H78" s="270">
        <v>0</v>
      </c>
      <c r="I78" s="270">
        <v>0</v>
      </c>
      <c r="J78" s="270">
        <v>0</v>
      </c>
    </row>
    <row r="79" spans="1:10" x14ac:dyDescent="0.3">
      <c r="B79" s="270">
        <v>505</v>
      </c>
      <c r="C79" s="270" t="s">
        <v>192</v>
      </c>
      <c r="D79" s="270">
        <v>0</v>
      </c>
      <c r="E79" s="270">
        <v>0</v>
      </c>
      <c r="F79" s="270">
        <v>0</v>
      </c>
      <c r="G79" s="270">
        <v>0</v>
      </c>
      <c r="H79" s="270">
        <v>0</v>
      </c>
      <c r="I79" s="270">
        <v>0</v>
      </c>
      <c r="J79" s="270">
        <v>0</v>
      </c>
    </row>
    <row r="80" spans="1:10" x14ac:dyDescent="0.3">
      <c r="B80" s="270">
        <v>506</v>
      </c>
      <c r="C80" s="270" t="s">
        <v>198</v>
      </c>
      <c r="D80" s="270">
        <v>0</v>
      </c>
      <c r="E80" s="270">
        <v>0</v>
      </c>
      <c r="F80" s="270">
        <v>0</v>
      </c>
      <c r="G80" s="270">
        <v>0</v>
      </c>
      <c r="H80" s="270">
        <v>0</v>
      </c>
      <c r="I80" s="270">
        <v>0</v>
      </c>
      <c r="J80" s="270">
        <v>0</v>
      </c>
    </row>
    <row r="81" spans="2:10" x14ac:dyDescent="0.3">
      <c r="B81" s="270">
        <v>507</v>
      </c>
      <c r="C81" s="270" t="s">
        <v>216</v>
      </c>
      <c r="D81" s="270">
        <v>0</v>
      </c>
      <c r="E81" s="270">
        <v>0</v>
      </c>
      <c r="F81" s="270">
        <v>0</v>
      </c>
      <c r="G81" s="270">
        <v>0</v>
      </c>
      <c r="H81" s="270">
        <v>0</v>
      </c>
      <c r="I81" s="270">
        <v>0</v>
      </c>
      <c r="J81" s="270">
        <v>0</v>
      </c>
    </row>
    <row r="82" spans="2:10" x14ac:dyDescent="0.3">
      <c r="B82" s="270">
        <v>508</v>
      </c>
      <c r="C82" s="270" t="s">
        <v>213</v>
      </c>
      <c r="D82" s="270">
        <v>0</v>
      </c>
      <c r="E82" s="270">
        <v>0</v>
      </c>
      <c r="F82" s="270">
        <v>0</v>
      </c>
      <c r="G82" s="270">
        <v>0</v>
      </c>
      <c r="H82" s="270">
        <v>0</v>
      </c>
      <c r="I82" s="270">
        <v>0</v>
      </c>
      <c r="J82" s="270">
        <v>0</v>
      </c>
    </row>
    <row r="83" spans="2:10" x14ac:dyDescent="0.3">
      <c r="B83" s="270">
        <v>509</v>
      </c>
      <c r="C83" s="270" t="s">
        <v>214</v>
      </c>
      <c r="D83" s="270">
        <v>0</v>
      </c>
      <c r="E83" s="270">
        <v>0</v>
      </c>
      <c r="F83" s="270">
        <v>0</v>
      </c>
      <c r="G83" s="270">
        <v>0</v>
      </c>
      <c r="H83" s="270">
        <v>0</v>
      </c>
      <c r="I83" s="270">
        <v>0</v>
      </c>
      <c r="J83" s="270">
        <v>0</v>
      </c>
    </row>
    <row r="84" spans="2:10" x14ac:dyDescent="0.3">
      <c r="B84" s="270">
        <v>510</v>
      </c>
      <c r="C84" s="270" t="s">
        <v>220</v>
      </c>
      <c r="D84" s="270">
        <v>0</v>
      </c>
      <c r="E84" s="270">
        <v>0</v>
      </c>
      <c r="F84" s="270">
        <v>0</v>
      </c>
      <c r="G84" s="270">
        <v>0</v>
      </c>
      <c r="H84" s="270">
        <v>0</v>
      </c>
      <c r="I84" s="270">
        <v>0</v>
      </c>
      <c r="J84" s="270">
        <v>0</v>
      </c>
    </row>
    <row r="85" spans="2:10" x14ac:dyDescent="0.3">
      <c r="B85" s="270">
        <v>511</v>
      </c>
      <c r="C85" s="270" t="s">
        <v>225</v>
      </c>
      <c r="D85" s="270">
        <v>0</v>
      </c>
      <c r="E85" s="270">
        <v>0</v>
      </c>
      <c r="F85" s="270">
        <v>0</v>
      </c>
      <c r="G85" s="270">
        <v>0</v>
      </c>
      <c r="H85" s="270">
        <v>0</v>
      </c>
      <c r="I85" s="270">
        <v>0</v>
      </c>
      <c r="J85" s="270">
        <v>0</v>
      </c>
    </row>
    <row r="86" spans="2:10" x14ac:dyDescent="0.3">
      <c r="B86" s="270">
        <v>512</v>
      </c>
      <c r="C86" s="270" t="s">
        <v>252</v>
      </c>
      <c r="D86" s="270">
        <v>0</v>
      </c>
      <c r="E86" s="270">
        <v>0</v>
      </c>
      <c r="F86" s="270">
        <v>0</v>
      </c>
      <c r="G86" s="270">
        <v>0</v>
      </c>
      <c r="H86" s="270">
        <v>0</v>
      </c>
      <c r="I86" s="270">
        <v>0</v>
      </c>
      <c r="J86" s="270">
        <v>0</v>
      </c>
    </row>
    <row r="87" spans="2:10" x14ac:dyDescent="0.3">
      <c r="B87" s="270">
        <v>513</v>
      </c>
      <c r="C87" s="270" t="s">
        <v>259</v>
      </c>
      <c r="D87" s="270">
        <v>0</v>
      </c>
      <c r="E87" s="270">
        <v>0</v>
      </c>
      <c r="F87" s="270">
        <v>0</v>
      </c>
      <c r="G87" s="270">
        <v>0</v>
      </c>
      <c r="H87" s="270">
        <v>0</v>
      </c>
      <c r="I87" s="270">
        <v>0</v>
      </c>
      <c r="J87" s="270">
        <v>0</v>
      </c>
    </row>
    <row r="88" spans="2:10" x14ac:dyDescent="0.3">
      <c r="B88" s="270">
        <v>514</v>
      </c>
      <c r="C88" s="270" t="s">
        <v>260</v>
      </c>
      <c r="D88" s="270">
        <v>0</v>
      </c>
      <c r="E88" s="270">
        <v>0</v>
      </c>
      <c r="F88" s="270">
        <v>0</v>
      </c>
      <c r="G88" s="270">
        <v>0</v>
      </c>
      <c r="H88" s="270">
        <v>0</v>
      </c>
      <c r="I88" s="270">
        <v>0</v>
      </c>
      <c r="J88" s="270">
        <v>0</v>
      </c>
    </row>
    <row r="89" spans="2:10" x14ac:dyDescent="0.3">
      <c r="B89" s="270">
        <v>515</v>
      </c>
      <c r="C89" s="270" t="s">
        <v>273</v>
      </c>
      <c r="D89" s="270">
        <v>0</v>
      </c>
      <c r="E89" s="270">
        <v>0</v>
      </c>
      <c r="F89" s="270">
        <v>0</v>
      </c>
      <c r="G89" s="270">
        <v>0</v>
      </c>
      <c r="H89" s="270">
        <v>0</v>
      </c>
      <c r="I89" s="270">
        <v>0</v>
      </c>
      <c r="J89" s="270">
        <v>0</v>
      </c>
    </row>
    <row r="90" spans="2:10" x14ac:dyDescent="0.3">
      <c r="B90" s="270">
        <v>516</v>
      </c>
      <c r="C90" s="270" t="s">
        <v>274</v>
      </c>
      <c r="D90" s="270">
        <v>0</v>
      </c>
      <c r="E90" s="270">
        <v>0</v>
      </c>
      <c r="F90" s="270">
        <v>0</v>
      </c>
      <c r="G90" s="270">
        <v>0</v>
      </c>
      <c r="H90" s="270">
        <v>0</v>
      </c>
      <c r="I90" s="270">
        <v>0</v>
      </c>
      <c r="J90" s="270">
        <v>0</v>
      </c>
    </row>
    <row r="91" spans="2:10" x14ac:dyDescent="0.3">
      <c r="B91" s="270">
        <v>517</v>
      </c>
      <c r="C91" s="270" t="s">
        <v>275</v>
      </c>
      <c r="D91" s="270">
        <v>0</v>
      </c>
      <c r="E91" s="270">
        <v>0</v>
      </c>
      <c r="F91" s="270">
        <v>0</v>
      </c>
      <c r="G91" s="270">
        <v>0</v>
      </c>
      <c r="H91" s="270">
        <v>0</v>
      </c>
      <c r="I91" s="270">
        <v>0</v>
      </c>
      <c r="J91" s="270">
        <v>0</v>
      </c>
    </row>
    <row r="92" spans="2:10" x14ac:dyDescent="0.3">
      <c r="B92" s="270">
        <v>518</v>
      </c>
      <c r="C92" s="270" t="s">
        <v>276</v>
      </c>
      <c r="D92" s="270">
        <v>0</v>
      </c>
      <c r="E92" s="270">
        <v>0</v>
      </c>
      <c r="F92" s="270">
        <v>0</v>
      </c>
      <c r="G92" s="270">
        <v>0</v>
      </c>
      <c r="H92" s="270">
        <v>0</v>
      </c>
      <c r="I92" s="270">
        <v>0</v>
      </c>
      <c r="J92" s="270">
        <v>0</v>
      </c>
    </row>
    <row r="93" spans="2:10" x14ac:dyDescent="0.3">
      <c r="B93" s="270">
        <v>519</v>
      </c>
      <c r="C93" s="270" t="s">
        <v>277</v>
      </c>
      <c r="D93" s="270">
        <v>0</v>
      </c>
      <c r="E93" s="270">
        <v>0</v>
      </c>
      <c r="F93" s="270">
        <v>0</v>
      </c>
      <c r="G93" s="270">
        <v>0</v>
      </c>
      <c r="H93" s="270">
        <v>0</v>
      </c>
      <c r="I93" s="270">
        <v>0</v>
      </c>
      <c r="J93" s="270">
        <v>0</v>
      </c>
    </row>
    <row r="94" spans="2:10" x14ac:dyDescent="0.3">
      <c r="B94" s="270">
        <v>520</v>
      </c>
      <c r="C94" s="270" t="s">
        <v>278</v>
      </c>
      <c r="D94" s="270">
        <v>0</v>
      </c>
      <c r="E94" s="270">
        <v>0</v>
      </c>
      <c r="F94" s="270">
        <v>0</v>
      </c>
      <c r="G94" s="270">
        <v>0</v>
      </c>
      <c r="H94" s="270">
        <v>0</v>
      </c>
      <c r="I94" s="270">
        <v>0</v>
      </c>
      <c r="J94" s="270">
        <v>0</v>
      </c>
    </row>
    <row r="95" spans="2:10" x14ac:dyDescent="0.3">
      <c r="B95" s="270">
        <v>521</v>
      </c>
      <c r="C95" s="270" t="s">
        <v>279</v>
      </c>
      <c r="D95" s="270">
        <v>0</v>
      </c>
      <c r="E95" s="270">
        <v>0</v>
      </c>
      <c r="F95" s="270">
        <v>0</v>
      </c>
      <c r="G95" s="270">
        <v>0</v>
      </c>
      <c r="H95" s="270">
        <v>0</v>
      </c>
      <c r="I95" s="270">
        <v>0</v>
      </c>
      <c r="J95" s="270">
        <v>0</v>
      </c>
    </row>
    <row r="96" spans="2:10" x14ac:dyDescent="0.3">
      <c r="B96" s="270">
        <v>522</v>
      </c>
      <c r="C96" s="270" t="s">
        <v>280</v>
      </c>
      <c r="D96" s="270">
        <v>0</v>
      </c>
      <c r="E96" s="270">
        <v>0</v>
      </c>
      <c r="F96" s="270">
        <v>0</v>
      </c>
      <c r="G96" s="270">
        <v>0</v>
      </c>
      <c r="H96" s="270">
        <v>0</v>
      </c>
      <c r="I96" s="270">
        <v>0</v>
      </c>
      <c r="J96" s="270">
        <v>0</v>
      </c>
    </row>
    <row r="97" spans="1:10" x14ac:dyDescent="0.3">
      <c r="B97" s="270">
        <v>523</v>
      </c>
      <c r="C97" s="270" t="s">
        <v>281</v>
      </c>
      <c r="D97" s="270">
        <v>0</v>
      </c>
      <c r="E97" s="270">
        <v>0</v>
      </c>
      <c r="F97" s="270">
        <v>0</v>
      </c>
      <c r="G97" s="270">
        <v>0</v>
      </c>
      <c r="H97" s="270">
        <v>0</v>
      </c>
      <c r="I97" s="270">
        <v>0</v>
      </c>
      <c r="J97" s="270">
        <v>0</v>
      </c>
    </row>
    <row r="98" spans="1:10" x14ac:dyDescent="0.3">
      <c r="B98" s="270">
        <v>524</v>
      </c>
      <c r="C98" s="270" t="s">
        <v>282</v>
      </c>
      <c r="D98" s="270">
        <v>0</v>
      </c>
      <c r="E98" s="270">
        <v>0</v>
      </c>
      <c r="F98" s="270">
        <v>0</v>
      </c>
      <c r="G98" s="270">
        <v>0</v>
      </c>
      <c r="H98" s="270">
        <v>0</v>
      </c>
      <c r="I98" s="270">
        <v>0</v>
      </c>
      <c r="J98" s="270">
        <v>0</v>
      </c>
    </row>
    <row r="99" spans="1:10" x14ac:dyDescent="0.3">
      <c r="B99" s="270">
        <v>525</v>
      </c>
      <c r="C99" s="270" t="s">
        <v>283</v>
      </c>
      <c r="D99" s="270">
        <v>0</v>
      </c>
      <c r="E99" s="270">
        <v>0</v>
      </c>
      <c r="F99" s="270">
        <v>0</v>
      </c>
      <c r="G99" s="270">
        <v>0</v>
      </c>
      <c r="H99" s="270">
        <v>0</v>
      </c>
      <c r="I99" s="270">
        <v>0</v>
      </c>
      <c r="J99" s="270">
        <v>0</v>
      </c>
    </row>
    <row r="100" spans="1:10" x14ac:dyDescent="0.3">
      <c r="B100" s="270">
        <v>526</v>
      </c>
      <c r="C100" s="270" t="s">
        <v>284</v>
      </c>
      <c r="D100" s="270">
        <v>0</v>
      </c>
      <c r="E100" s="270">
        <v>0</v>
      </c>
      <c r="F100" s="270">
        <v>0</v>
      </c>
      <c r="G100" s="270">
        <v>0</v>
      </c>
      <c r="H100" s="270">
        <v>0</v>
      </c>
      <c r="I100" s="270">
        <v>0</v>
      </c>
      <c r="J100" s="270">
        <v>0</v>
      </c>
    </row>
    <row r="101" spans="1:10" x14ac:dyDescent="0.3">
      <c r="B101" s="270">
        <v>527</v>
      </c>
      <c r="C101" s="270" t="s">
        <v>285</v>
      </c>
      <c r="D101" s="270">
        <v>0</v>
      </c>
      <c r="E101" s="270">
        <v>0</v>
      </c>
      <c r="F101" s="270">
        <v>0</v>
      </c>
      <c r="G101" s="270">
        <v>0</v>
      </c>
      <c r="H101" s="270">
        <v>0</v>
      </c>
      <c r="I101" s="270">
        <v>0</v>
      </c>
      <c r="J101" s="270">
        <v>0</v>
      </c>
    </row>
    <row r="102" spans="1:10" x14ac:dyDescent="0.3">
      <c r="B102" s="270">
        <v>528</v>
      </c>
      <c r="C102" s="270" t="s">
        <v>267</v>
      </c>
      <c r="D102" s="270">
        <v>0</v>
      </c>
      <c r="E102" s="270">
        <v>0</v>
      </c>
      <c r="F102" s="270">
        <v>0</v>
      </c>
      <c r="G102" s="270">
        <v>0</v>
      </c>
      <c r="H102" s="270">
        <v>0</v>
      </c>
      <c r="I102" s="270">
        <v>0</v>
      </c>
      <c r="J102" s="270">
        <v>0</v>
      </c>
    </row>
    <row r="103" spans="1:10" x14ac:dyDescent="0.3">
      <c r="B103" s="270">
        <v>529</v>
      </c>
      <c r="C103" s="270" t="s">
        <v>268</v>
      </c>
      <c r="D103" s="270">
        <v>0</v>
      </c>
      <c r="E103" s="270">
        <v>0</v>
      </c>
      <c r="F103" s="270">
        <v>0</v>
      </c>
      <c r="G103" s="270">
        <v>0</v>
      </c>
      <c r="H103" s="270">
        <v>0</v>
      </c>
      <c r="I103" s="270">
        <v>0</v>
      </c>
      <c r="J103" s="270">
        <v>0</v>
      </c>
    </row>
    <row r="104" spans="1:10" x14ac:dyDescent="0.3">
      <c r="B104" s="270">
        <v>530</v>
      </c>
      <c r="C104" s="270" t="s">
        <v>269</v>
      </c>
      <c r="D104" s="270">
        <v>0</v>
      </c>
      <c r="E104" s="270">
        <v>0</v>
      </c>
      <c r="F104" s="270">
        <v>0</v>
      </c>
      <c r="G104" s="270">
        <v>0</v>
      </c>
      <c r="H104" s="270">
        <v>0</v>
      </c>
      <c r="I104" s="270">
        <v>0</v>
      </c>
      <c r="J104" s="270">
        <v>0</v>
      </c>
    </row>
    <row r="105" spans="1:10" x14ac:dyDescent="0.3">
      <c r="B105" s="270">
        <v>531</v>
      </c>
      <c r="C105" s="270" t="s">
        <v>270</v>
      </c>
      <c r="D105" s="270">
        <v>0</v>
      </c>
      <c r="E105" s="270">
        <v>0</v>
      </c>
      <c r="F105" s="270">
        <v>0</v>
      </c>
      <c r="G105" s="270">
        <v>0</v>
      </c>
      <c r="H105" s="270">
        <v>0</v>
      </c>
      <c r="I105" s="270">
        <v>0</v>
      </c>
      <c r="J105" s="270">
        <v>0</v>
      </c>
    </row>
    <row r="106" spans="1:10" x14ac:dyDescent="0.3">
      <c r="B106" s="270">
        <v>532</v>
      </c>
      <c r="C106" s="270" t="s">
        <v>1401</v>
      </c>
      <c r="D106" s="270">
        <v>0</v>
      </c>
      <c r="E106" s="270">
        <v>0</v>
      </c>
      <c r="F106" s="270">
        <v>0</v>
      </c>
      <c r="G106" s="270">
        <v>0</v>
      </c>
      <c r="H106" s="270">
        <v>0</v>
      </c>
      <c r="I106" s="270">
        <v>0</v>
      </c>
      <c r="J106" s="270">
        <v>0</v>
      </c>
    </row>
    <row r="107" spans="1:10" x14ac:dyDescent="0.3">
      <c r="B107" s="270">
        <v>533</v>
      </c>
      <c r="C107" s="270" t="s">
        <v>1402</v>
      </c>
      <c r="D107" s="270">
        <v>0</v>
      </c>
      <c r="E107" s="270">
        <v>0</v>
      </c>
      <c r="F107" s="270">
        <v>0</v>
      </c>
      <c r="G107" s="270">
        <v>0</v>
      </c>
      <c r="H107" s="270">
        <v>0</v>
      </c>
      <c r="I107" s="270">
        <v>0</v>
      </c>
      <c r="J107" s="270">
        <v>0</v>
      </c>
    </row>
    <row r="108" spans="1:10" x14ac:dyDescent="0.3">
      <c r="A108" s="270">
        <v>534</v>
      </c>
      <c r="B108" s="270">
        <v>534</v>
      </c>
      <c r="C108" s="270" t="s">
        <v>271</v>
      </c>
      <c r="D108" s="987">
        <v>876083</v>
      </c>
      <c r="E108" s="987">
        <v>2781188</v>
      </c>
      <c r="F108" s="987">
        <v>2721619</v>
      </c>
      <c r="G108" s="987">
        <v>1750898</v>
      </c>
      <c r="H108" s="987">
        <v>153960</v>
      </c>
      <c r="I108" s="987">
        <v>5085289</v>
      </c>
      <c r="J108" s="987">
        <v>1501613</v>
      </c>
    </row>
    <row r="109" spans="1:10" x14ac:dyDescent="0.3">
      <c r="B109" s="270">
        <v>535</v>
      </c>
      <c r="C109" s="270" t="s">
        <v>253</v>
      </c>
      <c r="D109" s="270">
        <v>0</v>
      </c>
      <c r="E109" s="270">
        <v>0</v>
      </c>
      <c r="F109" s="270">
        <v>0</v>
      </c>
      <c r="G109" s="270">
        <v>0</v>
      </c>
      <c r="H109" s="270">
        <v>0</v>
      </c>
      <c r="I109" s="270">
        <v>0</v>
      </c>
      <c r="J109" s="270">
        <v>0</v>
      </c>
    </row>
    <row r="110" spans="1:10" x14ac:dyDescent="0.3">
      <c r="B110" s="270">
        <v>536</v>
      </c>
      <c r="C110" s="270" t="s">
        <v>199</v>
      </c>
      <c r="D110" s="270">
        <v>0</v>
      </c>
      <c r="E110" s="270">
        <v>0</v>
      </c>
      <c r="F110" s="270">
        <v>0</v>
      </c>
      <c r="G110" s="270">
        <v>0</v>
      </c>
      <c r="H110" s="270">
        <v>0</v>
      </c>
      <c r="I110" s="270">
        <v>0</v>
      </c>
      <c r="J110" s="270">
        <v>0</v>
      </c>
    </row>
    <row r="111" spans="1:10" x14ac:dyDescent="0.3">
      <c r="B111" s="270">
        <v>6</v>
      </c>
      <c r="C111" s="270" t="s">
        <v>1403</v>
      </c>
      <c r="D111" s="270">
        <v>0</v>
      </c>
      <c r="E111" s="270">
        <v>0</v>
      </c>
      <c r="F111" s="270">
        <v>0</v>
      </c>
      <c r="G111" s="270">
        <v>0</v>
      </c>
      <c r="H111" s="270">
        <v>0</v>
      </c>
      <c r="I111" s="270">
        <v>0</v>
      </c>
      <c r="J111" s="270">
        <v>0</v>
      </c>
    </row>
    <row r="112" spans="1:10" x14ac:dyDescent="0.3">
      <c r="B112" s="270">
        <v>7</v>
      </c>
      <c r="C112" s="270" t="s">
        <v>1404</v>
      </c>
      <c r="D112" s="270">
        <v>0</v>
      </c>
      <c r="E112" s="270">
        <v>0</v>
      </c>
      <c r="F112" s="270">
        <v>0</v>
      </c>
      <c r="G112" s="270">
        <v>0</v>
      </c>
      <c r="H112" s="270">
        <v>0</v>
      </c>
      <c r="I112" s="270">
        <v>0</v>
      </c>
      <c r="J112" s="270">
        <v>0</v>
      </c>
    </row>
    <row r="113" spans="1:10" x14ac:dyDescent="0.3">
      <c r="B113" s="270">
        <v>9</v>
      </c>
      <c r="C113" s="270" t="s">
        <v>1405</v>
      </c>
      <c r="D113" s="270">
        <v>0</v>
      </c>
      <c r="E113" s="270">
        <v>0</v>
      </c>
      <c r="F113" s="270">
        <v>0</v>
      </c>
      <c r="G113" s="270">
        <v>0</v>
      </c>
      <c r="H113" s="270">
        <v>0</v>
      </c>
      <c r="I113" s="270">
        <v>0</v>
      </c>
      <c r="J113" s="270">
        <v>0</v>
      </c>
    </row>
    <row r="114" spans="1:10" x14ac:dyDescent="0.3">
      <c r="A114" s="270">
        <v>547</v>
      </c>
      <c r="B114" s="270">
        <v>547</v>
      </c>
      <c r="C114" s="270" t="s">
        <v>1406</v>
      </c>
      <c r="D114" s="270">
        <v>2</v>
      </c>
      <c r="E114" s="270">
        <v>2</v>
      </c>
      <c r="F114" s="270">
        <v>3</v>
      </c>
      <c r="G114" s="270">
        <v>3</v>
      </c>
      <c r="H114" s="270">
        <v>1</v>
      </c>
      <c r="I114" s="270">
        <v>1</v>
      </c>
      <c r="J114" s="270">
        <v>3</v>
      </c>
    </row>
    <row r="115" spans="1:10" ht="72" x14ac:dyDescent="0.3">
      <c r="B115" s="270">
        <v>551</v>
      </c>
      <c r="C115" s="950" t="s">
        <v>1407</v>
      </c>
    </row>
    <row r="116" spans="1:10" x14ac:dyDescent="0.3">
      <c r="A116" s="270">
        <v>554</v>
      </c>
      <c r="B116" s="270">
        <v>554</v>
      </c>
      <c r="C116" s="270" t="s">
        <v>345</v>
      </c>
      <c r="D116" s="987">
        <v>10149696</v>
      </c>
      <c r="E116" s="987">
        <v>17297898</v>
      </c>
      <c r="F116" s="987">
        <v>7938753</v>
      </c>
      <c r="G116" s="987">
        <v>8169358</v>
      </c>
      <c r="H116" s="987">
        <v>7501601</v>
      </c>
      <c r="I116" s="987">
        <v>18467810</v>
      </c>
      <c r="J116" s="987">
        <v>12063515</v>
      </c>
    </row>
    <row r="117" spans="1:10" x14ac:dyDescent="0.3">
      <c r="A117" s="270">
        <v>555</v>
      </c>
      <c r="B117" s="270">
        <v>555</v>
      </c>
      <c r="C117" s="270" t="s">
        <v>346</v>
      </c>
      <c r="D117" s="987">
        <v>4447253</v>
      </c>
      <c r="E117" s="987">
        <v>11879767</v>
      </c>
      <c r="F117" s="987">
        <v>7285853</v>
      </c>
      <c r="G117" s="987">
        <v>5570716</v>
      </c>
      <c r="H117" s="987">
        <v>5091667</v>
      </c>
      <c r="I117" s="987">
        <v>10666819</v>
      </c>
      <c r="J117" s="987">
        <v>10794805</v>
      </c>
    </row>
    <row r="118" spans="1:10" x14ac:dyDescent="0.3">
      <c r="A118" s="270">
        <v>556</v>
      </c>
      <c r="B118" s="270">
        <v>556</v>
      </c>
      <c r="C118" s="270" t="s">
        <v>347</v>
      </c>
      <c r="D118" s="987">
        <v>55131276</v>
      </c>
      <c r="E118" s="987">
        <v>77279448</v>
      </c>
      <c r="F118" s="987">
        <v>29427196</v>
      </c>
      <c r="G118" s="987">
        <v>42101702</v>
      </c>
      <c r="H118" s="987">
        <v>38877403</v>
      </c>
      <c r="I118" s="987">
        <v>74440864</v>
      </c>
      <c r="J118" s="987">
        <v>72989498</v>
      </c>
    </row>
    <row r="119" spans="1:10" x14ac:dyDescent="0.3">
      <c r="A119" s="270">
        <v>557</v>
      </c>
      <c r="B119" s="270">
        <v>557</v>
      </c>
      <c r="C119" s="270" t="s">
        <v>348</v>
      </c>
      <c r="D119" s="987">
        <v>50055062</v>
      </c>
      <c r="E119" s="987">
        <v>50023602</v>
      </c>
      <c r="F119" s="987">
        <v>27259609</v>
      </c>
      <c r="G119" s="987">
        <v>41411674</v>
      </c>
      <c r="H119" s="987">
        <v>36567437</v>
      </c>
      <c r="I119" s="987">
        <v>71173137</v>
      </c>
      <c r="J119" s="987">
        <v>72571072</v>
      </c>
    </row>
    <row r="120" spans="1:10" x14ac:dyDescent="0.3">
      <c r="A120" s="270">
        <v>558</v>
      </c>
      <c r="B120" s="270">
        <v>558</v>
      </c>
      <c r="C120" s="270" t="s">
        <v>1074</v>
      </c>
      <c r="D120" s="987">
        <v>67434549</v>
      </c>
      <c r="E120" s="987">
        <v>113565918</v>
      </c>
      <c r="F120" s="987">
        <v>66711487</v>
      </c>
      <c r="G120" s="987">
        <v>54202053</v>
      </c>
      <c r="H120" s="987">
        <v>85944487</v>
      </c>
      <c r="I120" s="987">
        <v>101848392</v>
      </c>
      <c r="J120" s="987">
        <v>49672084</v>
      </c>
    </row>
    <row r="121" spans="1:10" x14ac:dyDescent="0.3">
      <c r="A121" s="270">
        <v>559</v>
      </c>
      <c r="B121" s="270">
        <v>559</v>
      </c>
      <c r="C121" s="270" t="s">
        <v>1075</v>
      </c>
      <c r="D121" s="987">
        <v>51602006</v>
      </c>
      <c r="E121" s="987">
        <v>91118896</v>
      </c>
      <c r="F121" s="987">
        <v>102157943</v>
      </c>
      <c r="G121" s="987">
        <v>90030540</v>
      </c>
      <c r="H121" s="987">
        <v>35570410</v>
      </c>
      <c r="I121" s="987">
        <v>48860042</v>
      </c>
      <c r="J121" s="987">
        <v>44602249</v>
      </c>
    </row>
    <row r="122" spans="1:10" x14ac:dyDescent="0.3">
      <c r="A122" s="270">
        <v>560</v>
      </c>
      <c r="B122" s="270">
        <v>560</v>
      </c>
      <c r="C122" s="270" t="s">
        <v>1408</v>
      </c>
      <c r="D122" s="987">
        <v>43616119</v>
      </c>
      <c r="E122" s="987">
        <v>51296996</v>
      </c>
      <c r="F122" s="987">
        <v>15415715</v>
      </c>
      <c r="G122" s="987">
        <v>19211770</v>
      </c>
      <c r="H122" s="987">
        <v>15537463</v>
      </c>
      <c r="I122" s="987">
        <v>37152828</v>
      </c>
      <c r="J122" s="987">
        <v>30364104</v>
      </c>
    </row>
    <row r="123" spans="1:10" x14ac:dyDescent="0.3">
      <c r="A123" s="270">
        <v>561</v>
      </c>
      <c r="B123" s="270">
        <v>561</v>
      </c>
      <c r="C123" s="270" t="s">
        <v>1077</v>
      </c>
      <c r="D123" s="270">
        <v>0</v>
      </c>
      <c r="E123" s="270">
        <v>0</v>
      </c>
      <c r="F123" s="270">
        <v>0</v>
      </c>
      <c r="G123" s="270">
        <v>0</v>
      </c>
      <c r="H123" s="987">
        <v>710387</v>
      </c>
      <c r="I123" s="987">
        <v>933375</v>
      </c>
      <c r="J123" s="270">
        <v>0</v>
      </c>
    </row>
    <row r="124" spans="1:10" x14ac:dyDescent="0.3">
      <c r="A124" s="270">
        <v>562</v>
      </c>
      <c r="B124" s="270">
        <v>562</v>
      </c>
      <c r="C124" s="270" t="s">
        <v>1083</v>
      </c>
      <c r="D124" s="270">
        <v>0</v>
      </c>
      <c r="E124" s="270">
        <v>0</v>
      </c>
      <c r="F124" s="270">
        <v>0</v>
      </c>
      <c r="G124" s="270">
        <v>0</v>
      </c>
      <c r="H124" s="270">
        <v>0</v>
      </c>
      <c r="I124" s="270">
        <v>0</v>
      </c>
      <c r="J124" s="270">
        <v>0</v>
      </c>
    </row>
    <row r="125" spans="1:10" x14ac:dyDescent="0.3">
      <c r="A125" s="270">
        <v>563</v>
      </c>
      <c r="B125" s="270">
        <v>563</v>
      </c>
      <c r="C125" s="270" t="s">
        <v>1078</v>
      </c>
      <c r="D125" s="270">
        <v>0</v>
      </c>
      <c r="E125" s="270">
        <v>0</v>
      </c>
      <c r="F125" s="270">
        <v>0</v>
      </c>
      <c r="G125" s="270">
        <v>0</v>
      </c>
      <c r="H125" s="270">
        <v>0</v>
      </c>
      <c r="I125" s="270">
        <v>0</v>
      </c>
      <c r="J125" s="270">
        <v>0</v>
      </c>
    </row>
    <row r="126" spans="1:10" x14ac:dyDescent="0.3">
      <c r="A126" s="270">
        <v>564</v>
      </c>
      <c r="B126" s="270">
        <v>564</v>
      </c>
      <c r="C126" s="270" t="s">
        <v>1409</v>
      </c>
      <c r="D126" s="987">
        <v>534923952</v>
      </c>
      <c r="E126" s="987">
        <v>882255863</v>
      </c>
      <c r="F126" s="987">
        <v>286913131</v>
      </c>
      <c r="G126" s="987">
        <v>343234915</v>
      </c>
      <c r="H126" s="987">
        <v>335466346</v>
      </c>
      <c r="I126" s="987">
        <v>493490792</v>
      </c>
      <c r="J126" s="987">
        <v>425734452</v>
      </c>
    </row>
    <row r="127" spans="1:10" x14ac:dyDescent="0.3">
      <c r="A127" s="270">
        <v>565</v>
      </c>
      <c r="B127" s="270">
        <v>565</v>
      </c>
      <c r="C127" s="270" t="s">
        <v>1214</v>
      </c>
      <c r="D127" s="270">
        <v>0</v>
      </c>
      <c r="E127" s="270">
        <v>0</v>
      </c>
      <c r="F127" s="270">
        <v>0</v>
      </c>
      <c r="G127" s="270">
        <v>0</v>
      </c>
      <c r="H127" s="270">
        <v>0</v>
      </c>
      <c r="I127" s="270">
        <v>0</v>
      </c>
      <c r="J127" s="270">
        <v>0</v>
      </c>
    </row>
    <row r="128" spans="1:10" x14ac:dyDescent="0.3">
      <c r="A128" s="270">
        <v>566</v>
      </c>
      <c r="B128" s="270">
        <v>566</v>
      </c>
      <c r="C128" s="270" t="s">
        <v>1081</v>
      </c>
      <c r="D128" s="270">
        <v>0</v>
      </c>
      <c r="E128" s="270">
        <v>0</v>
      </c>
      <c r="F128" s="270">
        <v>0</v>
      </c>
      <c r="G128" s="270">
        <v>0</v>
      </c>
      <c r="H128" s="270">
        <v>0</v>
      </c>
      <c r="I128" s="270">
        <v>0</v>
      </c>
      <c r="J128" s="270">
        <v>0</v>
      </c>
    </row>
    <row r="129" spans="1:10" x14ac:dyDescent="0.3">
      <c r="A129" s="270">
        <v>567</v>
      </c>
      <c r="B129" s="270">
        <v>567</v>
      </c>
      <c r="C129" s="270" t="s">
        <v>1082</v>
      </c>
      <c r="D129" s="270">
        <v>0</v>
      </c>
      <c r="E129" s="270">
        <v>0</v>
      </c>
      <c r="F129" s="270">
        <v>0</v>
      </c>
      <c r="G129" s="270">
        <v>0</v>
      </c>
      <c r="H129" s="270">
        <v>0</v>
      </c>
      <c r="I129" s="270">
        <v>0</v>
      </c>
      <c r="J129" s="270">
        <v>0</v>
      </c>
    </row>
    <row r="130" spans="1:10" x14ac:dyDescent="0.3">
      <c r="A130" s="270">
        <v>568</v>
      </c>
      <c r="B130" s="270">
        <v>568</v>
      </c>
      <c r="C130" s="270" t="s">
        <v>1410</v>
      </c>
      <c r="D130" s="270">
        <v>0</v>
      </c>
      <c r="E130" s="270">
        <v>0</v>
      </c>
      <c r="F130" s="270">
        <v>0</v>
      </c>
      <c r="G130" s="270">
        <v>0</v>
      </c>
      <c r="H130" s="270">
        <v>0</v>
      </c>
      <c r="I130" s="270">
        <v>0</v>
      </c>
      <c r="J130" s="270">
        <v>0</v>
      </c>
    </row>
    <row r="131" spans="1:10" x14ac:dyDescent="0.3">
      <c r="A131" s="270">
        <v>569</v>
      </c>
      <c r="B131" s="270">
        <v>569</v>
      </c>
      <c r="C131" s="270" t="s">
        <v>1084</v>
      </c>
      <c r="D131" s="270">
        <v>0</v>
      </c>
      <c r="E131" s="270">
        <v>0</v>
      </c>
      <c r="F131" s="270">
        <v>0</v>
      </c>
      <c r="G131" s="270">
        <v>0</v>
      </c>
      <c r="H131" s="270">
        <v>0</v>
      </c>
      <c r="I131" s="270">
        <v>0</v>
      </c>
      <c r="J131" s="270">
        <v>0</v>
      </c>
    </row>
    <row r="132" spans="1:10" x14ac:dyDescent="0.3">
      <c r="A132" s="270">
        <v>571</v>
      </c>
      <c r="B132" s="270">
        <v>571</v>
      </c>
      <c r="C132" s="270" t="s">
        <v>1056</v>
      </c>
      <c r="D132" s="987">
        <v>4946366</v>
      </c>
      <c r="E132" s="987">
        <v>7654973</v>
      </c>
      <c r="F132" s="987">
        <v>2209137</v>
      </c>
      <c r="G132" s="987">
        <v>9538291</v>
      </c>
      <c r="H132" s="987">
        <v>17269975</v>
      </c>
      <c r="I132" s="987">
        <v>10126178</v>
      </c>
      <c r="J132" s="987">
        <v>4032876</v>
      </c>
    </row>
    <row r="133" spans="1:10" x14ac:dyDescent="0.3">
      <c r="A133" s="270">
        <v>572</v>
      </c>
      <c r="B133" s="270">
        <v>572</v>
      </c>
      <c r="C133" s="270" t="s">
        <v>1057</v>
      </c>
      <c r="D133" s="987">
        <v>51602006</v>
      </c>
      <c r="E133" s="987">
        <v>91118896</v>
      </c>
      <c r="F133" s="987">
        <v>35446456</v>
      </c>
      <c r="G133" s="987">
        <v>35828487</v>
      </c>
      <c r="H133" s="987">
        <v>35570410</v>
      </c>
      <c r="I133" s="987">
        <v>48860042</v>
      </c>
      <c r="J133" s="987">
        <v>44602249</v>
      </c>
    </row>
    <row r="134" spans="1:10" x14ac:dyDescent="0.3">
      <c r="A134" s="270">
        <v>573</v>
      </c>
      <c r="B134" s="270">
        <v>573</v>
      </c>
      <c r="C134" s="270" t="s">
        <v>1215</v>
      </c>
      <c r="D134" s="987">
        <v>31425690</v>
      </c>
      <c r="E134" s="987">
        <v>92161224</v>
      </c>
      <c r="F134" s="987">
        <v>50547910</v>
      </c>
      <c r="G134" s="987">
        <v>35715357</v>
      </c>
      <c r="H134" s="987">
        <v>74299026</v>
      </c>
      <c r="I134" s="987">
        <v>72766373</v>
      </c>
      <c r="J134" s="987">
        <v>25569491</v>
      </c>
    </row>
    <row r="135" spans="1:10" x14ac:dyDescent="0.3">
      <c r="B135" s="270">
        <v>539</v>
      </c>
      <c r="C135" s="270" t="s">
        <v>1411</v>
      </c>
    </row>
    <row r="136" spans="1:10" x14ac:dyDescent="0.3">
      <c r="B136" s="270">
        <v>549</v>
      </c>
      <c r="C136" s="270" t="s">
        <v>1412</v>
      </c>
    </row>
    <row r="137" spans="1:10" ht="89.25" customHeight="1" x14ac:dyDescent="0.3">
      <c r="A137" s="270">
        <v>577</v>
      </c>
      <c r="B137" s="270">
        <v>577</v>
      </c>
      <c r="C137" s="270" t="s">
        <v>1413</v>
      </c>
      <c r="D137" s="270">
        <v>2</v>
      </c>
      <c r="E137" s="270">
        <v>2</v>
      </c>
      <c r="F137" s="270">
        <v>2</v>
      </c>
      <c r="G137" s="270">
        <v>0</v>
      </c>
      <c r="H137" s="270">
        <v>2</v>
      </c>
      <c r="I137" s="270">
        <v>2</v>
      </c>
      <c r="J137" s="270">
        <v>2</v>
      </c>
    </row>
    <row r="138" spans="1:10" x14ac:dyDescent="0.3">
      <c r="A138" s="270">
        <v>998</v>
      </c>
      <c r="B138" s="270">
        <v>998</v>
      </c>
      <c r="C138" s="270" t="s">
        <v>288</v>
      </c>
      <c r="D138" s="270">
        <v>58</v>
      </c>
      <c r="E138" s="270">
        <v>58</v>
      </c>
      <c r="F138" s="270">
        <v>58</v>
      </c>
      <c r="G138" s="270">
        <v>58</v>
      </c>
      <c r="H138" s="270">
        <v>58</v>
      </c>
      <c r="I138" s="270">
        <v>58</v>
      </c>
      <c r="J138" s="270">
        <v>58</v>
      </c>
    </row>
    <row r="139" spans="1:10" x14ac:dyDescent="0.3">
      <c r="A139" s="270">
        <v>999</v>
      </c>
      <c r="B139" s="270">
        <v>999</v>
      </c>
      <c r="C139" s="270" t="s">
        <v>289</v>
      </c>
      <c r="D139" s="987">
        <v>584016</v>
      </c>
      <c r="E139" s="987">
        <v>584021</v>
      </c>
      <c r="F139" s="987">
        <v>581427</v>
      </c>
      <c r="G139" s="987">
        <v>584015</v>
      </c>
      <c r="H139" s="987">
        <v>581418</v>
      </c>
      <c r="I139" s="987">
        <v>584134</v>
      </c>
      <c r="J139" s="987">
        <v>581419</v>
      </c>
    </row>
    <row r="140" spans="1:10" x14ac:dyDescent="0.3">
      <c r="A140" s="270">
        <v>591</v>
      </c>
      <c r="B140" s="270">
        <v>591</v>
      </c>
      <c r="C140" s="270" t="s">
        <v>355</v>
      </c>
      <c r="D140" s="987">
        <v>535429973</v>
      </c>
      <c r="E140" s="987">
        <v>884431978</v>
      </c>
      <c r="F140" s="987">
        <v>287863597</v>
      </c>
      <c r="G140" s="987">
        <v>343564762</v>
      </c>
      <c r="H140" s="987">
        <v>338628943</v>
      </c>
      <c r="I140" s="987">
        <v>493849761</v>
      </c>
      <c r="J140" s="987">
        <v>427880469</v>
      </c>
    </row>
    <row r="141" spans="1:10" x14ac:dyDescent="0.3">
      <c r="A141" s="270">
        <v>592</v>
      </c>
      <c r="B141" s="270">
        <v>592</v>
      </c>
      <c r="C141" s="270" t="s">
        <v>356</v>
      </c>
      <c r="D141" s="987">
        <v>-24961875</v>
      </c>
      <c r="E141" s="987">
        <v>-35646864</v>
      </c>
      <c r="F141" s="987">
        <v>300985</v>
      </c>
      <c r="G141" s="987">
        <v>-10916832</v>
      </c>
      <c r="H141" s="987">
        <v>-25588171</v>
      </c>
      <c r="I141" s="987">
        <v>44368584</v>
      </c>
      <c r="J141" s="987">
        <v>-4670922</v>
      </c>
    </row>
    <row r="142" spans="1:10" x14ac:dyDescent="0.3">
      <c r="A142" s="270">
        <v>593</v>
      </c>
      <c r="B142" s="270">
        <v>593</v>
      </c>
      <c r="C142" s="270" t="s">
        <v>1072</v>
      </c>
      <c r="D142" s="270">
        <v>0</v>
      </c>
      <c r="E142" s="270">
        <v>0</v>
      </c>
      <c r="F142" s="270">
        <v>0</v>
      </c>
      <c r="G142" s="270">
        <v>0</v>
      </c>
      <c r="H142" s="270">
        <v>0</v>
      </c>
      <c r="I142" s="270">
        <v>0</v>
      </c>
      <c r="J142" s="270">
        <v>0</v>
      </c>
    </row>
    <row r="143" spans="1:10" x14ac:dyDescent="0.3">
      <c r="A143" s="270">
        <v>594</v>
      </c>
      <c r="B143" s="270">
        <v>594</v>
      </c>
      <c r="C143" s="270" t="s">
        <v>1073</v>
      </c>
      <c r="D143" s="270">
        <v>0</v>
      </c>
      <c r="E143" s="270">
        <v>0</v>
      </c>
      <c r="F143" s="270">
        <v>0</v>
      </c>
      <c r="G143" s="270">
        <v>0</v>
      </c>
      <c r="H143" s="270">
        <v>0</v>
      </c>
      <c r="I143" s="270">
        <v>0</v>
      </c>
      <c r="J143" s="270">
        <v>0</v>
      </c>
    </row>
    <row r="144" spans="1:10" x14ac:dyDescent="0.3">
      <c r="B144" s="270">
        <v>595</v>
      </c>
      <c r="C144" s="270" t="s">
        <v>1414</v>
      </c>
    </row>
    <row r="145" spans="1:10" ht="111.75" customHeight="1" x14ac:dyDescent="0.3">
      <c r="B145" s="270">
        <v>600</v>
      </c>
      <c r="C145" s="950" t="s">
        <v>539</v>
      </c>
    </row>
    <row r="146" spans="1:10" ht="209.25" customHeight="1" x14ac:dyDescent="0.3">
      <c r="B146" s="270">
        <v>601</v>
      </c>
      <c r="C146" s="950" t="s">
        <v>540</v>
      </c>
    </row>
    <row r="147" spans="1:10" ht="158.4" x14ac:dyDescent="0.3">
      <c r="A147" s="270">
        <v>603</v>
      </c>
      <c r="B147" s="270">
        <v>603</v>
      </c>
      <c r="C147" s="950" t="s">
        <v>395</v>
      </c>
      <c r="D147" s="270">
        <v>1</v>
      </c>
      <c r="E147" s="270">
        <v>2</v>
      </c>
      <c r="F147" s="270">
        <v>1</v>
      </c>
      <c r="G147" s="270">
        <v>1</v>
      </c>
      <c r="H147" s="270">
        <v>1</v>
      </c>
      <c r="I147" s="270">
        <v>1</v>
      </c>
      <c r="J147" s="270">
        <v>1</v>
      </c>
    </row>
    <row r="148" spans="1:10" ht="115.2" x14ac:dyDescent="0.3">
      <c r="B148" s="270">
        <v>604</v>
      </c>
      <c r="C148" s="950" t="s">
        <v>396</v>
      </c>
    </row>
    <row r="149" spans="1:10" x14ac:dyDescent="0.3">
      <c r="A149" s="270">
        <v>605</v>
      </c>
      <c r="B149" s="270">
        <v>605</v>
      </c>
      <c r="C149" s="270" t="s">
        <v>398</v>
      </c>
      <c r="D149" s="270">
        <v>1</v>
      </c>
      <c r="E149" s="270">
        <v>1</v>
      </c>
      <c r="F149" s="270">
        <v>1</v>
      </c>
      <c r="G149" s="270">
        <v>1</v>
      </c>
      <c r="H149" s="270">
        <v>1</v>
      </c>
      <c r="I149" s="270">
        <v>1</v>
      </c>
      <c r="J149" s="270">
        <v>1</v>
      </c>
    </row>
    <row r="150" spans="1:10" x14ac:dyDescent="0.3">
      <c r="A150" s="270">
        <v>606</v>
      </c>
      <c r="B150" s="270">
        <v>606</v>
      </c>
      <c r="C150" s="270" t="s">
        <v>408</v>
      </c>
      <c r="D150" s="270">
        <v>1</v>
      </c>
      <c r="E150" s="270">
        <v>1</v>
      </c>
      <c r="F150" s="270">
        <v>1</v>
      </c>
      <c r="G150" s="270">
        <v>1</v>
      </c>
      <c r="H150" s="270">
        <v>1</v>
      </c>
      <c r="I150" s="270">
        <v>1</v>
      </c>
      <c r="J150" s="270">
        <v>1</v>
      </c>
    </row>
    <row r="151" spans="1:10" x14ac:dyDescent="0.3">
      <c r="A151" s="270">
        <v>607</v>
      </c>
      <c r="B151" s="270">
        <v>607</v>
      </c>
      <c r="C151" s="270" t="s">
        <v>388</v>
      </c>
      <c r="D151" s="270">
        <v>0</v>
      </c>
      <c r="E151" s="270">
        <v>0</v>
      </c>
      <c r="F151" s="987">
        <v>24190000</v>
      </c>
      <c r="G151" s="987">
        <v>4026957</v>
      </c>
      <c r="H151" s="987">
        <v>1523885</v>
      </c>
      <c r="I151" s="987">
        <v>2625899</v>
      </c>
      <c r="J151" s="987">
        <v>2542000</v>
      </c>
    </row>
    <row r="152" spans="1:10" x14ac:dyDescent="0.3">
      <c r="A152" s="270">
        <v>608</v>
      </c>
      <c r="B152" s="270">
        <v>608</v>
      </c>
      <c r="C152" s="270" t="s">
        <v>389</v>
      </c>
      <c r="D152" s="270">
        <v>0</v>
      </c>
      <c r="E152" s="270">
        <v>0</v>
      </c>
      <c r="F152" s="987">
        <v>24538000</v>
      </c>
      <c r="G152" s="987">
        <v>2545117</v>
      </c>
      <c r="H152" s="270">
        <v>0</v>
      </c>
      <c r="I152" s="987">
        <v>16276074</v>
      </c>
      <c r="J152" s="270">
        <v>0</v>
      </c>
    </row>
    <row r="153" spans="1:10" x14ac:dyDescent="0.3">
      <c r="A153" s="270">
        <v>609</v>
      </c>
      <c r="B153" s="270">
        <v>609</v>
      </c>
      <c r="C153" s="270" t="s">
        <v>1415</v>
      </c>
      <c r="D153" s="270">
        <v>0</v>
      </c>
      <c r="E153" s="270">
        <v>0</v>
      </c>
      <c r="F153" s="270">
        <v>101.4</v>
      </c>
      <c r="G153" s="270">
        <v>63.2</v>
      </c>
      <c r="H153" s="270">
        <v>0</v>
      </c>
      <c r="I153" s="270">
        <v>619.79999999999995</v>
      </c>
      <c r="J153" s="270">
        <v>0</v>
      </c>
    </row>
    <row r="154" spans="1:10" x14ac:dyDescent="0.3">
      <c r="A154" s="270">
        <v>610</v>
      </c>
      <c r="B154" s="270">
        <v>610</v>
      </c>
      <c r="C154" s="270" t="s">
        <v>390</v>
      </c>
      <c r="D154" s="270">
        <v>0</v>
      </c>
      <c r="E154" s="270">
        <v>0</v>
      </c>
      <c r="F154" s="270">
        <v>0</v>
      </c>
      <c r="G154" s="270">
        <v>0</v>
      </c>
      <c r="H154" s="270">
        <v>0</v>
      </c>
      <c r="I154" s="270">
        <v>0</v>
      </c>
      <c r="J154" s="270">
        <v>0</v>
      </c>
    </row>
    <row r="155" spans="1:10" x14ac:dyDescent="0.3">
      <c r="A155" s="270">
        <v>611</v>
      </c>
      <c r="B155" s="270">
        <v>611</v>
      </c>
      <c r="C155" s="270" t="s">
        <v>391</v>
      </c>
      <c r="D155" s="270">
        <v>0</v>
      </c>
      <c r="E155" s="270">
        <v>0</v>
      </c>
      <c r="F155" s="270">
        <v>0</v>
      </c>
      <c r="G155" s="270">
        <v>0</v>
      </c>
      <c r="H155" s="270">
        <v>0</v>
      </c>
      <c r="I155" s="270">
        <v>0</v>
      </c>
      <c r="J155" s="270">
        <v>0</v>
      </c>
    </row>
    <row r="156" spans="1:10" x14ac:dyDescent="0.3">
      <c r="A156" s="270">
        <v>612</v>
      </c>
      <c r="B156" s="270">
        <v>612</v>
      </c>
      <c r="C156" s="270" t="s">
        <v>1416</v>
      </c>
      <c r="D156" s="270">
        <v>0</v>
      </c>
      <c r="E156" s="270">
        <v>0</v>
      </c>
      <c r="F156" s="270">
        <v>0</v>
      </c>
      <c r="G156" s="270">
        <v>0</v>
      </c>
      <c r="H156" s="270">
        <v>0</v>
      </c>
      <c r="I156" s="270">
        <v>0</v>
      </c>
      <c r="J156" s="270">
        <v>0</v>
      </c>
    </row>
    <row r="157" spans="1:10" x14ac:dyDescent="0.3">
      <c r="A157" s="270">
        <v>613</v>
      </c>
      <c r="B157" s="270">
        <v>613</v>
      </c>
      <c r="C157" s="270" t="s">
        <v>399</v>
      </c>
      <c r="D157" s="270">
        <v>0</v>
      </c>
      <c r="E157" s="270">
        <v>0</v>
      </c>
      <c r="F157" s="270">
        <v>0</v>
      </c>
      <c r="G157" s="270">
        <v>0</v>
      </c>
      <c r="H157" s="270">
        <v>0</v>
      </c>
      <c r="I157" s="270">
        <v>0</v>
      </c>
      <c r="J157" s="270">
        <v>0</v>
      </c>
    </row>
    <row r="158" spans="1:10" x14ac:dyDescent="0.3">
      <c r="A158" s="270">
        <v>614</v>
      </c>
      <c r="B158" s="270">
        <v>614</v>
      </c>
      <c r="C158" s="270" t="s">
        <v>392</v>
      </c>
      <c r="D158" s="270">
        <v>0</v>
      </c>
      <c r="E158" s="270">
        <v>0</v>
      </c>
      <c r="F158" s="270">
        <v>0</v>
      </c>
      <c r="G158" s="270">
        <v>0</v>
      </c>
      <c r="H158" s="270">
        <v>0</v>
      </c>
      <c r="I158" s="270">
        <v>0</v>
      </c>
      <c r="J158" s="270">
        <v>0</v>
      </c>
    </row>
    <row r="159" spans="1:10" x14ac:dyDescent="0.3">
      <c r="A159" s="270">
        <v>615</v>
      </c>
      <c r="B159" s="270">
        <v>615</v>
      </c>
      <c r="C159" s="270" t="s">
        <v>1417</v>
      </c>
      <c r="D159" s="270">
        <v>0</v>
      </c>
      <c r="E159" s="270">
        <v>0</v>
      </c>
      <c r="F159" s="270">
        <v>0</v>
      </c>
      <c r="G159" s="270">
        <v>0</v>
      </c>
      <c r="H159" s="270">
        <v>0</v>
      </c>
      <c r="I159" s="270">
        <v>0</v>
      </c>
      <c r="J159" s="270">
        <v>0</v>
      </c>
    </row>
    <row r="160" spans="1:10" x14ac:dyDescent="0.3">
      <c r="A160" s="270">
        <v>616</v>
      </c>
      <c r="B160" s="270">
        <v>616</v>
      </c>
      <c r="C160" s="270" t="s">
        <v>393</v>
      </c>
      <c r="D160" s="270">
        <v>0</v>
      </c>
      <c r="E160" s="270">
        <v>0</v>
      </c>
      <c r="F160" s="270">
        <v>0</v>
      </c>
      <c r="G160" s="270">
        <v>0</v>
      </c>
      <c r="H160" s="270">
        <v>0</v>
      </c>
      <c r="I160" s="270">
        <v>0</v>
      </c>
      <c r="J160" s="270">
        <v>0</v>
      </c>
    </row>
    <row r="161" spans="1:10" x14ac:dyDescent="0.3">
      <c r="A161" s="270">
        <v>617</v>
      </c>
      <c r="B161" s="270">
        <v>617</v>
      </c>
      <c r="C161" s="270" t="s">
        <v>394</v>
      </c>
      <c r="D161" s="270">
        <v>0</v>
      </c>
      <c r="E161" s="270">
        <v>0</v>
      </c>
      <c r="F161" s="270">
        <v>0</v>
      </c>
      <c r="G161" s="270">
        <v>0</v>
      </c>
      <c r="H161" s="270">
        <v>0</v>
      </c>
      <c r="I161" s="270">
        <v>0</v>
      </c>
      <c r="J161" s="270">
        <v>0</v>
      </c>
    </row>
    <row r="162" spans="1:10" x14ac:dyDescent="0.3">
      <c r="A162" s="270">
        <v>618</v>
      </c>
      <c r="B162" s="270">
        <v>618</v>
      </c>
      <c r="C162" s="270" t="s">
        <v>1418</v>
      </c>
      <c r="D162" s="270">
        <v>0</v>
      </c>
      <c r="E162" s="270">
        <v>0</v>
      </c>
      <c r="F162" s="270">
        <v>0</v>
      </c>
      <c r="G162" s="270">
        <v>0</v>
      </c>
      <c r="H162" s="270">
        <v>0</v>
      </c>
      <c r="I162" s="270">
        <v>0</v>
      </c>
      <c r="J162" s="270">
        <v>0</v>
      </c>
    </row>
    <row r="163" spans="1:10" x14ac:dyDescent="0.3">
      <c r="A163" s="270">
        <v>622</v>
      </c>
      <c r="B163" s="270">
        <v>622</v>
      </c>
      <c r="C163" s="270" t="s">
        <v>415</v>
      </c>
      <c r="D163" s="988">
        <v>12240813</v>
      </c>
      <c r="E163" s="270">
        <v>0</v>
      </c>
      <c r="F163" s="988">
        <v>5720000</v>
      </c>
      <c r="G163" s="988">
        <v>9275000</v>
      </c>
      <c r="H163" s="988">
        <v>5242637</v>
      </c>
      <c r="I163" s="988">
        <v>9282737</v>
      </c>
      <c r="J163" s="988">
        <v>9555000</v>
      </c>
    </row>
    <row r="164" spans="1:10" ht="100.8" x14ac:dyDescent="0.3">
      <c r="A164" s="270">
        <v>625</v>
      </c>
      <c r="B164" s="270">
        <v>625</v>
      </c>
      <c r="C164" s="950" t="s">
        <v>508</v>
      </c>
      <c r="D164" s="270">
        <v>1</v>
      </c>
      <c r="E164" s="270">
        <v>1</v>
      </c>
      <c r="F164" s="270">
        <v>1</v>
      </c>
      <c r="G164" s="270">
        <v>1</v>
      </c>
      <c r="H164" s="270">
        <v>1</v>
      </c>
      <c r="I164" s="270">
        <v>1</v>
      </c>
      <c r="J164" s="270">
        <v>1</v>
      </c>
    </row>
    <row r="165" spans="1:10" x14ac:dyDescent="0.3">
      <c r="D165" s="989"/>
      <c r="E165" s="989"/>
      <c r="F165" s="989"/>
      <c r="G165" s="989"/>
      <c r="H165" s="989"/>
      <c r="I165" s="989"/>
      <c r="J165" s="989"/>
    </row>
    <row r="166" spans="1:10" ht="17.25" customHeight="1" x14ac:dyDescent="0.3">
      <c r="D166" s="988"/>
      <c r="E166" s="988"/>
      <c r="F166" s="988"/>
      <c r="G166" s="988"/>
      <c r="H166" s="988"/>
      <c r="I166" s="988"/>
      <c r="J166" s="988"/>
    </row>
    <row r="167" spans="1:10" x14ac:dyDescent="0.3">
      <c r="D167" s="987"/>
      <c r="E167" s="987"/>
      <c r="F167" s="987"/>
      <c r="G167" s="987"/>
      <c r="H167" s="987"/>
      <c r="I167" s="987"/>
      <c r="J167" s="987"/>
    </row>
    <row r="168" spans="1:10" x14ac:dyDescent="0.3">
      <c r="D168" s="987"/>
      <c r="E168" s="987"/>
      <c r="F168" s="987"/>
      <c r="G168" s="987"/>
      <c r="H168" s="987"/>
      <c r="I168" s="987"/>
      <c r="J168" s="987"/>
    </row>
    <row r="172" spans="1:10" x14ac:dyDescent="0.3">
      <c r="D172" s="987"/>
      <c r="E172" s="987"/>
      <c r="F172" s="987"/>
      <c r="G172" s="987"/>
      <c r="H172" s="987"/>
      <c r="I172" s="987"/>
      <c r="J172" s="987"/>
    </row>
    <row r="173" spans="1:10" x14ac:dyDescent="0.3">
      <c r="D173" s="987"/>
      <c r="E173" s="987"/>
      <c r="F173" s="987"/>
      <c r="G173" s="987"/>
      <c r="H173" s="987"/>
      <c r="I173" s="987"/>
      <c r="J173" s="987"/>
    </row>
    <row r="175" spans="1:10" x14ac:dyDescent="0.3">
      <c r="D175" s="987"/>
      <c r="E175" s="987"/>
      <c r="F175" s="987"/>
      <c r="G175" s="987"/>
      <c r="H175" s="987"/>
      <c r="I175" s="987"/>
      <c r="J175" s="987"/>
    </row>
    <row r="177" spans="4:10" x14ac:dyDescent="0.3">
      <c r="D177" s="987"/>
      <c r="E177" s="987"/>
      <c r="F177" s="987"/>
      <c r="G177" s="987"/>
      <c r="H177" s="987"/>
      <c r="I177" s="987"/>
      <c r="J177" s="987"/>
    </row>
  </sheetData>
  <sheetProtection algorithmName="SHA-512" hashValue="lBpo4Lw/dBo33UPAhi8EHEew6oz1oFfg79lw2XVvQbMQXA4QtdzTcX2+WnQj1D9t27x3yDF79+zYT9gsixZI4g==" saltValue="yPdUvwEcGRttqgcudc3Mo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A2" sqref="A2:H2"/>
    </sheetView>
  </sheetViews>
  <sheetFormatPr defaultColWidth="9.109375" defaultRowHeight="14.4" x14ac:dyDescent="0.3"/>
  <cols>
    <col min="1" max="1" width="31.5546875" style="300" customWidth="1"/>
    <col min="2" max="2" width="8" style="300" customWidth="1"/>
    <col min="3" max="3" width="14.88671875" style="300" customWidth="1"/>
    <col min="4" max="4" width="16" style="300" customWidth="1"/>
    <col min="5" max="7" width="9.109375" style="300"/>
    <col min="8" max="8" width="21.33203125" style="300" customWidth="1"/>
    <col min="9" max="16384" width="9.109375" style="300"/>
  </cols>
  <sheetData>
    <row r="1" spans="1:11" ht="15.75" customHeight="1" x14ac:dyDescent="0.3">
      <c r="A1" s="1187" t="s">
        <v>732</v>
      </c>
      <c r="B1" s="1187"/>
      <c r="C1" s="1187"/>
      <c r="D1" s="1187"/>
    </row>
    <row r="2" spans="1:11" ht="15.75" customHeight="1" x14ac:dyDescent="0.3">
      <c r="A2" s="1188" t="s">
        <v>819</v>
      </c>
      <c r="B2" s="1188"/>
      <c r="C2" s="1188"/>
      <c r="D2" s="1188"/>
    </row>
    <row r="3" spans="1:11" ht="21.9" customHeight="1" x14ac:dyDescent="0.3">
      <c r="A3" s="1187" t="s">
        <v>820</v>
      </c>
      <c r="B3" s="1187"/>
      <c r="C3" s="1187"/>
      <c r="D3" s="1187"/>
    </row>
    <row r="4" spans="1:11" ht="21" customHeight="1" x14ac:dyDescent="0.3">
      <c r="A4" s="700"/>
      <c r="B4" s="700"/>
      <c r="C4" s="699" t="s">
        <v>821</v>
      </c>
      <c r="D4" s="699" t="s">
        <v>822</v>
      </c>
      <c r="I4" s="700"/>
      <c r="J4" s="699"/>
      <c r="K4" s="699"/>
    </row>
    <row r="5" spans="1:11" ht="15.75" customHeight="1" x14ac:dyDescent="0.3">
      <c r="A5" s="700"/>
      <c r="B5" s="695" t="s">
        <v>823</v>
      </c>
      <c r="C5" s="699" t="s">
        <v>824</v>
      </c>
      <c r="D5" s="699" t="s">
        <v>825</v>
      </c>
      <c r="I5" s="695"/>
      <c r="J5" s="699"/>
      <c r="K5" s="699"/>
    </row>
    <row r="6" spans="1:11" ht="21" customHeight="1" x14ac:dyDescent="0.3">
      <c r="A6" s="679" t="s">
        <v>826</v>
      </c>
      <c r="B6" s="695" t="s">
        <v>827</v>
      </c>
      <c r="C6" s="699" t="s">
        <v>828</v>
      </c>
      <c r="D6" s="699" t="s">
        <v>828</v>
      </c>
      <c r="I6" s="695"/>
      <c r="J6" s="699"/>
      <c r="K6" s="699"/>
    </row>
    <row r="7" spans="1:11" ht="21.9" customHeight="1" x14ac:dyDescent="0.3">
      <c r="A7" s="679" t="s">
        <v>829</v>
      </c>
      <c r="B7" s="684">
        <v>0.59699999999999998</v>
      </c>
      <c r="C7" s="680">
        <v>2015</v>
      </c>
      <c r="D7" s="680">
        <v>2021</v>
      </c>
      <c r="H7" s="686"/>
      <c r="I7" s="682"/>
      <c r="J7" s="693"/>
      <c r="K7" s="693"/>
    </row>
    <row r="8" spans="1:11" ht="15.75" customHeight="1" x14ac:dyDescent="0.3">
      <c r="A8" s="679" t="s">
        <v>830</v>
      </c>
      <c r="B8" s="684">
        <v>0.52900000000000003</v>
      </c>
      <c r="C8" s="680">
        <v>2017</v>
      </c>
      <c r="D8" s="680">
        <v>2021</v>
      </c>
      <c r="H8" s="686"/>
      <c r="I8" s="682"/>
      <c r="J8" s="693"/>
      <c r="K8" s="693"/>
    </row>
    <row r="9" spans="1:11" ht="15.75" customHeight="1" x14ac:dyDescent="0.3">
      <c r="A9" s="679" t="s">
        <v>831</v>
      </c>
      <c r="B9" s="684">
        <v>0.63</v>
      </c>
      <c r="C9" s="680">
        <v>2013</v>
      </c>
      <c r="D9" s="680">
        <v>2021</v>
      </c>
      <c r="H9" s="686"/>
      <c r="I9" s="682"/>
      <c r="J9" s="693"/>
      <c r="K9" s="693"/>
    </row>
    <row r="10" spans="1:11" ht="15.75" customHeight="1" x14ac:dyDescent="0.3">
      <c r="A10" s="679" t="s">
        <v>832</v>
      </c>
      <c r="B10" s="684">
        <v>0.73499999999999999</v>
      </c>
      <c r="C10" s="680">
        <v>2016</v>
      </c>
      <c r="D10" s="680">
        <v>2021</v>
      </c>
      <c r="H10" s="686"/>
      <c r="I10" s="682"/>
      <c r="J10" s="693"/>
      <c r="K10" s="693"/>
    </row>
    <row r="11" spans="1:11" ht="21.9" customHeight="1" x14ac:dyDescent="0.3">
      <c r="A11" s="679" t="s">
        <v>833</v>
      </c>
      <c r="B11" s="684">
        <v>0.67</v>
      </c>
      <c r="C11" s="680">
        <v>2017</v>
      </c>
      <c r="D11" s="680">
        <v>2021</v>
      </c>
      <c r="H11" s="686"/>
      <c r="I11" s="682"/>
      <c r="J11" s="693"/>
      <c r="K11" s="693"/>
    </row>
    <row r="12" spans="1:11" ht="21" customHeight="1" x14ac:dyDescent="0.3">
      <c r="A12" s="679" t="s">
        <v>834</v>
      </c>
      <c r="B12" s="684">
        <v>0.72</v>
      </c>
      <c r="C12" s="680">
        <v>2016</v>
      </c>
      <c r="D12" s="680">
        <v>2021</v>
      </c>
      <c r="H12" s="686"/>
      <c r="I12" s="682"/>
      <c r="J12" s="693"/>
      <c r="K12" s="693"/>
    </row>
    <row r="13" spans="1:11" ht="15.75" customHeight="1" x14ac:dyDescent="0.3">
      <c r="A13" s="679" t="s">
        <v>835</v>
      </c>
      <c r="B13" s="684">
        <v>0.80500000000000005</v>
      </c>
      <c r="C13" s="680">
        <v>2013</v>
      </c>
      <c r="D13" s="680">
        <v>2021</v>
      </c>
      <c r="H13" s="686"/>
      <c r="I13" s="682"/>
      <c r="J13" s="693"/>
      <c r="K13" s="693"/>
    </row>
    <row r="14" spans="1:11" ht="15.75" customHeight="1" x14ac:dyDescent="0.3">
      <c r="A14" s="679" t="s">
        <v>836</v>
      </c>
      <c r="B14" s="684">
        <v>0.48</v>
      </c>
      <c r="C14" s="680">
        <v>2013</v>
      </c>
      <c r="D14" s="680">
        <v>2021</v>
      </c>
      <c r="H14" s="686"/>
      <c r="I14" s="682"/>
      <c r="J14" s="693"/>
      <c r="K14" s="693"/>
    </row>
    <row r="15" spans="1:11" ht="15.75" customHeight="1" x14ac:dyDescent="0.3">
      <c r="A15" s="679" t="s">
        <v>837</v>
      </c>
      <c r="B15" s="684">
        <v>0.54</v>
      </c>
      <c r="C15" s="680">
        <v>2015</v>
      </c>
      <c r="D15" s="680">
        <v>2021</v>
      </c>
      <c r="H15" s="686"/>
      <c r="I15" s="682"/>
      <c r="J15" s="693"/>
      <c r="K15" s="685"/>
    </row>
    <row r="16" spans="1:11" ht="21" customHeight="1" x14ac:dyDescent="0.3">
      <c r="A16" s="679" t="s">
        <v>838</v>
      </c>
      <c r="B16" s="684">
        <v>0.73799999999999999</v>
      </c>
      <c r="C16" s="680">
        <v>2017</v>
      </c>
      <c r="D16" s="680">
        <v>2021</v>
      </c>
      <c r="H16" s="686"/>
      <c r="I16" s="682"/>
      <c r="J16" s="693"/>
      <c r="K16" s="685"/>
    </row>
    <row r="17" spans="1:11" ht="21.9" customHeight="1" x14ac:dyDescent="0.3">
      <c r="A17" s="679" t="s">
        <v>839</v>
      </c>
      <c r="B17" s="684">
        <v>0.74350000000000005</v>
      </c>
      <c r="C17" s="680">
        <v>2017</v>
      </c>
      <c r="D17" s="680">
        <v>2021</v>
      </c>
      <c r="H17" s="686"/>
      <c r="I17" s="682"/>
      <c r="J17" s="693"/>
      <c r="K17" s="685"/>
    </row>
    <row r="18" spans="1:11" ht="15.75" customHeight="1" x14ac:dyDescent="0.3">
      <c r="A18" s="679" t="s">
        <v>840</v>
      </c>
      <c r="B18" s="684">
        <v>0.78600000000000003</v>
      </c>
      <c r="C18" s="680">
        <v>2013</v>
      </c>
      <c r="D18" s="680">
        <v>2021</v>
      </c>
      <c r="H18" s="686"/>
      <c r="I18" s="682"/>
      <c r="J18" s="693"/>
      <c r="K18" s="685"/>
    </row>
    <row r="19" spans="1:11" ht="15.75" customHeight="1" x14ac:dyDescent="0.3">
      <c r="A19" s="679" t="s">
        <v>841</v>
      </c>
      <c r="B19" s="684">
        <v>0.58499999999999996</v>
      </c>
      <c r="C19" s="680">
        <v>2017</v>
      </c>
      <c r="D19" s="680">
        <v>2021</v>
      </c>
      <c r="H19" s="686"/>
      <c r="I19" s="682"/>
      <c r="J19" s="693"/>
      <c r="K19" s="685"/>
    </row>
    <row r="20" spans="1:11" ht="15.75" customHeight="1" x14ac:dyDescent="0.3">
      <c r="A20" s="679" t="s">
        <v>842</v>
      </c>
      <c r="B20" s="684">
        <v>0.38</v>
      </c>
      <c r="C20" s="680">
        <v>2016</v>
      </c>
      <c r="D20" s="680">
        <v>2021</v>
      </c>
    </row>
    <row r="21" spans="1:11" ht="21.9" customHeight="1" x14ac:dyDescent="0.3">
      <c r="A21" s="688" t="s">
        <v>843</v>
      </c>
      <c r="B21" s="684">
        <v>0.55500000000000005</v>
      </c>
      <c r="C21" s="680">
        <v>2017</v>
      </c>
      <c r="D21" s="698">
        <v>2021</v>
      </c>
    </row>
    <row r="22" spans="1:11" ht="21" customHeight="1" x14ac:dyDescent="0.3">
      <c r="A22" s="688" t="s">
        <v>844</v>
      </c>
      <c r="B22" s="684">
        <v>0.8679</v>
      </c>
      <c r="C22" s="680">
        <v>2017</v>
      </c>
      <c r="D22" s="698">
        <v>2021</v>
      </c>
    </row>
    <row r="23" spans="1:11" ht="15.75" customHeight="1" x14ac:dyDescent="0.3">
      <c r="A23" s="688" t="s">
        <v>845</v>
      </c>
      <c r="B23" s="684">
        <v>0.72</v>
      </c>
      <c r="C23" s="680">
        <v>2013</v>
      </c>
      <c r="D23" s="698">
        <v>2021</v>
      </c>
    </row>
    <row r="24" spans="1:11" ht="15.75" customHeight="1" x14ac:dyDescent="0.3">
      <c r="A24" s="688" t="s">
        <v>846</v>
      </c>
      <c r="B24" s="684">
        <v>0.5494</v>
      </c>
      <c r="C24" s="680">
        <v>2017</v>
      </c>
      <c r="D24" s="698">
        <v>2021</v>
      </c>
    </row>
    <row r="25" spans="1:11" ht="15.75" customHeight="1" x14ac:dyDescent="0.3">
      <c r="A25" s="688" t="s">
        <v>847</v>
      </c>
      <c r="B25" s="684">
        <v>0.67</v>
      </c>
      <c r="C25" s="680">
        <v>2017</v>
      </c>
      <c r="D25" s="698">
        <v>2021</v>
      </c>
    </row>
    <row r="26" spans="1:11" ht="21.9" customHeight="1" x14ac:dyDescent="0.3">
      <c r="A26" s="688" t="s">
        <v>848</v>
      </c>
      <c r="B26" s="684">
        <v>0.66</v>
      </c>
      <c r="C26" s="680">
        <v>2017</v>
      </c>
      <c r="D26" s="698">
        <v>2021</v>
      </c>
    </row>
    <row r="27" spans="1:11" ht="21.9" customHeight="1" x14ac:dyDescent="0.3">
      <c r="A27" s="688" t="s">
        <v>849</v>
      </c>
      <c r="B27" s="684">
        <v>0.58199999999999996</v>
      </c>
      <c r="C27" s="680">
        <v>2016</v>
      </c>
      <c r="D27" s="698">
        <v>2021</v>
      </c>
    </row>
    <row r="28" spans="1:11" ht="15.75" customHeight="1" x14ac:dyDescent="0.3">
      <c r="A28" s="688" t="s">
        <v>850</v>
      </c>
      <c r="B28" s="684">
        <v>0.36</v>
      </c>
      <c r="C28" s="680">
        <v>2013</v>
      </c>
      <c r="D28" s="698">
        <v>2021</v>
      </c>
    </row>
    <row r="29" spans="1:11" ht="15.75" customHeight="1" x14ac:dyDescent="0.3">
      <c r="A29" s="688" t="s">
        <v>851</v>
      </c>
      <c r="B29" s="684">
        <v>0.63600000000000001</v>
      </c>
      <c r="C29" s="680">
        <v>2016</v>
      </c>
      <c r="D29" s="698">
        <v>2021</v>
      </c>
    </row>
    <row r="30" spans="1:11" ht="15.75" customHeight="1" x14ac:dyDescent="0.3">
      <c r="A30" s="688" t="s">
        <v>852</v>
      </c>
      <c r="B30" s="684">
        <v>0.73089999999999999</v>
      </c>
      <c r="C30" s="680">
        <v>2015</v>
      </c>
      <c r="D30" s="698">
        <v>2021</v>
      </c>
    </row>
    <row r="31" spans="1:11" ht="21" customHeight="1" x14ac:dyDescent="0.3">
      <c r="A31" s="688" t="s">
        <v>853</v>
      </c>
      <c r="B31" s="684">
        <v>0.85499999999999998</v>
      </c>
      <c r="C31" s="680">
        <v>2013</v>
      </c>
      <c r="D31" s="698">
        <v>2021</v>
      </c>
    </row>
    <row r="32" spans="1:11" ht="21.9" customHeight="1" x14ac:dyDescent="0.3">
      <c r="A32" s="701" t="s">
        <v>854</v>
      </c>
      <c r="B32" s="678">
        <v>0.55000000000000004</v>
      </c>
      <c r="C32" s="697">
        <v>2018</v>
      </c>
      <c r="D32" s="697">
        <v>2022</v>
      </c>
    </row>
    <row r="33" spans="1:4" ht="15.75" customHeight="1" x14ac:dyDescent="0.3">
      <c r="A33" s="701" t="s">
        <v>855</v>
      </c>
      <c r="B33" s="678">
        <v>0.82</v>
      </c>
      <c r="C33" s="697">
        <v>2015</v>
      </c>
      <c r="D33" s="697">
        <v>2022</v>
      </c>
    </row>
    <row r="34" spans="1:4" ht="15.75" customHeight="1" x14ac:dyDescent="0.3">
      <c r="A34" s="701" t="s">
        <v>856</v>
      </c>
      <c r="B34" s="678">
        <v>0.755</v>
      </c>
      <c r="C34" s="697">
        <v>2014</v>
      </c>
      <c r="D34" s="697">
        <v>2022</v>
      </c>
    </row>
    <row r="35" spans="1:4" ht="15.75" customHeight="1" x14ac:dyDescent="0.3">
      <c r="A35" s="701" t="s">
        <v>857</v>
      </c>
      <c r="B35" s="678">
        <v>0.5494</v>
      </c>
      <c r="C35" s="697">
        <v>2016</v>
      </c>
      <c r="D35" s="697">
        <v>2022</v>
      </c>
    </row>
    <row r="36" spans="1:4" ht="21.9" customHeight="1" x14ac:dyDescent="0.3">
      <c r="A36" s="701" t="s">
        <v>858</v>
      </c>
      <c r="B36" s="678">
        <v>0.73499999999999999</v>
      </c>
      <c r="C36" s="697">
        <v>2017</v>
      </c>
      <c r="D36" s="697">
        <v>2022</v>
      </c>
    </row>
    <row r="37" spans="1:4" ht="21" customHeight="1" x14ac:dyDescent="0.3">
      <c r="A37" s="701" t="s">
        <v>859</v>
      </c>
      <c r="B37" s="678">
        <v>0.73050000000000004</v>
      </c>
      <c r="C37" s="697">
        <v>2017</v>
      </c>
      <c r="D37" s="697">
        <v>2022</v>
      </c>
    </row>
    <row r="38" spans="1:4" ht="15.75" customHeight="1" x14ac:dyDescent="0.3">
      <c r="A38" s="701" t="s">
        <v>860</v>
      </c>
      <c r="B38" s="678">
        <v>0.75</v>
      </c>
      <c r="C38" s="697">
        <v>2017</v>
      </c>
      <c r="D38" s="697">
        <v>2022</v>
      </c>
    </row>
    <row r="39" spans="1:4" ht="15.75" customHeight="1" x14ac:dyDescent="0.3">
      <c r="A39" s="701" t="s">
        <v>861</v>
      </c>
      <c r="B39" s="678">
        <v>0.75</v>
      </c>
      <c r="C39" s="697">
        <v>2014</v>
      </c>
      <c r="D39" s="697">
        <v>2022</v>
      </c>
    </row>
    <row r="40" spans="1:4" ht="15.75" customHeight="1" x14ac:dyDescent="0.3">
      <c r="A40" s="702" t="s">
        <v>862</v>
      </c>
      <c r="B40" s="678">
        <v>0.77</v>
      </c>
      <c r="C40" s="697">
        <v>2014</v>
      </c>
      <c r="D40" s="683">
        <v>2022</v>
      </c>
    </row>
    <row r="41" spans="1:4" ht="21" customHeight="1" x14ac:dyDescent="0.3">
      <c r="A41" s="702" t="s">
        <v>863</v>
      </c>
      <c r="B41" s="678">
        <v>0.57999999999999996</v>
      </c>
      <c r="C41" s="697">
        <v>2018</v>
      </c>
      <c r="D41" s="683">
        <v>2022</v>
      </c>
    </row>
    <row r="42" spans="1:4" ht="21.9" customHeight="1" x14ac:dyDescent="0.3">
      <c r="A42" s="702" t="s">
        <v>864</v>
      </c>
      <c r="B42" s="678">
        <v>0.70499999999999996</v>
      </c>
      <c r="C42" s="697">
        <v>2018</v>
      </c>
      <c r="D42" s="683">
        <v>2022</v>
      </c>
    </row>
    <row r="43" spans="1:4" ht="15.75" customHeight="1" x14ac:dyDescent="0.3">
      <c r="A43" s="702" t="s">
        <v>865</v>
      </c>
      <c r="B43" s="678">
        <v>0.77</v>
      </c>
      <c r="C43" s="697">
        <v>2014</v>
      </c>
      <c r="D43" s="683">
        <v>2022</v>
      </c>
    </row>
    <row r="44" spans="1:4" ht="15.75" customHeight="1" x14ac:dyDescent="0.3">
      <c r="A44" s="702" t="s">
        <v>866</v>
      </c>
      <c r="B44" s="678">
        <v>0.40300000000000002</v>
      </c>
      <c r="C44" s="697">
        <v>2014</v>
      </c>
      <c r="D44" s="683">
        <v>2022</v>
      </c>
    </row>
    <row r="45" spans="1:4" ht="15.75" customHeight="1" x14ac:dyDescent="0.3">
      <c r="A45" s="679" t="s">
        <v>867</v>
      </c>
      <c r="B45" s="684">
        <v>0.79</v>
      </c>
      <c r="C45" s="680">
        <v>2015</v>
      </c>
      <c r="D45" s="680">
        <v>2023</v>
      </c>
    </row>
    <row r="46" spans="1:4" ht="21.9" customHeight="1" x14ac:dyDescent="0.3">
      <c r="A46" s="679" t="s">
        <v>868</v>
      </c>
      <c r="B46" s="684">
        <v>0.443</v>
      </c>
      <c r="C46" s="680">
        <v>2019</v>
      </c>
      <c r="D46" s="680">
        <v>2023</v>
      </c>
    </row>
    <row r="47" spans="1:4" ht="21" customHeight="1" x14ac:dyDescent="0.3">
      <c r="A47" s="679" t="s">
        <v>869</v>
      </c>
      <c r="B47" s="684">
        <v>0.48499999999999999</v>
      </c>
      <c r="C47" s="680">
        <v>2019</v>
      </c>
      <c r="D47" s="680">
        <v>2023</v>
      </c>
    </row>
    <row r="48" spans="1:4" ht="15.75" customHeight="1" x14ac:dyDescent="0.3">
      <c r="A48" s="679" t="s">
        <v>870</v>
      </c>
      <c r="B48" s="684">
        <v>0.74</v>
      </c>
      <c r="C48" s="680">
        <v>2015</v>
      </c>
      <c r="D48" s="680">
        <v>2023</v>
      </c>
    </row>
    <row r="49" spans="1:4" ht="15.75" customHeight="1" x14ac:dyDescent="0.3">
      <c r="A49" s="679" t="s">
        <v>871</v>
      </c>
      <c r="B49" s="684">
        <v>0.57499999999999996</v>
      </c>
      <c r="C49" s="680">
        <v>2019</v>
      </c>
      <c r="D49" s="680">
        <v>2023</v>
      </c>
    </row>
    <row r="50" spans="1:4" ht="15.75" customHeight="1" x14ac:dyDescent="0.3">
      <c r="A50" s="679" t="s">
        <v>872</v>
      </c>
      <c r="B50" s="684">
        <v>0.71220000000000006</v>
      </c>
      <c r="C50" s="680">
        <v>2019</v>
      </c>
      <c r="D50" s="680">
        <v>2023</v>
      </c>
    </row>
    <row r="51" spans="1:4" ht="21.9" customHeight="1" x14ac:dyDescent="0.3">
      <c r="A51" s="679" t="s">
        <v>873</v>
      </c>
      <c r="B51" s="684">
        <v>0.83</v>
      </c>
      <c r="C51" s="680">
        <v>2019</v>
      </c>
      <c r="D51" s="680">
        <v>2023</v>
      </c>
    </row>
    <row r="52" spans="1:4" ht="21.9" customHeight="1" x14ac:dyDescent="0.3">
      <c r="A52" s="679" t="s">
        <v>874</v>
      </c>
      <c r="B52" s="684">
        <v>0.65</v>
      </c>
      <c r="C52" s="680">
        <v>2019</v>
      </c>
      <c r="D52" s="680">
        <v>2023</v>
      </c>
    </row>
    <row r="53" spans="1:4" ht="15.75" customHeight="1" x14ac:dyDescent="0.3">
      <c r="A53" s="679" t="s">
        <v>875</v>
      </c>
      <c r="B53" s="684">
        <v>0.56100000000000005</v>
      </c>
      <c r="C53" s="680">
        <v>2019</v>
      </c>
      <c r="D53" s="680">
        <v>2023</v>
      </c>
    </row>
    <row r="54" spans="1:4" ht="15.75" customHeight="1" x14ac:dyDescent="0.3">
      <c r="A54" s="679" t="s">
        <v>876</v>
      </c>
      <c r="B54" s="684">
        <v>0.77</v>
      </c>
      <c r="C54" s="680">
        <v>2017</v>
      </c>
      <c r="D54" s="680">
        <v>2023</v>
      </c>
    </row>
    <row r="55" spans="1:4" ht="15.75" customHeight="1" x14ac:dyDescent="0.3">
      <c r="A55" s="679" t="s">
        <v>877</v>
      </c>
      <c r="B55" s="684">
        <v>0.53749999999999998</v>
      </c>
      <c r="C55" s="680">
        <v>2019</v>
      </c>
      <c r="D55" s="680">
        <v>2023</v>
      </c>
    </row>
    <row r="56" spans="1:4" ht="36" customHeight="1" x14ac:dyDescent="0.3">
      <c r="A56" s="688" t="s">
        <v>878</v>
      </c>
      <c r="B56" s="684">
        <v>0.77500000000000002</v>
      </c>
      <c r="C56" s="680">
        <v>2019</v>
      </c>
      <c r="D56" s="698">
        <v>2023</v>
      </c>
    </row>
    <row r="57" spans="1:4" ht="36" customHeight="1" x14ac:dyDescent="0.3">
      <c r="A57" s="688" t="s">
        <v>879</v>
      </c>
      <c r="B57" s="684">
        <v>0.59899999999999998</v>
      </c>
      <c r="C57" s="680">
        <v>2019</v>
      </c>
      <c r="D57" s="698">
        <v>2023</v>
      </c>
    </row>
    <row r="58" spans="1:4" ht="36" customHeight="1" x14ac:dyDescent="0.3">
      <c r="A58" s="688" t="s">
        <v>880</v>
      </c>
      <c r="B58" s="684">
        <v>0.37469999999999998</v>
      </c>
      <c r="C58" s="680">
        <v>2019</v>
      </c>
      <c r="D58" s="698">
        <v>2023</v>
      </c>
    </row>
    <row r="59" spans="1:4" ht="36" customHeight="1" x14ac:dyDescent="0.3">
      <c r="A59" s="688" t="s">
        <v>881</v>
      </c>
      <c r="B59" s="684">
        <v>0.58750000000000002</v>
      </c>
      <c r="C59" s="680">
        <v>2019</v>
      </c>
      <c r="D59" s="698">
        <v>2023</v>
      </c>
    </row>
    <row r="60" spans="1:4" ht="36" customHeight="1" x14ac:dyDescent="0.3">
      <c r="A60" s="688" t="s">
        <v>882</v>
      </c>
      <c r="B60" s="684">
        <v>0.6169</v>
      </c>
      <c r="C60" s="680">
        <v>2019</v>
      </c>
      <c r="D60" s="698">
        <v>2023</v>
      </c>
    </row>
    <row r="61" spans="1:4" ht="36" customHeight="1" x14ac:dyDescent="0.3">
      <c r="A61" s="688" t="s">
        <v>883</v>
      </c>
      <c r="B61" s="684">
        <v>0.51</v>
      </c>
      <c r="C61" s="680">
        <v>2019</v>
      </c>
      <c r="D61" s="698">
        <v>2023</v>
      </c>
    </row>
    <row r="62" spans="1:4" ht="36" customHeight="1" x14ac:dyDescent="0.3">
      <c r="A62" s="688" t="s">
        <v>884</v>
      </c>
      <c r="B62" s="684">
        <v>0.91</v>
      </c>
      <c r="C62" s="680">
        <v>2015</v>
      </c>
      <c r="D62" s="698">
        <v>2023</v>
      </c>
    </row>
    <row r="63" spans="1:4" ht="36" customHeight="1" x14ac:dyDescent="0.3">
      <c r="A63" s="688" t="s">
        <v>885</v>
      </c>
      <c r="B63" s="684">
        <v>0.65749999999999997</v>
      </c>
      <c r="C63" s="680">
        <v>2019</v>
      </c>
      <c r="D63" s="698">
        <v>2023</v>
      </c>
    </row>
    <row r="64" spans="1:4" ht="36" customHeight="1" x14ac:dyDescent="0.3">
      <c r="A64" s="688" t="s">
        <v>886</v>
      </c>
      <c r="B64" s="684">
        <v>0.59699999999999998</v>
      </c>
      <c r="C64" s="680">
        <v>2019</v>
      </c>
      <c r="D64" s="698">
        <v>2023</v>
      </c>
    </row>
    <row r="65" spans="1:4" ht="36" customHeight="1" x14ac:dyDescent="0.3">
      <c r="A65" s="688" t="s">
        <v>887</v>
      </c>
      <c r="B65" s="684">
        <v>0.66</v>
      </c>
      <c r="C65" s="680">
        <v>2019</v>
      </c>
      <c r="D65" s="698">
        <v>2023</v>
      </c>
    </row>
    <row r="66" spans="1:4" ht="36" customHeight="1" x14ac:dyDescent="0.3">
      <c r="A66" s="688" t="s">
        <v>888</v>
      </c>
      <c r="B66" s="684">
        <v>0.66</v>
      </c>
      <c r="C66" s="680">
        <v>2017</v>
      </c>
      <c r="D66" s="698">
        <v>2023</v>
      </c>
    </row>
    <row r="67" spans="1:4" ht="36" customHeight="1" x14ac:dyDescent="0.3">
      <c r="A67" s="679" t="s">
        <v>889</v>
      </c>
      <c r="B67" s="684">
        <v>0.74</v>
      </c>
      <c r="C67" s="680">
        <v>2020</v>
      </c>
      <c r="D67" s="680">
        <v>2024</v>
      </c>
    </row>
    <row r="68" spans="1:4" ht="36" customHeight="1" x14ac:dyDescent="0.3">
      <c r="A68" s="679" t="s">
        <v>890</v>
      </c>
      <c r="B68" s="684">
        <v>0.33</v>
      </c>
      <c r="C68" s="680">
        <v>2020</v>
      </c>
      <c r="D68" s="680">
        <v>2024</v>
      </c>
    </row>
    <row r="69" spans="1:4" ht="36" customHeight="1" x14ac:dyDescent="0.3">
      <c r="A69" s="679" t="s">
        <v>891</v>
      </c>
      <c r="B69" s="684">
        <v>0.80500000000000005</v>
      </c>
      <c r="C69" s="680">
        <v>2018</v>
      </c>
      <c r="D69" s="680">
        <v>2024</v>
      </c>
    </row>
    <row r="70" spans="1:4" ht="36" customHeight="1" x14ac:dyDescent="0.3">
      <c r="A70" s="679" t="s">
        <v>892</v>
      </c>
      <c r="B70" s="684">
        <v>0.76</v>
      </c>
      <c r="C70" s="680">
        <v>2020</v>
      </c>
      <c r="D70" s="680">
        <v>2024</v>
      </c>
    </row>
    <row r="71" spans="1:4" ht="36" customHeight="1" x14ac:dyDescent="0.3">
      <c r="A71" s="688" t="s">
        <v>893</v>
      </c>
      <c r="B71" s="684">
        <v>0.59</v>
      </c>
      <c r="C71" s="680">
        <v>2016</v>
      </c>
      <c r="D71" s="698">
        <v>2024</v>
      </c>
    </row>
    <row r="72" spans="1:4" ht="36" customHeight="1" x14ac:dyDescent="0.3">
      <c r="A72" s="688" t="s">
        <v>894</v>
      </c>
      <c r="B72" s="684">
        <v>0.67969999999999997</v>
      </c>
      <c r="C72" s="680">
        <v>2020</v>
      </c>
      <c r="D72" s="698">
        <v>2024</v>
      </c>
    </row>
    <row r="73" spans="1:4" ht="36" customHeight="1" x14ac:dyDescent="0.3">
      <c r="A73" s="688" t="s">
        <v>895</v>
      </c>
      <c r="B73" s="684">
        <v>0.83</v>
      </c>
      <c r="C73" s="680">
        <v>2016</v>
      </c>
      <c r="D73" s="698">
        <v>2024</v>
      </c>
    </row>
    <row r="74" spans="1:4" ht="36" customHeight="1" x14ac:dyDescent="0.3">
      <c r="A74" s="688" t="s">
        <v>896</v>
      </c>
      <c r="B74" s="684">
        <v>0.77</v>
      </c>
      <c r="C74" s="680">
        <v>2018</v>
      </c>
      <c r="D74" s="698">
        <v>2024</v>
      </c>
    </row>
    <row r="75" spans="1:4" ht="36" customHeight="1" x14ac:dyDescent="0.3">
      <c r="A75" s="688" t="s">
        <v>897</v>
      </c>
      <c r="B75" s="684">
        <v>0.89</v>
      </c>
      <c r="C75" s="680">
        <v>2016</v>
      </c>
      <c r="D75" s="698">
        <v>2024</v>
      </c>
    </row>
    <row r="76" spans="1:4" ht="36" customHeight="1" x14ac:dyDescent="0.3">
      <c r="A76" s="688" t="s">
        <v>898</v>
      </c>
      <c r="B76" s="684">
        <v>0.6</v>
      </c>
      <c r="C76" s="680">
        <v>2020</v>
      </c>
      <c r="D76" s="698">
        <v>2024</v>
      </c>
    </row>
    <row r="77" spans="1:4" ht="36" customHeight="1" x14ac:dyDescent="0.3">
      <c r="A77" s="688" t="s">
        <v>899</v>
      </c>
      <c r="B77" s="684">
        <v>0.73</v>
      </c>
      <c r="C77" s="680">
        <v>2016</v>
      </c>
      <c r="D77" s="698">
        <v>2024</v>
      </c>
    </row>
    <row r="78" spans="1:4" ht="36" customHeight="1" x14ac:dyDescent="0.3">
      <c r="A78" s="688" t="s">
        <v>900</v>
      </c>
      <c r="B78" s="684">
        <v>0.6</v>
      </c>
      <c r="C78" s="680">
        <v>2016</v>
      </c>
      <c r="D78" s="698">
        <v>2024</v>
      </c>
    </row>
    <row r="79" spans="1:4" ht="36" customHeight="1" x14ac:dyDescent="0.3">
      <c r="A79" s="679" t="s">
        <v>901</v>
      </c>
      <c r="B79" s="684">
        <v>0.67</v>
      </c>
      <c r="C79" s="680">
        <v>2017</v>
      </c>
      <c r="D79" s="680">
        <v>2025</v>
      </c>
    </row>
    <row r="80" spans="1:4" ht="36" customHeight="1" x14ac:dyDescent="0.3">
      <c r="A80" s="679" t="s">
        <v>902</v>
      </c>
      <c r="B80" s="684">
        <v>0.69499999999999995</v>
      </c>
      <c r="C80" s="680">
        <v>2019</v>
      </c>
      <c r="D80" s="680">
        <v>2025</v>
      </c>
    </row>
    <row r="81" spans="1:4" ht="36" customHeight="1" x14ac:dyDescent="0.3">
      <c r="A81" s="679" t="s">
        <v>903</v>
      </c>
      <c r="B81" s="684">
        <v>0.79900000000000004</v>
      </c>
      <c r="C81" s="680">
        <v>2017</v>
      </c>
      <c r="D81" s="680">
        <v>2025</v>
      </c>
    </row>
    <row r="82" spans="1:4" ht="36" customHeight="1" x14ac:dyDescent="0.3">
      <c r="A82" s="679" t="s">
        <v>904</v>
      </c>
      <c r="B82" s="684">
        <v>0.40050000000000002</v>
      </c>
      <c r="C82" s="680">
        <v>2020</v>
      </c>
      <c r="D82" s="680">
        <v>2025</v>
      </c>
    </row>
    <row r="83" spans="1:4" ht="36" customHeight="1" x14ac:dyDescent="0.3">
      <c r="A83" s="679" t="s">
        <v>905</v>
      </c>
      <c r="B83" s="684">
        <v>0.95</v>
      </c>
      <c r="C83" s="680">
        <v>2017</v>
      </c>
      <c r="D83" s="680">
        <v>2025</v>
      </c>
    </row>
    <row r="84" spans="1:4" ht="36" customHeight="1" x14ac:dyDescent="0.3">
      <c r="A84" s="679" t="s">
        <v>906</v>
      </c>
      <c r="B84" s="684">
        <v>0.79</v>
      </c>
      <c r="C84" s="680">
        <v>2017</v>
      </c>
      <c r="D84" s="680">
        <v>2025</v>
      </c>
    </row>
    <row r="85" spans="1:4" ht="36" customHeight="1" x14ac:dyDescent="0.3">
      <c r="A85" s="688" t="s">
        <v>907</v>
      </c>
      <c r="B85" s="684">
        <v>0.76</v>
      </c>
      <c r="C85" s="680">
        <v>2019</v>
      </c>
      <c r="D85" s="698">
        <v>2025</v>
      </c>
    </row>
    <row r="86" spans="1:4" ht="36" customHeight="1" x14ac:dyDescent="0.3">
      <c r="A86" s="688" t="s">
        <v>908</v>
      </c>
      <c r="B86" s="684">
        <v>0.84499999999999997</v>
      </c>
      <c r="C86" s="680">
        <v>2017</v>
      </c>
      <c r="D86" s="698">
        <v>2025</v>
      </c>
    </row>
    <row r="87" spans="1:4" ht="36" customHeight="1" x14ac:dyDescent="0.3">
      <c r="A87" s="688" t="s">
        <v>909</v>
      </c>
      <c r="B87" s="684">
        <v>0.81</v>
      </c>
      <c r="C87" s="680">
        <v>2017</v>
      </c>
      <c r="D87" s="698">
        <v>2025</v>
      </c>
    </row>
    <row r="88" spans="1:4" ht="36" customHeight="1" x14ac:dyDescent="0.3">
      <c r="A88" s="688" t="s">
        <v>910</v>
      </c>
      <c r="B88" s="684">
        <v>0.67</v>
      </c>
      <c r="C88" s="680">
        <v>2017</v>
      </c>
      <c r="D88" s="698">
        <v>2025</v>
      </c>
    </row>
    <row r="89" spans="1:4" ht="36" customHeight="1" x14ac:dyDescent="0.3">
      <c r="A89" s="688" t="s">
        <v>911</v>
      </c>
      <c r="B89" s="684">
        <v>0.63270000000000004</v>
      </c>
      <c r="C89" s="680">
        <v>2019</v>
      </c>
      <c r="D89" s="698">
        <v>2025</v>
      </c>
    </row>
    <row r="90" spans="1:4" ht="36" customHeight="1" x14ac:dyDescent="0.3">
      <c r="A90" s="688" t="s">
        <v>912</v>
      </c>
      <c r="B90" s="684">
        <v>0.94</v>
      </c>
      <c r="C90" s="680">
        <v>2017</v>
      </c>
      <c r="D90" s="698">
        <v>2025</v>
      </c>
    </row>
    <row r="91" spans="1:4" ht="36" customHeight="1" x14ac:dyDescent="0.3">
      <c r="A91" s="688" t="s">
        <v>913</v>
      </c>
      <c r="B91" s="684">
        <v>0.81</v>
      </c>
      <c r="C91" s="680">
        <v>2017</v>
      </c>
      <c r="D91" s="698">
        <v>2025</v>
      </c>
    </row>
    <row r="92" spans="1:4" ht="36" customHeight="1" x14ac:dyDescent="0.3">
      <c r="A92" s="679" t="s">
        <v>914</v>
      </c>
      <c r="B92" s="684">
        <v>0.77700000000000002</v>
      </c>
      <c r="C92" s="680">
        <v>2018</v>
      </c>
      <c r="D92" s="680">
        <v>2026</v>
      </c>
    </row>
    <row r="93" spans="1:4" ht="36" customHeight="1" x14ac:dyDescent="0.3">
      <c r="A93" s="679" t="s">
        <v>915</v>
      </c>
      <c r="B93" s="684">
        <v>0.63500000000000001</v>
      </c>
      <c r="C93" s="680">
        <v>2018</v>
      </c>
      <c r="D93" s="680">
        <v>2026</v>
      </c>
    </row>
    <row r="94" spans="1:4" ht="36" customHeight="1" x14ac:dyDescent="0.3">
      <c r="A94" s="679" t="s">
        <v>916</v>
      </c>
      <c r="B94" s="684">
        <v>0.43</v>
      </c>
      <c r="C94" s="680">
        <v>2018</v>
      </c>
      <c r="D94" s="680">
        <v>2026</v>
      </c>
    </row>
    <row r="95" spans="1:4" ht="36" customHeight="1" x14ac:dyDescent="0.3">
      <c r="A95" s="679" t="s">
        <v>917</v>
      </c>
      <c r="B95" s="684">
        <v>0.84</v>
      </c>
      <c r="C95" s="680">
        <v>2018</v>
      </c>
      <c r="D95" s="680">
        <v>2026</v>
      </c>
    </row>
    <row r="96" spans="1:4" ht="36" customHeight="1" x14ac:dyDescent="0.3">
      <c r="A96" s="679" t="s">
        <v>918</v>
      </c>
      <c r="B96" s="684">
        <v>0.84</v>
      </c>
      <c r="C96" s="680">
        <v>2019</v>
      </c>
      <c r="D96" s="680">
        <v>2027</v>
      </c>
    </row>
    <row r="97" spans="1:4" ht="36" customHeight="1" x14ac:dyDescent="0.3">
      <c r="A97" s="688" t="s">
        <v>919</v>
      </c>
      <c r="B97" s="684">
        <v>0.64500000000000002</v>
      </c>
      <c r="C97" s="680">
        <v>2019</v>
      </c>
      <c r="D97" s="698">
        <v>2027</v>
      </c>
    </row>
    <row r="98" spans="1:4" ht="36" customHeight="1" x14ac:dyDescent="0.3">
      <c r="A98" s="688" t="s">
        <v>920</v>
      </c>
      <c r="B98" s="684">
        <v>0.69499999999999995</v>
      </c>
      <c r="C98" s="680">
        <v>2019</v>
      </c>
      <c r="D98" s="698">
        <v>2027</v>
      </c>
    </row>
    <row r="99" spans="1:4" ht="36" customHeight="1" x14ac:dyDescent="0.3">
      <c r="A99" s="688" t="s">
        <v>921</v>
      </c>
      <c r="B99" s="684">
        <v>0.82499999999999996</v>
      </c>
      <c r="C99" s="680">
        <v>2019</v>
      </c>
      <c r="D99" s="698">
        <v>2027</v>
      </c>
    </row>
    <row r="100" spans="1:4" ht="36" customHeight="1" x14ac:dyDescent="0.3">
      <c r="A100" s="688" t="s">
        <v>922</v>
      </c>
      <c r="B100" s="684">
        <v>1</v>
      </c>
      <c r="C100" s="680">
        <v>2019</v>
      </c>
      <c r="D100" s="698">
        <v>2027</v>
      </c>
    </row>
    <row r="101" spans="1:4" ht="36" customHeight="1" x14ac:dyDescent="0.3">
      <c r="A101" s="688" t="s">
        <v>923</v>
      </c>
      <c r="B101" s="684">
        <v>0.66349999999999998</v>
      </c>
      <c r="C101" s="680">
        <v>2019</v>
      </c>
      <c r="D101" s="698">
        <v>2027</v>
      </c>
    </row>
    <row r="102" spans="1:4" ht="36" customHeight="1" x14ac:dyDescent="0.3">
      <c r="A102" s="679" t="s">
        <v>924</v>
      </c>
      <c r="B102" s="684">
        <v>0.86499999999999999</v>
      </c>
      <c r="C102" s="680">
        <v>2020</v>
      </c>
      <c r="D102" s="680">
        <v>2028</v>
      </c>
    </row>
    <row r="103" spans="1:4" ht="36" customHeight="1" x14ac:dyDescent="0.3">
      <c r="A103" s="679" t="s">
        <v>925</v>
      </c>
      <c r="B103" s="684">
        <v>0.46</v>
      </c>
      <c r="C103" s="680">
        <v>2020</v>
      </c>
      <c r="D103" s="680">
        <v>2028</v>
      </c>
    </row>
    <row r="104" spans="1:4" ht="36" customHeight="1" x14ac:dyDescent="0.3">
      <c r="A104" s="688" t="s">
        <v>926</v>
      </c>
      <c r="B104" s="684">
        <v>0.5</v>
      </c>
      <c r="C104" s="680">
        <v>2020</v>
      </c>
      <c r="D104" s="698">
        <v>2028</v>
      </c>
    </row>
    <row r="105" spans="1:4" ht="36" customHeight="1" x14ac:dyDescent="0.3">
      <c r="A105" s="688" t="s">
        <v>927</v>
      </c>
      <c r="B105" s="684">
        <v>0.62</v>
      </c>
      <c r="C105" s="680">
        <v>2020</v>
      </c>
      <c r="D105" s="698">
        <v>2028</v>
      </c>
    </row>
    <row r="106" spans="1:4" ht="36" customHeight="1" x14ac:dyDescent="0.3">
      <c r="A106" s="688" t="s">
        <v>928</v>
      </c>
      <c r="B106" s="684">
        <v>0.625</v>
      </c>
      <c r="C106" s="680">
        <v>2020</v>
      </c>
      <c r="D106" s="698">
        <v>2028</v>
      </c>
    </row>
    <row r="107" spans="1:4" ht="36" customHeight="1" x14ac:dyDescent="0.3">
      <c r="A107" s="679"/>
      <c r="B107" s="684"/>
      <c r="C107" s="680"/>
      <c r="D107" s="680"/>
    </row>
    <row r="108" spans="1:4" ht="36" customHeight="1" x14ac:dyDescent="0.3">
      <c r="A108" s="679"/>
      <c r="B108" s="684"/>
      <c r="C108" s="680"/>
      <c r="D108" s="680"/>
    </row>
    <row r="109" spans="1:4" ht="36" customHeight="1" x14ac:dyDescent="0.3">
      <c r="A109" s="679"/>
      <c r="B109" s="684"/>
      <c r="C109" s="680"/>
      <c r="D109" s="680"/>
    </row>
    <row r="110" spans="1:4" ht="36" customHeight="1" x14ac:dyDescent="0.3">
      <c r="A110" s="679"/>
      <c r="B110" s="684"/>
      <c r="C110" s="680"/>
      <c r="D110" s="680"/>
    </row>
    <row r="111" spans="1:4" ht="36" customHeight="1" x14ac:dyDescent="0.3">
      <c r="A111" s="679"/>
      <c r="B111" s="684"/>
      <c r="C111" s="680"/>
      <c r="D111" s="680"/>
    </row>
    <row r="112" spans="1:4" ht="36" customHeight="1" x14ac:dyDescent="0.3">
      <c r="A112" s="1189" t="s">
        <v>929</v>
      </c>
      <c r="B112" s="1189"/>
      <c r="C112" s="1189"/>
      <c r="D112" s="1189"/>
    </row>
    <row r="113" spans="1:4" ht="15.75" customHeight="1" x14ac:dyDescent="0.3">
      <c r="A113" s="1190" t="s">
        <v>930</v>
      </c>
      <c r="B113" s="1190"/>
      <c r="C113" s="1190"/>
      <c r="D113" s="1190"/>
    </row>
    <row r="114" spans="1:4" ht="15.75" customHeight="1" x14ac:dyDescent="0.3">
      <c r="A114" s="1186" t="s">
        <v>931</v>
      </c>
      <c r="B114" s="1186"/>
      <c r="C114" s="1186"/>
      <c r="D114" s="1186"/>
    </row>
    <row r="115" spans="1:4" ht="15.75" customHeight="1" x14ac:dyDescent="0.3">
      <c r="A115" s="1190" t="s">
        <v>932</v>
      </c>
      <c r="B115" s="1190"/>
      <c r="C115" s="1190"/>
      <c r="D115" s="1190"/>
    </row>
    <row r="116" spans="1:4" ht="21.9" customHeight="1" x14ac:dyDescent="0.3">
      <c r="A116" s="1191" t="s">
        <v>933</v>
      </c>
      <c r="B116" s="1191"/>
      <c r="C116" s="1191"/>
      <c r="D116" s="1191"/>
    </row>
    <row r="117" spans="1:4" ht="21" customHeight="1" x14ac:dyDescent="0.3">
      <c r="A117" s="1187" t="s">
        <v>934</v>
      </c>
      <c r="B117" s="1187"/>
      <c r="C117" s="1187"/>
      <c r="D117" s="1187"/>
    </row>
    <row r="118" spans="1:4" ht="15.75" customHeight="1" x14ac:dyDescent="0.3">
      <c r="A118" s="1187" t="s">
        <v>935</v>
      </c>
      <c r="B118" s="1187"/>
      <c r="C118" s="1187"/>
      <c r="D118" s="1187"/>
    </row>
    <row r="119" spans="1:4" ht="15.75" customHeight="1" x14ac:dyDescent="0.3">
      <c r="A119" s="1187" t="s">
        <v>936</v>
      </c>
      <c r="B119" s="1187"/>
      <c r="C119" s="1187"/>
      <c r="D119" s="1187"/>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U77"/>
  <sheetViews>
    <sheetView workbookViewId="0">
      <selection activeCell="A2" sqref="A2:H2"/>
    </sheetView>
  </sheetViews>
  <sheetFormatPr defaultColWidth="9.109375" defaultRowHeight="14.4" x14ac:dyDescent="0.3"/>
  <cols>
    <col min="1" max="1" width="28.5546875" style="706" customWidth="1"/>
    <col min="2" max="17" width="9.109375" style="706"/>
    <col min="18" max="18" width="14.88671875" style="706" customWidth="1"/>
    <col min="19" max="16384" width="9.109375" style="706"/>
  </cols>
  <sheetData>
    <row r="1" spans="1:21" x14ac:dyDescent="0.3">
      <c r="A1" s="706" t="s">
        <v>1256</v>
      </c>
      <c r="M1" s="990" t="s">
        <v>1429</v>
      </c>
      <c r="N1" s="990"/>
      <c r="O1" s="990"/>
      <c r="P1" s="990"/>
      <c r="Q1" s="990"/>
      <c r="R1" s="990" t="s">
        <v>1430</v>
      </c>
      <c r="S1" s="990"/>
      <c r="T1" s="990"/>
      <c r="U1" s="990"/>
    </row>
    <row r="2" spans="1:21" x14ac:dyDescent="0.3">
      <c r="A2" s="270" t="s">
        <v>1432</v>
      </c>
      <c r="B2" s="270">
        <v>584016</v>
      </c>
      <c r="C2" s="692"/>
      <c r="D2" s="56"/>
      <c r="E2" s="56"/>
      <c r="G2" s="706">
        <v>100</v>
      </c>
      <c r="I2" s="706" t="s">
        <v>359</v>
      </c>
      <c r="M2" s="1046" t="e">
        <v>#VALUE!</v>
      </c>
      <c r="N2" s="990">
        <v>584016</v>
      </c>
      <c r="O2" s="990" t="e">
        <f>EXACT(A2,M2)</f>
        <v>#VALUE!</v>
      </c>
      <c r="P2" s="990" t="b">
        <f>EXACT(B2,N2)</f>
        <v>1</v>
      </c>
      <c r="Q2" s="990"/>
      <c r="R2" s="990" t="s">
        <v>1330</v>
      </c>
      <c r="S2" s="990">
        <v>584016</v>
      </c>
      <c r="T2" s="990" t="e">
        <f>EXACT(M2,R2)</f>
        <v>#VALUE!</v>
      </c>
      <c r="U2" s="990" t="b">
        <f>EXACT(N2,S2)</f>
        <v>1</v>
      </c>
    </row>
    <row r="3" spans="1:21" ht="15" customHeight="1" x14ac:dyDescent="0.3">
      <c r="A3" s="270" t="s">
        <v>1331</v>
      </c>
      <c r="B3" s="270">
        <v>584021</v>
      </c>
      <c r="C3" s="692"/>
      <c r="D3" s="55"/>
      <c r="E3" s="56"/>
      <c r="G3" s="706">
        <v>200</v>
      </c>
      <c r="I3" s="706" t="s">
        <v>360</v>
      </c>
      <c r="M3" s="1045" t="s">
        <v>1331</v>
      </c>
      <c r="N3" s="990">
        <v>584021</v>
      </c>
      <c r="O3" s="990" t="b">
        <f t="shared" ref="O3:O8" si="0">EXACT(A3,M3)</f>
        <v>1</v>
      </c>
      <c r="P3" s="990" t="b">
        <f t="shared" ref="P3:P8" si="1">EXACT(B3,N3)</f>
        <v>1</v>
      </c>
      <c r="R3" s="990" t="s">
        <v>1331</v>
      </c>
      <c r="S3" s="990">
        <v>584021</v>
      </c>
      <c r="T3" s="990" t="b">
        <f t="shared" ref="T3:T8" si="2">EXACT(M3,R3)</f>
        <v>1</v>
      </c>
      <c r="U3" s="990" t="b">
        <f t="shared" ref="U3:U8" si="3">EXACT(N3,S3)</f>
        <v>1</v>
      </c>
    </row>
    <row r="4" spans="1:21" ht="15" customHeight="1" x14ac:dyDescent="0.3">
      <c r="A4" s="270" t="s">
        <v>1332</v>
      </c>
      <c r="B4" s="270">
        <v>581427</v>
      </c>
      <c r="C4" s="692"/>
      <c r="D4" s="55"/>
      <c r="E4" s="56"/>
      <c r="G4" s="706">
        <v>300</v>
      </c>
      <c r="I4" s="706" t="s">
        <v>361</v>
      </c>
      <c r="M4" s="1045" t="s">
        <v>1332</v>
      </c>
      <c r="N4" s="990">
        <v>581427</v>
      </c>
      <c r="O4" s="990" t="b">
        <f t="shared" si="0"/>
        <v>1</v>
      </c>
      <c r="P4" s="990" t="b">
        <f t="shared" si="1"/>
        <v>1</v>
      </c>
      <c r="R4" s="990" t="s">
        <v>1332</v>
      </c>
      <c r="S4" s="990">
        <v>581427</v>
      </c>
      <c r="T4" s="990" t="b">
        <f t="shared" si="2"/>
        <v>1</v>
      </c>
      <c r="U4" s="990" t="b">
        <f t="shared" si="3"/>
        <v>1</v>
      </c>
    </row>
    <row r="5" spans="1:21" x14ac:dyDescent="0.3">
      <c r="A5" s="270" t="s">
        <v>1333</v>
      </c>
      <c r="B5" s="270">
        <v>584015</v>
      </c>
      <c r="C5" s="692"/>
      <c r="D5" s="55"/>
      <c r="E5" s="56"/>
      <c r="G5" s="706">
        <v>400</v>
      </c>
      <c r="M5" s="1045" t="s">
        <v>1333</v>
      </c>
      <c r="N5" s="990">
        <v>584015</v>
      </c>
      <c r="O5" s="990" t="b">
        <f t="shared" si="0"/>
        <v>1</v>
      </c>
      <c r="P5" s="990" t="b">
        <f t="shared" si="1"/>
        <v>1</v>
      </c>
      <c r="R5" s="990" t="s">
        <v>1333</v>
      </c>
      <c r="S5" s="990">
        <v>584015</v>
      </c>
      <c r="T5" s="990" t="b">
        <f t="shared" si="2"/>
        <v>1</v>
      </c>
      <c r="U5" s="990" t="b">
        <f t="shared" si="3"/>
        <v>1</v>
      </c>
    </row>
    <row r="6" spans="1:21" x14ac:dyDescent="0.3">
      <c r="A6" s="270" t="s">
        <v>1334</v>
      </c>
      <c r="B6" s="270">
        <v>581418</v>
      </c>
      <c r="C6" s="692"/>
      <c r="D6" s="55"/>
      <c r="E6" s="56"/>
      <c r="G6" s="706">
        <v>500</v>
      </c>
      <c r="M6" s="1045" t="s">
        <v>1334</v>
      </c>
      <c r="N6" s="990">
        <v>581418</v>
      </c>
      <c r="O6" s="990" t="b">
        <f t="shared" si="0"/>
        <v>1</v>
      </c>
      <c r="P6" s="990" t="b">
        <f t="shared" si="1"/>
        <v>1</v>
      </c>
      <c r="R6" s="990" t="s">
        <v>1334</v>
      </c>
      <c r="S6" s="990">
        <v>581418</v>
      </c>
      <c r="T6" s="990" t="b">
        <f t="shared" si="2"/>
        <v>1</v>
      </c>
      <c r="U6" s="990" t="b">
        <f t="shared" si="3"/>
        <v>1</v>
      </c>
    </row>
    <row r="7" spans="1:21" x14ac:dyDescent="0.3">
      <c r="A7" s="270" t="s">
        <v>1335</v>
      </c>
      <c r="B7" s="270">
        <v>584134</v>
      </c>
      <c r="C7" s="692"/>
      <c r="D7" s="55"/>
      <c r="E7" s="56"/>
      <c r="M7" s="1045" t="s">
        <v>1335</v>
      </c>
      <c r="N7" s="990">
        <v>584134</v>
      </c>
      <c r="O7" s="990" t="b">
        <f t="shared" si="0"/>
        <v>1</v>
      </c>
      <c r="P7" s="990" t="b">
        <f t="shared" si="1"/>
        <v>1</v>
      </c>
      <c r="R7" s="990" t="s">
        <v>1335</v>
      </c>
      <c r="S7" s="990">
        <v>584134</v>
      </c>
      <c r="T7" s="990" t="b">
        <f t="shared" si="2"/>
        <v>1</v>
      </c>
      <c r="U7" s="990" t="b">
        <f t="shared" si="3"/>
        <v>1</v>
      </c>
    </row>
    <row r="8" spans="1:21" x14ac:dyDescent="0.3">
      <c r="A8" s="985" t="s">
        <v>1431</v>
      </c>
      <c r="B8" s="270">
        <v>581419</v>
      </c>
      <c r="C8" s="692"/>
      <c r="D8" s="55"/>
      <c r="E8" s="56"/>
      <c r="M8" s="1045" t="s">
        <v>1336</v>
      </c>
      <c r="N8" s="990">
        <v>581419</v>
      </c>
      <c r="O8" s="990" t="b">
        <f t="shared" si="0"/>
        <v>0</v>
      </c>
      <c r="P8" s="990" t="b">
        <f t="shared" si="1"/>
        <v>1</v>
      </c>
      <c r="R8" s="990" t="s">
        <v>1336</v>
      </c>
      <c r="S8" s="990">
        <v>581419</v>
      </c>
      <c r="T8" s="990" t="b">
        <f t="shared" si="2"/>
        <v>1</v>
      </c>
      <c r="U8" s="990" t="b">
        <f t="shared" si="3"/>
        <v>1</v>
      </c>
    </row>
    <row r="9" spans="1:21" x14ac:dyDescent="0.3">
      <c r="B9" s="986"/>
      <c r="C9" s="692"/>
      <c r="D9" s="55"/>
      <c r="E9" s="56"/>
    </row>
    <row r="10" spans="1:21" x14ac:dyDescent="0.3">
      <c r="A10" s="985"/>
      <c r="B10" s="986"/>
      <c r="C10" s="692"/>
      <c r="D10" s="55"/>
      <c r="E10" s="56"/>
    </row>
    <row r="11" spans="1:21" x14ac:dyDescent="0.3">
      <c r="A11" s="985"/>
      <c r="B11" s="986"/>
      <c r="C11" s="692"/>
      <c r="D11" s="55"/>
      <c r="E11" s="56"/>
    </row>
    <row r="12" spans="1:21" x14ac:dyDescent="0.3">
      <c r="A12" s="985"/>
      <c r="B12" s="986"/>
      <c r="C12" s="692"/>
      <c r="D12" s="55"/>
      <c r="E12" s="56"/>
    </row>
    <row r="13" spans="1:21" x14ac:dyDescent="0.3">
      <c r="A13" s="985"/>
      <c r="B13" s="986"/>
      <c r="C13" s="692"/>
      <c r="D13" s="55"/>
      <c r="E13" s="56"/>
    </row>
    <row r="14" spans="1:21" x14ac:dyDescent="0.3">
      <c r="A14" s="985"/>
      <c r="B14" s="986"/>
      <c r="C14" s="692"/>
      <c r="D14" s="55"/>
      <c r="E14" s="56"/>
    </row>
    <row r="15" spans="1:21" x14ac:dyDescent="0.3">
      <c r="A15" s="985"/>
      <c r="B15" s="986"/>
      <c r="C15" s="692"/>
      <c r="D15" s="55"/>
      <c r="E15" s="56"/>
    </row>
    <row r="16" spans="1:21" x14ac:dyDescent="0.3">
      <c r="A16" s="985"/>
      <c r="B16" s="986"/>
      <c r="C16" s="692"/>
      <c r="D16" s="55"/>
      <c r="E16" s="56"/>
    </row>
    <row r="17" spans="1:5" x14ac:dyDescent="0.3">
      <c r="A17" s="985"/>
      <c r="B17" s="986"/>
      <c r="C17" s="692"/>
      <c r="D17" s="55"/>
      <c r="E17" s="56"/>
    </row>
    <row r="18" spans="1:5" x14ac:dyDescent="0.3">
      <c r="A18" s="985"/>
      <c r="B18" s="986"/>
      <c r="C18" s="692"/>
      <c r="D18" s="55"/>
      <c r="E18" s="56"/>
    </row>
    <row r="19" spans="1:5" x14ac:dyDescent="0.3">
      <c r="A19" s="985"/>
      <c r="B19" s="986"/>
      <c r="C19" s="692"/>
      <c r="D19" s="55"/>
      <c r="E19" s="56"/>
    </row>
    <row r="20" spans="1:5" x14ac:dyDescent="0.3">
      <c r="A20" s="985"/>
      <c r="B20" s="986"/>
      <c r="C20" s="692"/>
      <c r="D20" s="55"/>
      <c r="E20" s="56"/>
    </row>
    <row r="21" spans="1:5" x14ac:dyDescent="0.3">
      <c r="A21" s="985"/>
      <c r="B21" s="986"/>
      <c r="C21" s="692"/>
      <c r="D21" s="55"/>
      <c r="E21" s="56"/>
    </row>
    <row r="22" spans="1:5" x14ac:dyDescent="0.3">
      <c r="A22" s="985"/>
      <c r="B22" s="986"/>
      <c r="C22" s="692"/>
      <c r="D22" s="55"/>
      <c r="E22" s="56"/>
    </row>
    <row r="23" spans="1:5" x14ac:dyDescent="0.3">
      <c r="A23" s="985"/>
      <c r="B23" s="986"/>
      <c r="C23" s="692"/>
      <c r="D23" s="55"/>
      <c r="E23" s="56"/>
    </row>
    <row r="24" spans="1:5" x14ac:dyDescent="0.3">
      <c r="A24" s="985"/>
      <c r="B24" s="986"/>
      <c r="C24" s="692"/>
      <c r="D24" s="55"/>
      <c r="E24" s="56"/>
    </row>
    <row r="25" spans="1:5" x14ac:dyDescent="0.3">
      <c r="A25" s="985"/>
      <c r="B25" s="986"/>
      <c r="C25" s="692"/>
      <c r="D25" s="55"/>
      <c r="E25" s="56"/>
    </row>
    <row r="26" spans="1:5" x14ac:dyDescent="0.3">
      <c r="A26" s="985"/>
      <c r="B26" s="986"/>
      <c r="C26" s="692"/>
      <c r="D26" s="55"/>
      <c r="E26" s="56"/>
    </row>
    <row r="27" spans="1:5" x14ac:dyDescent="0.3">
      <c r="A27" s="985"/>
      <c r="B27" s="986"/>
      <c r="C27" s="692"/>
      <c r="D27" s="55"/>
      <c r="E27" s="56"/>
    </row>
    <row r="28" spans="1:5" x14ac:dyDescent="0.3">
      <c r="A28" s="985"/>
      <c r="B28" s="986"/>
      <c r="C28" s="692"/>
      <c r="D28" s="55"/>
      <c r="E28" s="56"/>
    </row>
    <row r="29" spans="1:5" x14ac:dyDescent="0.3">
      <c r="A29" s="985"/>
      <c r="B29" s="986"/>
      <c r="C29" s="692"/>
      <c r="D29" s="55"/>
      <c r="E29" s="56"/>
    </row>
    <row r="30" spans="1:5" x14ac:dyDescent="0.3">
      <c r="A30" s="985"/>
      <c r="B30" s="986"/>
      <c r="C30" s="692"/>
      <c r="D30" s="55"/>
      <c r="E30" s="56"/>
    </row>
    <row r="31" spans="1:5" x14ac:dyDescent="0.3">
      <c r="A31" s="985"/>
      <c r="B31" s="986"/>
      <c r="C31" s="692"/>
      <c r="D31" s="55"/>
      <c r="E31" s="56"/>
    </row>
    <row r="32" spans="1:5" x14ac:dyDescent="0.3">
      <c r="A32" s="985"/>
      <c r="B32" s="986"/>
      <c r="C32" s="692"/>
      <c r="D32" s="55"/>
      <c r="E32" s="56"/>
    </row>
    <row r="33" spans="1:5" x14ac:dyDescent="0.3">
      <c r="A33" s="985"/>
      <c r="B33" s="986"/>
      <c r="C33" s="692"/>
      <c r="D33" s="55"/>
      <c r="E33" s="56"/>
    </row>
    <row r="34" spans="1:5" x14ac:dyDescent="0.3">
      <c r="A34" s="985"/>
      <c r="B34" s="986"/>
      <c r="C34" s="692"/>
      <c r="D34" s="55"/>
      <c r="E34" s="56"/>
    </row>
    <row r="35" spans="1:5" x14ac:dyDescent="0.3">
      <c r="A35" s="985"/>
      <c r="B35" s="986"/>
      <c r="C35" s="692"/>
      <c r="D35" s="55"/>
      <c r="E35" s="56"/>
    </row>
    <row r="36" spans="1:5" x14ac:dyDescent="0.3">
      <c r="A36" s="985"/>
      <c r="B36" s="986"/>
      <c r="C36" s="692"/>
      <c r="D36" s="55"/>
      <c r="E36" s="56"/>
    </row>
    <row r="37" spans="1:5" x14ac:dyDescent="0.3">
      <c r="A37" s="985"/>
      <c r="B37" s="986"/>
      <c r="C37" s="692"/>
      <c r="D37" s="55"/>
      <c r="E37" s="56"/>
    </row>
    <row r="38" spans="1:5" x14ac:dyDescent="0.3">
      <c r="A38" s="985"/>
      <c r="B38" s="986"/>
      <c r="C38" s="692"/>
      <c r="D38" s="55"/>
      <c r="E38" s="56"/>
    </row>
    <row r="39" spans="1:5" x14ac:dyDescent="0.3">
      <c r="A39" s="985"/>
      <c r="B39" s="986"/>
      <c r="C39" s="692"/>
      <c r="D39" s="55"/>
      <c r="E39" s="56"/>
    </row>
    <row r="40" spans="1:5" x14ac:dyDescent="0.3">
      <c r="A40" s="985"/>
      <c r="B40" s="986"/>
      <c r="C40" s="692"/>
      <c r="D40" s="55"/>
      <c r="E40" s="56"/>
    </row>
    <row r="41" spans="1:5" x14ac:dyDescent="0.3">
      <c r="A41" s="985"/>
      <c r="B41" s="986"/>
      <c r="C41" s="692"/>
      <c r="D41" s="55"/>
      <c r="E41" s="56"/>
    </row>
    <row r="42" spans="1:5" x14ac:dyDescent="0.3">
      <c r="A42" s="985"/>
      <c r="B42" s="986"/>
      <c r="C42" s="692"/>
      <c r="D42" s="55"/>
      <c r="E42" s="56"/>
    </row>
    <row r="43" spans="1:5" x14ac:dyDescent="0.3">
      <c r="A43" s="985"/>
      <c r="B43" s="986"/>
      <c r="C43" s="692"/>
      <c r="D43" s="55"/>
      <c r="E43" s="56"/>
    </row>
    <row r="44" spans="1:5" x14ac:dyDescent="0.3">
      <c r="A44" s="985"/>
      <c r="B44" s="986"/>
      <c r="C44" s="692"/>
      <c r="D44" s="55"/>
      <c r="E44" s="56"/>
    </row>
    <row r="45" spans="1:5" x14ac:dyDescent="0.3">
      <c r="A45" s="985"/>
      <c r="B45" s="986"/>
      <c r="C45" s="692"/>
      <c r="D45" s="55"/>
      <c r="E45" s="56"/>
    </row>
    <row r="46" spans="1:5" x14ac:dyDescent="0.3">
      <c r="A46" s="985"/>
      <c r="B46" s="986"/>
      <c r="C46" s="692"/>
      <c r="D46" s="55"/>
      <c r="E46" s="56"/>
    </row>
    <row r="47" spans="1:5" x14ac:dyDescent="0.3">
      <c r="A47" s="985"/>
      <c r="B47" s="986"/>
      <c r="C47" s="692"/>
      <c r="D47" s="55"/>
      <c r="E47" s="56"/>
    </row>
    <row r="48" spans="1:5" x14ac:dyDescent="0.3">
      <c r="A48" s="985"/>
      <c r="B48" s="986"/>
      <c r="C48" s="692"/>
      <c r="D48" s="55"/>
      <c r="E48" s="56"/>
    </row>
    <row r="49" spans="1:5" x14ac:dyDescent="0.3">
      <c r="A49" s="985"/>
      <c r="B49" s="986"/>
      <c r="C49" s="692"/>
      <c r="D49" s="55"/>
      <c r="E49" s="56"/>
    </row>
    <row r="50" spans="1:5" x14ac:dyDescent="0.3">
      <c r="A50" s="985"/>
      <c r="B50" s="986"/>
      <c r="C50" s="692"/>
      <c r="D50" s="55"/>
      <c r="E50" s="56"/>
    </row>
    <row r="51" spans="1:5" x14ac:dyDescent="0.3">
      <c r="A51" s="985"/>
      <c r="B51" s="986"/>
      <c r="C51" s="692"/>
      <c r="D51" s="55"/>
      <c r="E51" s="56"/>
    </row>
    <row r="52" spans="1:5" x14ac:dyDescent="0.3">
      <c r="A52" s="985"/>
      <c r="B52" s="986"/>
      <c r="C52" s="692"/>
      <c r="D52" s="55"/>
      <c r="E52" s="56"/>
    </row>
    <row r="53" spans="1:5" x14ac:dyDescent="0.3">
      <c r="A53" s="985"/>
      <c r="B53" s="986"/>
      <c r="C53" s="692"/>
      <c r="D53" s="55"/>
      <c r="E53" s="56"/>
    </row>
    <row r="54" spans="1:5" x14ac:dyDescent="0.3">
      <c r="A54" s="985"/>
      <c r="B54" s="986"/>
      <c r="C54" s="692"/>
      <c r="D54" s="55"/>
      <c r="E54" s="56"/>
    </row>
    <row r="55" spans="1:5" x14ac:dyDescent="0.3">
      <c r="A55" s="985"/>
      <c r="B55" s="986"/>
      <c r="C55" s="692"/>
      <c r="D55" s="55"/>
      <c r="E55" s="56"/>
    </row>
    <row r="56" spans="1:5" x14ac:dyDescent="0.3">
      <c r="A56" s="985"/>
      <c r="B56" s="986"/>
      <c r="C56" s="692"/>
      <c r="D56" s="55"/>
      <c r="E56" s="56"/>
    </row>
    <row r="57" spans="1:5" x14ac:dyDescent="0.3">
      <c r="A57" s="985"/>
      <c r="B57" s="986"/>
      <c r="C57" s="692"/>
      <c r="D57" s="55"/>
      <c r="E57" s="56"/>
    </row>
    <row r="58" spans="1:5" x14ac:dyDescent="0.3">
      <c r="A58" s="985"/>
      <c r="B58" s="986"/>
      <c r="C58" s="692"/>
      <c r="D58" s="55"/>
      <c r="E58" s="56"/>
    </row>
    <row r="59" spans="1:5" x14ac:dyDescent="0.3">
      <c r="A59" s="985"/>
      <c r="B59" s="986"/>
      <c r="C59" s="692"/>
      <c r="D59" s="55"/>
      <c r="E59" s="56"/>
    </row>
    <row r="60" spans="1:5" x14ac:dyDescent="0.3">
      <c r="A60" s="985"/>
      <c r="B60" s="986"/>
      <c r="C60" s="692"/>
      <c r="D60" s="55"/>
      <c r="E60" s="56"/>
    </row>
    <row r="61" spans="1:5" x14ac:dyDescent="0.3">
      <c r="A61" s="985"/>
      <c r="B61" s="986"/>
      <c r="C61" s="692"/>
      <c r="D61" s="55"/>
      <c r="E61" s="56"/>
    </row>
    <row r="62" spans="1:5" x14ac:dyDescent="0.3">
      <c r="A62" s="985"/>
      <c r="B62" s="986"/>
      <c r="C62" s="692"/>
      <c r="D62" s="55"/>
      <c r="E62" s="56"/>
    </row>
    <row r="63" spans="1:5" x14ac:dyDescent="0.3">
      <c r="A63" s="985"/>
      <c r="B63" s="986"/>
      <c r="C63" s="692"/>
      <c r="D63" s="55"/>
      <c r="E63" s="56"/>
    </row>
    <row r="64" spans="1:5" x14ac:dyDescent="0.3">
      <c r="A64" s="985"/>
      <c r="B64" s="986"/>
      <c r="C64" s="692"/>
      <c r="D64" s="55"/>
      <c r="E64" s="56"/>
    </row>
    <row r="65" spans="1:5" x14ac:dyDescent="0.3">
      <c r="A65" s="985"/>
      <c r="B65" s="986"/>
      <c r="C65" s="692"/>
      <c r="D65" s="55"/>
      <c r="E65" s="56"/>
    </row>
    <row r="66" spans="1:5" x14ac:dyDescent="0.3">
      <c r="A66" s="985"/>
      <c r="B66" s="986"/>
      <c r="C66" s="692"/>
      <c r="D66" s="55"/>
      <c r="E66" s="56"/>
    </row>
    <row r="67" spans="1:5" x14ac:dyDescent="0.3">
      <c r="A67" s="985"/>
      <c r="B67" s="986"/>
      <c r="C67" s="692"/>
      <c r="D67" s="55"/>
      <c r="E67" s="56"/>
    </row>
    <row r="68" spans="1:5" x14ac:dyDescent="0.3">
      <c r="A68" s="985"/>
      <c r="B68" s="986"/>
      <c r="C68" s="692"/>
      <c r="D68" s="55"/>
      <c r="E68" s="56"/>
    </row>
    <row r="69" spans="1:5" x14ac:dyDescent="0.3">
      <c r="A69" s="985"/>
      <c r="B69" s="986"/>
    </row>
    <row r="70" spans="1:5" x14ac:dyDescent="0.3">
      <c r="A70" s="985"/>
      <c r="B70" s="986"/>
    </row>
    <row r="71" spans="1:5" x14ac:dyDescent="0.3">
      <c r="A71" s="985"/>
      <c r="B71" s="986"/>
    </row>
    <row r="72" spans="1:5" x14ac:dyDescent="0.3">
      <c r="A72" s="985"/>
      <c r="B72" s="986"/>
    </row>
    <row r="73" spans="1:5" x14ac:dyDescent="0.3">
      <c r="A73" s="985"/>
      <c r="B73" s="986"/>
    </row>
    <row r="74" spans="1:5" x14ac:dyDescent="0.3">
      <c r="A74" s="985"/>
      <c r="B74" s="986"/>
    </row>
    <row r="75" spans="1:5" x14ac:dyDescent="0.3">
      <c r="A75" s="985"/>
      <c r="B75" s="986"/>
    </row>
    <row r="76" spans="1:5" x14ac:dyDescent="0.3">
      <c r="A76" s="985"/>
      <c r="B76" s="986"/>
    </row>
    <row r="77" spans="1:5" x14ac:dyDescent="0.3">
      <c r="A77" s="985"/>
      <c r="B77" s="986"/>
    </row>
  </sheetData>
  <sheetProtection algorithmName="SHA-512" hashValue="9JG64IzRPWXc47QzH+DP1gZGr1umxWfFeH/0DAcnBnQfeSWld1xC0IAYs+350eBTl2/ZYcGgtB/lIQMjR81How==" saltValue="JA3wQSpawiw0rKJxevTUJ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A2" sqref="A2:H2"/>
    </sheetView>
  </sheetViews>
  <sheetFormatPr defaultColWidth="9.109375" defaultRowHeight="14.4" x14ac:dyDescent="0.3"/>
  <cols>
    <col min="1" max="1" width="45.109375" style="408" customWidth="1"/>
    <col min="2" max="2" width="36.44140625" style="408" customWidth="1"/>
    <col min="3" max="3" width="9.109375" style="408"/>
    <col min="4" max="4" width="1.33203125" style="408" customWidth="1"/>
    <col min="5" max="5" width="37.5546875" style="408" customWidth="1"/>
    <col min="6" max="6" width="18.109375" style="408" customWidth="1"/>
    <col min="7" max="7" width="16.109375" style="408" customWidth="1"/>
    <col min="8" max="8" width="3.109375" style="408" customWidth="1"/>
    <col min="9" max="16384" width="9.109375" style="408"/>
  </cols>
  <sheetData>
    <row r="1" spans="1:8" x14ac:dyDescent="0.3">
      <c r="A1" s="409"/>
      <c r="B1" s="410"/>
      <c r="C1" s="411"/>
      <c r="D1" s="411"/>
      <c r="E1" s="412"/>
      <c r="F1" s="411"/>
      <c r="G1" s="411"/>
      <c r="H1" s="411"/>
    </row>
    <row r="2" spans="1:8" x14ac:dyDescent="0.3">
      <c r="A2" s="413" t="s">
        <v>710</v>
      </c>
      <c r="B2" s="414" t="str">
        <f>+'Unit Data from Audit Worksheet'!D2</f>
        <v>Select Unit Name from Drop Down List</v>
      </c>
      <c r="C2" s="411"/>
      <c r="D2" s="411"/>
      <c r="E2" s="412"/>
      <c r="F2" s="411"/>
      <c r="G2" s="411"/>
      <c r="H2" s="411"/>
    </row>
    <row r="3" spans="1:8" x14ac:dyDescent="0.3">
      <c r="A3" s="413" t="s">
        <v>802</v>
      </c>
      <c r="B3" s="411" t="e">
        <f>+'Unit Data from Audit Worksheet'!D3</f>
        <v>#N/A</v>
      </c>
      <c r="C3" s="411"/>
      <c r="D3" s="411"/>
      <c r="E3" s="412"/>
      <c r="F3" s="411"/>
      <c r="G3" s="411"/>
      <c r="H3" s="411"/>
    </row>
    <row r="4" spans="1:8" x14ac:dyDescent="0.3">
      <c r="A4" s="411"/>
      <c r="B4" s="411"/>
      <c r="C4" s="411"/>
      <c r="D4" s="411"/>
      <c r="E4" s="412"/>
      <c r="F4" s="411"/>
      <c r="G4" s="411"/>
      <c r="H4" s="411"/>
    </row>
    <row r="5" spans="1:8" x14ac:dyDescent="0.3">
      <c r="A5" s="1201" t="s">
        <v>711</v>
      </c>
      <c r="B5" s="1201"/>
      <c r="C5" s="1201"/>
      <c r="D5" s="411"/>
      <c r="E5" s="1202" t="s">
        <v>712</v>
      </c>
      <c r="F5" s="1202"/>
      <c r="G5" s="411"/>
      <c r="H5" s="411"/>
    </row>
    <row r="6" spans="1:8" ht="15" thickBot="1" x14ac:dyDescent="0.35">
      <c r="A6" s="415"/>
      <c r="B6" s="416"/>
      <c r="C6" s="415"/>
      <c r="D6" s="409"/>
      <c r="E6" s="415"/>
      <c r="F6" s="416"/>
      <c r="G6" s="416"/>
      <c r="H6" s="411"/>
    </row>
    <row r="7" spans="1:8" ht="15" thickBot="1" x14ac:dyDescent="0.35">
      <c r="A7" s="417" t="s">
        <v>713</v>
      </c>
      <c r="B7" s="418">
        <v>0.03</v>
      </c>
      <c r="C7" s="418"/>
      <c r="D7" s="418"/>
      <c r="E7" s="418"/>
      <c r="F7" s="418"/>
      <c r="G7" s="418"/>
      <c r="H7" s="418"/>
    </row>
    <row r="8" spans="1:8" ht="15" thickBot="1" x14ac:dyDescent="0.35">
      <c r="A8" s="411" t="s">
        <v>1045</v>
      </c>
      <c r="B8" s="419" t="e">
        <f>HLOOKUP(B2,'2020 Data(H)'!F1:L395,353,FALSE)</f>
        <v>#N/A</v>
      </c>
      <c r="C8" s="420"/>
      <c r="D8" s="420"/>
      <c r="E8" s="420"/>
      <c r="F8" s="411"/>
      <c r="G8" s="411"/>
      <c r="H8" s="411"/>
    </row>
    <row r="9" spans="1:8" ht="15" thickBot="1" x14ac:dyDescent="0.35">
      <c r="A9" s="411" t="s">
        <v>715</v>
      </c>
      <c r="B9" s="421" t="e">
        <f>B8*B7</f>
        <v>#N/A</v>
      </c>
      <c r="C9" s="422"/>
      <c r="D9" s="422"/>
      <c r="E9" s="422"/>
      <c r="F9" s="411"/>
      <c r="G9" s="411"/>
      <c r="H9" s="411"/>
    </row>
    <row r="10" spans="1:8" ht="15" thickBot="1" x14ac:dyDescent="0.35">
      <c r="A10" s="411"/>
      <c r="B10" s="411"/>
      <c r="C10" s="411"/>
      <c r="D10" s="411"/>
      <c r="E10" s="411"/>
      <c r="F10" s="411"/>
      <c r="G10" s="411"/>
      <c r="H10" s="411"/>
    </row>
    <row r="11" spans="1:8" ht="15" thickBot="1" x14ac:dyDescent="0.35">
      <c r="A11" s="417" t="s">
        <v>716</v>
      </c>
      <c r="B11" s="418">
        <v>0.05</v>
      </c>
      <c r="C11" s="418"/>
      <c r="D11" s="418"/>
      <c r="E11" s="418"/>
      <c r="F11" s="418"/>
      <c r="G11" s="418"/>
      <c r="H11" s="418"/>
    </row>
    <row r="12" spans="1:8" ht="15" thickBot="1" x14ac:dyDescent="0.35">
      <c r="A12" s="411" t="s">
        <v>1046</v>
      </c>
      <c r="B12" s="423" t="e">
        <f>HLOOKUP(B2,'2020 Data(H)'!F1:L395,55,FALSE)</f>
        <v>#N/A</v>
      </c>
      <c r="C12" s="424"/>
      <c r="D12" s="424"/>
      <c r="E12" s="424"/>
      <c r="F12" s="411"/>
      <c r="G12" s="411"/>
      <c r="H12" s="411"/>
    </row>
    <row r="13" spans="1:8" ht="15" thickBot="1" x14ac:dyDescent="0.35">
      <c r="A13" s="411" t="s">
        <v>715</v>
      </c>
      <c r="B13" s="421" t="e">
        <f>B12*B11</f>
        <v>#N/A</v>
      </c>
      <c r="C13" s="422"/>
      <c r="D13" s="422"/>
      <c r="E13" s="422"/>
      <c r="F13" s="411"/>
      <c r="G13" s="411"/>
      <c r="H13" s="411"/>
    </row>
    <row r="14" spans="1:8" ht="15" thickBot="1" x14ac:dyDescent="0.35">
      <c r="A14" s="411"/>
      <c r="B14" s="411"/>
      <c r="C14" s="411"/>
      <c r="D14" s="411"/>
      <c r="E14" s="425" t="s">
        <v>717</v>
      </c>
      <c r="F14" s="426">
        <f>+Import!L177</f>
        <v>0</v>
      </c>
      <c r="G14" s="427"/>
      <c r="H14" s="411"/>
    </row>
    <row r="15" spans="1:8" x14ac:dyDescent="0.3">
      <c r="A15" s="411"/>
      <c r="B15" s="411"/>
      <c r="C15" s="411"/>
      <c r="D15" s="411"/>
      <c r="E15" s="411"/>
      <c r="F15" s="411"/>
      <c r="G15" s="411"/>
      <c r="H15" s="428"/>
    </row>
    <row r="16" spans="1:8" x14ac:dyDescent="0.3">
      <c r="A16" s="411"/>
      <c r="B16" s="425"/>
      <c r="C16" s="411"/>
      <c r="D16" s="411"/>
      <c r="E16" s="411"/>
      <c r="F16" s="411"/>
      <c r="G16" s="411"/>
      <c r="H16" s="411"/>
    </row>
    <row r="17" spans="1:8" x14ac:dyDescent="0.3">
      <c r="A17" s="415"/>
      <c r="B17" s="416"/>
      <c r="C17" s="415"/>
      <c r="D17" s="409"/>
      <c r="E17" s="415"/>
      <c r="F17" s="416"/>
      <c r="G17" s="416"/>
      <c r="H17" s="411"/>
    </row>
    <row r="18" spans="1:8" ht="15" thickBot="1" x14ac:dyDescent="0.35">
      <c r="A18" s="429" t="s">
        <v>718</v>
      </c>
      <c r="B18" s="411"/>
      <c r="C18" s="411"/>
      <c r="D18" s="411"/>
      <c r="E18" s="429" t="s">
        <v>718</v>
      </c>
      <c r="F18" s="413" t="s">
        <v>719</v>
      </c>
      <c r="G18" s="413" t="s">
        <v>720</v>
      </c>
      <c r="H18" s="411"/>
    </row>
    <row r="19" spans="1:8" ht="15" thickBot="1" x14ac:dyDescent="0.35">
      <c r="A19" s="411" t="s">
        <v>714</v>
      </c>
      <c r="B19" s="419" t="e">
        <f>+B8</f>
        <v>#N/A</v>
      </c>
      <c r="C19" s="420"/>
      <c r="D19" s="420"/>
      <c r="E19" s="411" t="s">
        <v>721</v>
      </c>
      <c r="F19" s="430">
        <f>+Import!L229</f>
        <v>0</v>
      </c>
      <c r="G19" s="431" t="e">
        <f>+B21</f>
        <v>#N/A</v>
      </c>
      <c r="H19" s="411"/>
    </row>
    <row r="20" spans="1:8" ht="15" thickBot="1" x14ac:dyDescent="0.35">
      <c r="A20" s="411" t="s">
        <v>722</v>
      </c>
      <c r="B20" s="432">
        <f>+Import!L243</f>
        <v>0</v>
      </c>
      <c r="C20" s="411"/>
      <c r="D20" s="411"/>
      <c r="E20" s="411"/>
      <c r="F20" s="433"/>
      <c r="G20" s="411"/>
      <c r="H20" s="411"/>
    </row>
    <row r="21" spans="1:8" ht="15" thickBot="1" x14ac:dyDescent="0.35">
      <c r="A21" s="411" t="s">
        <v>715</v>
      </c>
      <c r="B21" s="421" t="e">
        <f>ROUND((B19/100)*B20,0)</f>
        <v>#N/A</v>
      </c>
      <c r="C21" s="434"/>
      <c r="D21" s="422"/>
      <c r="E21" s="411"/>
      <c r="F21" s="411"/>
      <c r="G21" s="411"/>
      <c r="H21" s="411"/>
    </row>
    <row r="22" spans="1:8" ht="15" thickBot="1" x14ac:dyDescent="0.35">
      <c r="A22" s="411"/>
      <c r="B22" s="411"/>
      <c r="C22" s="435"/>
      <c r="D22" s="435"/>
      <c r="E22" s="411"/>
      <c r="F22" s="411"/>
      <c r="G22" s="411"/>
      <c r="H22" s="411"/>
    </row>
    <row r="23" spans="1:8" ht="15" thickBot="1" x14ac:dyDescent="0.35">
      <c r="A23" s="425"/>
      <c r="B23" s="436"/>
      <c r="C23" s="411"/>
      <c r="D23" s="411"/>
      <c r="E23" s="437" t="s">
        <v>723</v>
      </c>
      <c r="F23" s="421">
        <f>IF(F19=0,F14-F19,F14-MAX(F19,G19))</f>
        <v>0</v>
      </c>
      <c r="G23" s="438"/>
      <c r="H23" s="422"/>
    </row>
    <row r="24" spans="1:8" x14ac:dyDescent="0.3">
      <c r="A24" s="411"/>
      <c r="B24" s="411"/>
      <c r="C24" s="411"/>
      <c r="D24" s="411"/>
      <c r="E24" s="411"/>
      <c r="F24" s="434"/>
      <c r="G24" s="434"/>
      <c r="H24" s="422"/>
    </row>
    <row r="25" spans="1:8" x14ac:dyDescent="0.3">
      <c r="A25" s="415"/>
      <c r="B25" s="416"/>
      <c r="C25" s="415"/>
      <c r="D25" s="409"/>
      <c r="E25" s="415"/>
      <c r="F25" s="416"/>
      <c r="G25" s="416"/>
      <c r="H25" s="411"/>
    </row>
    <row r="26" spans="1:8" ht="15" thickBot="1" x14ac:dyDescent="0.35">
      <c r="A26" s="411"/>
      <c r="B26" s="411"/>
      <c r="C26" s="411"/>
      <c r="D26" s="429"/>
      <c r="E26" s="429" t="s">
        <v>724</v>
      </c>
      <c r="F26" s="429"/>
      <c r="G26" s="429"/>
      <c r="H26" s="429"/>
    </row>
    <row r="27" spans="1:8" ht="15" thickBot="1" x14ac:dyDescent="0.35">
      <c r="A27" s="411"/>
      <c r="B27" s="411"/>
      <c r="C27" s="411"/>
      <c r="D27" s="435"/>
      <c r="E27" s="411" t="s">
        <v>725</v>
      </c>
      <c r="F27" s="439" t="e">
        <f>MAX(B9,B13)</f>
        <v>#N/A</v>
      </c>
      <c r="G27" s="435"/>
      <c r="H27" s="411"/>
    </row>
    <row r="28" spans="1:8" ht="15" thickBot="1" x14ac:dyDescent="0.35">
      <c r="A28" s="411"/>
      <c r="B28" s="411"/>
      <c r="C28" s="411"/>
      <c r="D28" s="435"/>
      <c r="E28" s="411"/>
      <c r="F28" s="435"/>
      <c r="G28" s="435"/>
      <c r="H28" s="411"/>
    </row>
    <row r="29" spans="1:8" ht="33.75" customHeight="1" x14ac:dyDescent="0.3">
      <c r="A29" s="411"/>
      <c r="B29" s="411"/>
      <c r="C29" s="411"/>
      <c r="D29" s="440"/>
      <c r="E29" s="411" t="s">
        <v>726</v>
      </c>
      <c r="F29" s="441" t="e">
        <f>IF(F23&lt;=F27,"Yes", "No, unit exceeds limit by:")</f>
        <v>#N/A</v>
      </c>
      <c r="G29" s="411"/>
      <c r="H29" s="411"/>
    </row>
    <row r="30" spans="1:8" ht="15" thickBot="1" x14ac:dyDescent="0.35">
      <c r="A30" s="411"/>
      <c r="B30" s="411"/>
      <c r="C30" s="411"/>
      <c r="D30" s="440"/>
      <c r="E30" s="411"/>
      <c r="F30" s="442" t="e">
        <f>IF(F23-F27&lt;=0,0,F23-F27)</f>
        <v>#N/A</v>
      </c>
      <c r="G30" s="443"/>
      <c r="H30" s="411"/>
    </row>
    <row r="31" spans="1:8" ht="15" thickBot="1" x14ac:dyDescent="0.35">
      <c r="A31" s="411"/>
      <c r="B31" s="411"/>
      <c r="C31" s="411"/>
      <c r="D31" s="411"/>
      <c r="E31" s="411"/>
      <c r="F31" s="411"/>
      <c r="G31" s="411"/>
      <c r="H31" s="411"/>
    </row>
    <row r="32" spans="1:8" x14ac:dyDescent="0.3">
      <c r="A32" s="411"/>
      <c r="B32" s="411"/>
      <c r="C32" s="411"/>
      <c r="D32" s="411"/>
      <c r="E32" s="437" t="s">
        <v>727</v>
      </c>
      <c r="F32" s="444">
        <f>IF(F19=0,0,F19-G19)</f>
        <v>0</v>
      </c>
      <c r="G32" s="411"/>
      <c r="H32" s="411"/>
    </row>
    <row r="33" spans="1:7" ht="15" thickBot="1" x14ac:dyDescent="0.35">
      <c r="A33" s="411"/>
      <c r="B33" s="411"/>
      <c r="C33" s="411"/>
      <c r="D33" s="411"/>
      <c r="E33" s="411"/>
      <c r="F33" s="445" t="s">
        <v>405</v>
      </c>
      <c r="G33" s="411"/>
    </row>
    <row r="34" spans="1:7" x14ac:dyDescent="0.3">
      <c r="A34" s="409"/>
      <c r="B34" s="411"/>
      <c r="C34" s="411"/>
      <c r="D34" s="411"/>
      <c r="E34" s="409" t="s">
        <v>728</v>
      </c>
      <c r="F34" s="411"/>
      <c r="G34" s="411"/>
    </row>
    <row r="35" spans="1:7" x14ac:dyDescent="0.3">
      <c r="A35" s="446"/>
      <c r="B35" s="446"/>
      <c r="C35" s="446"/>
      <c r="D35" s="411"/>
      <c r="E35" s="1203" t="s">
        <v>1047</v>
      </c>
      <c r="F35" s="1204"/>
      <c r="G35" s="1205"/>
    </row>
    <row r="36" spans="1:7" x14ac:dyDescent="0.3">
      <c r="A36" s="446"/>
      <c r="B36" s="446"/>
      <c r="C36" s="446"/>
      <c r="D36" s="411"/>
      <c r="E36" s="1206"/>
      <c r="F36" s="1207"/>
      <c r="G36" s="1208"/>
    </row>
    <row r="37" spans="1:7" x14ac:dyDescent="0.3">
      <c r="A37" s="446"/>
      <c r="B37" s="446"/>
      <c r="C37" s="446"/>
      <c r="D37" s="411"/>
      <c r="E37" s="1206"/>
      <c r="F37" s="1207"/>
      <c r="G37" s="1208"/>
    </row>
    <row r="38" spans="1:7" x14ac:dyDescent="0.3">
      <c r="A38" s="446"/>
      <c r="B38" s="446"/>
      <c r="C38" s="446"/>
      <c r="D38" s="411"/>
      <c r="E38" s="1209"/>
      <c r="F38" s="1210"/>
      <c r="G38" s="1211"/>
    </row>
    <row r="39" spans="1:7" x14ac:dyDescent="0.3">
      <c r="A39" s="446"/>
      <c r="B39" s="446"/>
      <c r="C39" s="446"/>
      <c r="D39" s="411"/>
      <c r="E39" s="447"/>
      <c r="F39" s="447"/>
      <c r="G39" s="447"/>
    </row>
    <row r="40" spans="1:7" x14ac:dyDescent="0.3">
      <c r="A40" s="446"/>
      <c r="B40" s="446"/>
      <c r="C40" s="446"/>
      <c r="D40" s="411"/>
      <c r="E40" s="1203" t="s">
        <v>1048</v>
      </c>
      <c r="F40" s="1204"/>
      <c r="G40" s="1205"/>
    </row>
    <row r="41" spans="1:7" x14ac:dyDescent="0.3">
      <c r="A41" s="411"/>
      <c r="B41" s="411"/>
      <c r="C41" s="411"/>
      <c r="D41" s="411"/>
      <c r="E41" s="1206"/>
      <c r="F41" s="1207"/>
      <c r="G41" s="1208"/>
    </row>
    <row r="42" spans="1:7" x14ac:dyDescent="0.3">
      <c r="A42" s="411"/>
      <c r="B42" s="411"/>
      <c r="C42" s="411"/>
      <c r="D42" s="411"/>
      <c r="E42" s="1209"/>
      <c r="F42" s="1210"/>
      <c r="G42" s="1211"/>
    </row>
    <row r="43" spans="1:7" x14ac:dyDescent="0.3">
      <c r="A43" s="411"/>
      <c r="B43" s="411"/>
      <c r="C43" s="411"/>
      <c r="D43" s="411"/>
      <c r="E43" s="411"/>
      <c r="F43" s="411"/>
      <c r="G43" s="411"/>
    </row>
    <row r="44" spans="1:7" ht="15" thickBot="1" x14ac:dyDescent="0.35">
      <c r="A44" s="411"/>
      <c r="B44" s="411"/>
      <c r="C44" s="411"/>
      <c r="D44" s="411"/>
      <c r="E44" s="1212" t="s">
        <v>729</v>
      </c>
      <c r="F44" s="1212"/>
      <c r="G44" s="1212"/>
    </row>
    <row r="45" spans="1:7" x14ac:dyDescent="0.3">
      <c r="A45" s="411"/>
      <c r="B45" s="411"/>
      <c r="C45" s="411"/>
      <c r="D45" s="411"/>
      <c r="E45" s="1192"/>
      <c r="F45" s="1193"/>
      <c r="G45" s="1194"/>
    </row>
    <row r="46" spans="1:7" x14ac:dyDescent="0.3">
      <c r="A46" s="411"/>
      <c r="B46" s="411"/>
      <c r="C46" s="411"/>
      <c r="D46" s="411"/>
      <c r="E46" s="1195"/>
      <c r="F46" s="1196"/>
      <c r="G46" s="1197"/>
    </row>
    <row r="47" spans="1:7" x14ac:dyDescent="0.3">
      <c r="A47" s="411"/>
      <c r="B47" s="411"/>
      <c r="C47" s="411"/>
      <c r="D47" s="411"/>
      <c r="E47" s="1195"/>
      <c r="F47" s="1196"/>
      <c r="G47" s="1197"/>
    </row>
    <row r="48" spans="1:7" x14ac:dyDescent="0.3">
      <c r="A48" s="411"/>
      <c r="B48" s="411"/>
      <c r="C48" s="411"/>
      <c r="D48" s="411"/>
      <c r="E48" s="1195"/>
      <c r="F48" s="1196"/>
      <c r="G48" s="1197"/>
    </row>
    <row r="49" spans="5:7" x14ac:dyDescent="0.3">
      <c r="E49" s="1195"/>
      <c r="F49" s="1196"/>
      <c r="G49" s="1197"/>
    </row>
    <row r="50" spans="5:7" x14ac:dyDescent="0.3">
      <c r="E50" s="1195"/>
      <c r="F50" s="1196"/>
      <c r="G50" s="1197"/>
    </row>
    <row r="51" spans="5:7" x14ac:dyDescent="0.3">
      <c r="E51" s="1195"/>
      <c r="F51" s="1196"/>
      <c r="G51" s="1197"/>
    </row>
    <row r="52" spans="5:7" x14ac:dyDescent="0.3">
      <c r="E52" s="1195"/>
      <c r="F52" s="1196"/>
      <c r="G52" s="1197"/>
    </row>
    <row r="53" spans="5:7" x14ac:dyDescent="0.3">
      <c r="E53" s="1195"/>
      <c r="F53" s="1196"/>
      <c r="G53" s="1197"/>
    </row>
    <row r="54" spans="5:7" x14ac:dyDescent="0.3">
      <c r="E54" s="1195"/>
      <c r="F54" s="1196"/>
      <c r="G54" s="1197"/>
    </row>
    <row r="55" spans="5:7" x14ac:dyDescent="0.3">
      <c r="E55" s="1195"/>
      <c r="F55" s="1196"/>
      <c r="G55" s="1197"/>
    </row>
    <row r="56" spans="5:7" ht="15" thickBot="1" x14ac:dyDescent="0.35">
      <c r="E56" s="1198"/>
      <c r="F56" s="1199"/>
      <c r="G56" s="1200"/>
    </row>
  </sheetData>
  <sheetProtection algorithmName="SHA-512" hashValue="3vfzdkMQ/j/5Ez1LPUfJs7Oq97mMPspNSPxPIv58T3XG7teIfYieY+coQOc8SI3yaPWTzhmaFurjDohcB/jDmQ==" saltValue="mi9yBVloMQdHuHImasvn7A=="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2021-08-02T19:15:06Z</cp:lastPrinted>
  <dcterms:created xsi:type="dcterms:W3CDTF">2011-03-11T21:05:05Z</dcterms:created>
  <dcterms:modified xsi:type="dcterms:W3CDTF">2022-09-16T17:03:27Z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