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L:\2022 Illustrative Financial Statements\Carolina County\FINAL 2022\PUBLISHED\"/>
    </mc:Choice>
  </mc:AlternateContent>
  <xr:revisionPtr revIDLastSave="0" documentId="8_{913F3DD4-C823-4E84-BCE6-0F0C72045C3C}" xr6:coauthVersionLast="47" xr6:coauthVersionMax="47" xr10:uidLastSave="{00000000-0000-0000-0000-000000000000}"/>
  <bookViews>
    <workbookView xWindow="-108" yWindow="-108" windowWidth="23256" windowHeight="12576" xr2:uid="{5837AF55-8439-4FCD-92EB-827414165003}"/>
  </bookViews>
  <sheets>
    <sheet name="GWNetPos 68 Exh 1" sheetId="1" r:id="rId1"/>
    <sheet name="GWStmtAct" sheetId="3" state="hidden" r:id="rId2"/>
    <sheet name="GWStmtAct 68 Exh 2" sheetId="4" r:id="rId3"/>
    <sheet name="Balance Sheet Exh 3" sheetId="5" r:id="rId4"/>
    <sheet name="Rev, exp, chgs in fb Exh 4" sheetId="6" r:id="rId5"/>
    <sheet name="Rec chg fund bal to chg Exh 5" sheetId="7" r:id="rId6"/>
    <sheet name="GF-BudAct Exh 6" sheetId="8" r:id="rId7"/>
    <sheet name="Net Pos-Prop Exh7" sheetId="9" r:id="rId8"/>
    <sheet name="Rev, exp-Prop Exh 8" sheetId="10" r:id="rId9"/>
    <sheet name="EFCF Exh 9" sheetId="11" r:id="rId10"/>
    <sheet name="Fiduciary SNP Exh10" sheetId="12" r:id="rId11"/>
    <sheet name="Fiduciary-ChgNetPos Exh 11" sheetId="13" r:id="rId12"/>
    <sheet name="RSI - LGERS 1" sheetId="14" r:id="rId13"/>
    <sheet name="RSI - LGERS 2" sheetId="15" r:id="rId14"/>
    <sheet name="RSI - LGERS 1TDA" sheetId="16" r:id="rId15"/>
    <sheet name="RSI - LGERS 2TDA" sheetId="17" r:id="rId16"/>
    <sheet name="RSI- ROD 1" sheetId="18" r:id="rId17"/>
    <sheet name="RSI - ROD 2" sheetId="19" r:id="rId18"/>
    <sheet name="RSI - LEO 1" sheetId="20" r:id="rId19"/>
    <sheet name="RSI - LEO 2" sheetId="21" r:id="rId20"/>
    <sheet name="RSI - OPEB 1" sheetId="22" r:id="rId21"/>
    <sheet name="RSI  - OPEB 2" sheetId="23" r:id="rId22"/>
    <sheet name="RSI-OPEB 3" sheetId="24" r:id="rId23"/>
    <sheet name="GFIS_BA" sheetId="25" r:id="rId24"/>
    <sheet name="TAX Rev-BA1" sheetId="26" r:id="rId25"/>
    <sheet name="Comb BS-Nonmajor" sheetId="27" r:id="rId26"/>
    <sheet name="Com Rev, Exp-Nonmajor" sheetId="28" r:id="rId27"/>
    <sheet name="SR-BA2" sheetId="29" r:id="rId28"/>
    <sheet name="SR-BA3" sheetId="30" r:id="rId29"/>
    <sheet name="SR-BA4 (dss client funds)" sheetId="31" r:id="rId30"/>
    <sheet name="SR-BA5 (Deed of Trust)" sheetId="32" r:id="rId31"/>
    <sheet name="SR-BA6 (Fines &amp; Forfeiture)" sheetId="33" r:id="rId32"/>
    <sheet name="SRBA-7 (Opioid)" sheetId="59" r:id="rId33"/>
    <sheet name="SR-BA 8 (ARP)" sheetId="60" r:id="rId34"/>
    <sheet name="CPBA-1" sheetId="36" r:id="rId35"/>
    <sheet name="CPBA-2" sheetId="37" r:id="rId36"/>
    <sheet name="CIP consol-BA1" sheetId="38" r:id="rId37"/>
    <sheet name=" EFBA-1 2pg" sheetId="39" r:id="rId38"/>
    <sheet name="EFBA-2" sheetId="40" r:id="rId39"/>
    <sheet name="EFBA-3 3 pg" sheetId="41" r:id="rId40"/>
    <sheet name="EFBA-4" sheetId="42" r:id="rId41"/>
    <sheet name="EFBA-5 2pg" sheetId="43" r:id="rId42"/>
    <sheet name="EFBA-6" sheetId="44" r:id="rId43"/>
    <sheet name="Comb Fid Assets&amp;Liabilities" sheetId="45" state="hidden" r:id="rId44"/>
    <sheet name="Comb Fid Fund-ChgNetPos" sheetId="46" state="hidden" r:id="rId45"/>
    <sheet name="Comb Custodial SNP" sheetId="47" r:id="rId46"/>
    <sheet name="Comb Custodial ChgNetPos" sheetId="48" r:id="rId47"/>
    <sheet name="TDA Balance Sheet" sheetId="49" r:id="rId48"/>
    <sheet name="TDA Rev Exp ChgFB" sheetId="50" r:id="rId49"/>
    <sheet name="TDA Budget Actual" sheetId="51" r:id="rId50"/>
    <sheet name="TaxesRec" sheetId="52" r:id="rId51"/>
    <sheet name="AnalysisTxLevy" sheetId="53" r:id="rId52"/>
    <sheet name="SecMkt" sheetId="54" r:id="rId53"/>
    <sheet name="TenTaxpayers" sheetId="55" r:id="rId54"/>
    <sheet name="e911 Reconciliation2" sheetId="56" state="hidden" r:id="rId55"/>
    <sheet name="Major Fund Debt " sheetId="57" r:id="rId56"/>
    <sheet name="MD&amp;A Calcs" sheetId="61" state="hidden" r:id="rId57"/>
    <sheet name="Sheet1" sheetId="58" state="hidden" r:id="rId58"/>
  </sheets>
  <definedNames>
    <definedName name="_Fill" hidden="1">#REF!</definedName>
    <definedName name="_xlnm.Print_Area" localSheetId="37">' EFBA-1 2pg'!$A$1:$J$79</definedName>
    <definedName name="_xlnm.Print_Area" localSheetId="51">AnalysisTxLevy!$A$1:$L$55</definedName>
    <definedName name="_xlnm.Print_Area" localSheetId="3">'Balance Sheet Exh 3'!$A$1:$E$84</definedName>
    <definedName name="_xlnm.Print_Area" localSheetId="26">'Com Rev, Exp-Nonmajor'!$A$1:$L$43</definedName>
    <definedName name="_xlnm.Print_Area" localSheetId="25">'Comb BS-Nonmajor'!$A$1:$L$44</definedName>
    <definedName name="_xlnm.Print_Area" localSheetId="45">'Comb Custodial SNP'!$A$1:$D$29</definedName>
    <definedName name="_xlnm.Print_Area" localSheetId="43">'Comb Fid Assets&amp;Liabilities'!$A$1:$I$28</definedName>
    <definedName name="_xlnm.Print_Area" localSheetId="44">'Comb Fid Fund-ChgNetPos'!$A$1:$J$34</definedName>
    <definedName name="_xlnm.Print_Area" localSheetId="54">'e911 Reconciliation2'!$A$1:$F$34</definedName>
    <definedName name="_xlnm.Print_Area" localSheetId="38">'EFBA-2'!$A$1:$M$22</definedName>
    <definedName name="_xlnm.Print_Area" localSheetId="9">'EFCF Exh 9'!$A$1:$I$85</definedName>
    <definedName name="_xlnm.Print_Area" localSheetId="10">'Fiduciary SNP Exh10'!$A$1:$G$32</definedName>
    <definedName name="_xlnm.Print_Area" localSheetId="11">'Fiduciary-ChgNetPos Exh 11'!$A$1:$J$38</definedName>
    <definedName name="_xlnm.Print_Area" localSheetId="6">'GF-BudAct Exh 6'!$A$1:$H$66</definedName>
    <definedName name="_xlnm.Print_Area" localSheetId="23">GFIS_BA!$A$1:$I$434</definedName>
    <definedName name="_xlnm.Print_Area" localSheetId="0">'GWNetPos 68 Exh 1'!$A$1:$G$59</definedName>
    <definedName name="_xlnm.Print_Area" localSheetId="2">'GWStmtAct 68 Exh 2'!$A$1:$K$55</definedName>
    <definedName name="_xlnm.Print_Area" localSheetId="55">'Major Fund Debt '!$A$1:$O$47</definedName>
    <definedName name="_xlnm.Print_Area" localSheetId="7">'Net Pos-Prop Exh7'!$A$1:$F$64</definedName>
    <definedName name="_xlnm.Print_Area" localSheetId="5">'Rec chg fund bal to chg Exh 5'!$A$1:$F$34</definedName>
    <definedName name="_xlnm.Print_Area" localSheetId="4">'Rev, exp, chgs in fb Exh 4'!$A$1:$E$57</definedName>
    <definedName name="_xlnm.Print_Area" localSheetId="8">'Rev, exp-Prop Exh 8'!$A$1:$F$45</definedName>
    <definedName name="_xlnm.Print_Area" localSheetId="21">'RSI  - OPEB 2'!$A$1:$L$36</definedName>
    <definedName name="_xlnm.Print_Area" localSheetId="12">'RSI - LGERS 1'!$A$1:$Q$25</definedName>
    <definedName name="_xlnm.Print_Area" localSheetId="14">'RSI - LGERS 1TDA'!$A$1:$Q$25</definedName>
    <definedName name="_xlnm.Print_Area" localSheetId="13">'RSI - LGERS 2'!$A$1:$Q$22</definedName>
    <definedName name="_xlnm.Print_Area" localSheetId="15">'RSI - LGERS 2TDA'!$A$1:$R$22</definedName>
    <definedName name="_xlnm.Print_Area" localSheetId="17">'RSI - ROD 2'!$A$1:$Q$18</definedName>
    <definedName name="_xlnm.Print_Area" localSheetId="16">'RSI- ROD 1'!$A$1:$Q$21</definedName>
    <definedName name="_xlnm.Print_Area" localSheetId="22">'RSI-OPEB 3'!$A$1:$J$13</definedName>
    <definedName name="_xlnm.Print_Area" localSheetId="24">'TAX Rev-BA1'!$A$1:$K$49</definedName>
    <definedName name="_xlnm.Print_Area" localSheetId="49">'TDA Budget Actual'!$A$1:$J$38</definedName>
    <definedName name="_xlnm.Print_Titles" localSheetId="37">' EFBA-1 2pg'!$1:$5</definedName>
    <definedName name="_xlnm.Print_Titles" localSheetId="39">'EFBA-3 3 pg'!$1:$5</definedName>
    <definedName name="_xlnm.Print_Titles" localSheetId="41">'EFBA-5 2pg'!$1:$5</definedName>
    <definedName name="_xlnm.Print_Titles" localSheetId="9">'EFCF Exh 9'!$1:$6</definedName>
    <definedName name="_xlnm.Print_Titles" localSheetId="23">GFIS_BA!$1:$6</definedName>
    <definedName name="Z_A8748736_0722_49EB_85B6_C9B52DDCFE0E_.wvu.Cols" localSheetId="3" hidden="1">'Balance Sheet Exh 3'!$F:$F</definedName>
    <definedName name="Z_A8748736_0722_49EB_85B6_C9B52DDCFE0E_.wvu.Cols" localSheetId="9" hidden="1">'EFCF Exh 9'!$J:$J</definedName>
    <definedName name="Z_A8748736_0722_49EB_85B6_C9B52DDCFE0E_.wvu.Cols" localSheetId="23" hidden="1">GFIS_BA!$J:$K</definedName>
    <definedName name="Z_A8748736_0722_49EB_85B6_C9B52DDCFE0E_.wvu.Cols" localSheetId="7" hidden="1">'Net Pos-Prop Exh7'!$H:$I</definedName>
    <definedName name="Z_A8748736_0722_49EB_85B6_C9B52DDCFE0E_.wvu.Cols" localSheetId="5" hidden="1">'Rec chg fund bal to chg Exh 5'!$G:$G</definedName>
    <definedName name="Z_A8748736_0722_49EB_85B6_C9B52DDCFE0E_.wvu.Cols" localSheetId="18" hidden="1">'RSI - LEO 1'!$M:$M</definedName>
    <definedName name="Z_A8748736_0722_49EB_85B6_C9B52DDCFE0E_.wvu.Cols" localSheetId="47" hidden="1">'TDA Balance Sheet'!$F:$F</definedName>
    <definedName name="Z_A8748736_0722_49EB_85B6_C9B52DDCFE0E_.wvu.PrintArea" localSheetId="37" hidden="1">' EFBA-1 2pg'!$A$1:$J$79</definedName>
    <definedName name="Z_A8748736_0722_49EB_85B6_C9B52DDCFE0E_.wvu.PrintArea" localSheetId="51" hidden="1">AnalysisTxLevy!$A$1:$L$55</definedName>
    <definedName name="Z_A8748736_0722_49EB_85B6_C9B52DDCFE0E_.wvu.PrintArea" localSheetId="3" hidden="1">'Balance Sheet Exh 3'!$A$1:$E$84</definedName>
    <definedName name="Z_A8748736_0722_49EB_85B6_C9B52DDCFE0E_.wvu.PrintArea" localSheetId="26" hidden="1">'Com Rev, Exp-Nonmajor'!$A$1:$L$43</definedName>
    <definedName name="Z_A8748736_0722_49EB_85B6_C9B52DDCFE0E_.wvu.PrintArea" localSheetId="25" hidden="1">'Comb BS-Nonmajor'!$A$1:$L$44</definedName>
    <definedName name="Z_A8748736_0722_49EB_85B6_C9B52DDCFE0E_.wvu.PrintArea" localSheetId="45" hidden="1">'Comb Custodial SNP'!$A$1:$D$29</definedName>
    <definedName name="Z_A8748736_0722_49EB_85B6_C9B52DDCFE0E_.wvu.PrintArea" localSheetId="43" hidden="1">'Comb Fid Assets&amp;Liabilities'!$A$1:$I$28</definedName>
    <definedName name="Z_A8748736_0722_49EB_85B6_C9B52DDCFE0E_.wvu.PrintArea" localSheetId="44" hidden="1">'Comb Fid Fund-ChgNetPos'!$A$1:$J$34</definedName>
    <definedName name="Z_A8748736_0722_49EB_85B6_C9B52DDCFE0E_.wvu.PrintArea" localSheetId="54" hidden="1">'e911 Reconciliation2'!$A$1:$F$34</definedName>
    <definedName name="Z_A8748736_0722_49EB_85B6_C9B52DDCFE0E_.wvu.PrintArea" localSheetId="38" hidden="1">'EFBA-2'!$A$1:$M$22</definedName>
    <definedName name="Z_A8748736_0722_49EB_85B6_C9B52DDCFE0E_.wvu.PrintArea" localSheetId="9" hidden="1">'EFCF Exh 9'!$A$1:$I$85</definedName>
    <definedName name="Z_A8748736_0722_49EB_85B6_C9B52DDCFE0E_.wvu.PrintArea" localSheetId="10" hidden="1">'Fiduciary SNP Exh10'!$A$1:$G$32</definedName>
    <definedName name="Z_A8748736_0722_49EB_85B6_C9B52DDCFE0E_.wvu.PrintArea" localSheetId="11" hidden="1">'Fiduciary-ChgNetPos Exh 11'!$A$1:$J$38</definedName>
    <definedName name="Z_A8748736_0722_49EB_85B6_C9B52DDCFE0E_.wvu.PrintArea" localSheetId="6" hidden="1">'GF-BudAct Exh 6'!$A$1:$H$66</definedName>
    <definedName name="Z_A8748736_0722_49EB_85B6_C9B52DDCFE0E_.wvu.PrintArea" localSheetId="23" hidden="1">GFIS_BA!$A$1:$I$434</definedName>
    <definedName name="Z_A8748736_0722_49EB_85B6_C9B52DDCFE0E_.wvu.PrintArea" localSheetId="0" hidden="1">'GWNetPos 68 Exh 1'!$A$1:$G$59</definedName>
    <definedName name="Z_A8748736_0722_49EB_85B6_C9B52DDCFE0E_.wvu.PrintArea" localSheetId="2" hidden="1">'GWStmtAct 68 Exh 2'!$A$1:$K$55</definedName>
    <definedName name="Z_A8748736_0722_49EB_85B6_C9B52DDCFE0E_.wvu.PrintArea" localSheetId="55" hidden="1">'Major Fund Debt '!$A$1:$O$47</definedName>
    <definedName name="Z_A8748736_0722_49EB_85B6_C9B52DDCFE0E_.wvu.PrintArea" localSheetId="7" hidden="1">'Net Pos-Prop Exh7'!$A$1:$F$64</definedName>
    <definedName name="Z_A8748736_0722_49EB_85B6_C9B52DDCFE0E_.wvu.PrintArea" localSheetId="5" hidden="1">'Rec chg fund bal to chg Exh 5'!$A$1:$F$34</definedName>
    <definedName name="Z_A8748736_0722_49EB_85B6_C9B52DDCFE0E_.wvu.PrintArea" localSheetId="4" hidden="1">'Rev, exp, chgs in fb Exh 4'!$A$1:$E$57</definedName>
    <definedName name="Z_A8748736_0722_49EB_85B6_C9B52DDCFE0E_.wvu.PrintArea" localSheetId="8" hidden="1">'Rev, exp-Prop Exh 8'!$A$1:$F$45</definedName>
    <definedName name="Z_A8748736_0722_49EB_85B6_C9B52DDCFE0E_.wvu.PrintArea" localSheetId="21" hidden="1">'RSI  - OPEB 2'!$A$1:$L$36</definedName>
    <definedName name="Z_A8748736_0722_49EB_85B6_C9B52DDCFE0E_.wvu.PrintArea" localSheetId="12" hidden="1">'RSI - LGERS 1'!$A$1:$Q$25</definedName>
    <definedName name="Z_A8748736_0722_49EB_85B6_C9B52DDCFE0E_.wvu.PrintArea" localSheetId="14" hidden="1">'RSI - LGERS 1TDA'!$A$1:$Q$25</definedName>
    <definedName name="Z_A8748736_0722_49EB_85B6_C9B52DDCFE0E_.wvu.PrintArea" localSheetId="13" hidden="1">'RSI - LGERS 2'!$A$1:$Q$22</definedName>
    <definedName name="Z_A8748736_0722_49EB_85B6_C9B52DDCFE0E_.wvu.PrintArea" localSheetId="15" hidden="1">'RSI - LGERS 2TDA'!$A$1:$R$22</definedName>
    <definedName name="Z_A8748736_0722_49EB_85B6_C9B52DDCFE0E_.wvu.PrintArea" localSheetId="17" hidden="1">'RSI - ROD 2'!$A$1:$Q$18</definedName>
    <definedName name="Z_A8748736_0722_49EB_85B6_C9B52DDCFE0E_.wvu.PrintArea" localSheetId="16" hidden="1">'RSI- ROD 1'!$A$1:$Q$21</definedName>
    <definedName name="Z_A8748736_0722_49EB_85B6_C9B52DDCFE0E_.wvu.PrintArea" localSheetId="22" hidden="1">'RSI-OPEB 3'!$A$1:$J$13</definedName>
    <definedName name="Z_A8748736_0722_49EB_85B6_C9B52DDCFE0E_.wvu.PrintArea" localSheetId="24" hidden="1">'TAX Rev-BA1'!$A$1:$K$49</definedName>
    <definedName name="Z_A8748736_0722_49EB_85B6_C9B52DDCFE0E_.wvu.PrintArea" localSheetId="49" hidden="1">'TDA Budget Actual'!$A$1:$J$38</definedName>
    <definedName name="Z_A8748736_0722_49EB_85B6_C9B52DDCFE0E_.wvu.PrintTitles" localSheetId="37" hidden="1">' EFBA-1 2pg'!$1:$5</definedName>
    <definedName name="Z_A8748736_0722_49EB_85B6_C9B52DDCFE0E_.wvu.PrintTitles" localSheetId="39" hidden="1">'EFBA-3 3 pg'!$1:$5</definedName>
    <definedName name="Z_A8748736_0722_49EB_85B6_C9B52DDCFE0E_.wvu.PrintTitles" localSheetId="41" hidden="1">'EFBA-5 2pg'!$1:$5</definedName>
    <definedName name="Z_A8748736_0722_49EB_85B6_C9B52DDCFE0E_.wvu.PrintTitles" localSheetId="9" hidden="1">'EFCF Exh 9'!$1:$6</definedName>
    <definedName name="Z_A8748736_0722_49EB_85B6_C9B52DDCFE0E_.wvu.PrintTitles" localSheetId="23" hidden="1">GFIS_BA!$1:$6</definedName>
    <definedName name="Z_A8748736_0722_49EB_85B6_C9B52DDCFE0E_.wvu.Rows" localSheetId="39" hidden="1">'EFBA-3 3 pg'!$140:$140</definedName>
    <definedName name="Z_A8748736_0722_49EB_85B6_C9B52DDCFE0E_.wvu.Rows" localSheetId="23" hidden="1">GFIS_BA!$427:$428</definedName>
    <definedName name="Z_A8748736_0722_49EB_85B6_C9B52DDCFE0E_.wvu.Rows" localSheetId="4" hidden="1">'Rev, exp, chgs in fb Exh 4'!$51:$52</definedName>
    <definedName name="Z_A8748736_0722_49EB_85B6_C9B52DDCFE0E_.wvu.Rows" localSheetId="8" hidden="1">'Rev, exp-Prop Exh 8'!$41:$41</definedName>
    <definedName name="Z_A8748736_0722_49EB_85B6_C9B52DDCFE0E_.wvu.Rows" localSheetId="21" hidden="1">'RSI  - OPEB 2'!$14:$14</definedName>
    <definedName name="Z_E0C60316_4586_4AAF_92CB_FA82BB1EB755_.wvu.PrintArea" localSheetId="37" hidden="1">' EFBA-1 2pg'!$A$1:$J$79</definedName>
    <definedName name="Z_E0C60316_4586_4AAF_92CB_FA82BB1EB755_.wvu.PrintArea" localSheetId="51" hidden="1">AnalysisTxLevy!$A$1:$L$55</definedName>
    <definedName name="Z_E0C60316_4586_4AAF_92CB_FA82BB1EB755_.wvu.PrintArea" localSheetId="3" hidden="1">'Balance Sheet Exh 3'!$A$1:$E$84</definedName>
    <definedName name="Z_E0C60316_4586_4AAF_92CB_FA82BB1EB755_.wvu.PrintArea" localSheetId="25" hidden="1">'Comb BS-Nonmajor'!$A$1:$L$48</definedName>
    <definedName name="Z_E0C60316_4586_4AAF_92CB_FA82BB1EB755_.wvu.PrintArea" localSheetId="43" hidden="1">'Comb Fid Assets&amp;Liabilities'!$A$1:$I$28</definedName>
    <definedName name="Z_E0C60316_4586_4AAF_92CB_FA82BB1EB755_.wvu.PrintArea" localSheetId="44" hidden="1">'Comb Fid Fund-ChgNetPos'!$A$1:$J$34</definedName>
    <definedName name="Z_E0C60316_4586_4AAF_92CB_FA82BB1EB755_.wvu.PrintArea" localSheetId="54" hidden="1">'e911 Reconciliation2'!$A$1:$F$34</definedName>
    <definedName name="Z_E0C60316_4586_4AAF_92CB_FA82BB1EB755_.wvu.PrintArea" localSheetId="38" hidden="1">'EFBA-2'!$A$1:$M$22</definedName>
    <definedName name="Z_E0C60316_4586_4AAF_92CB_FA82BB1EB755_.wvu.PrintArea" localSheetId="9" hidden="1">'EFCF Exh 9'!$A$1:$I$85</definedName>
    <definedName name="Z_E0C60316_4586_4AAF_92CB_FA82BB1EB755_.wvu.PrintArea" localSheetId="10" hidden="1">'Fiduciary SNP Exh10'!$A$1:$G$36</definedName>
    <definedName name="Z_E0C60316_4586_4AAF_92CB_FA82BB1EB755_.wvu.PrintArea" localSheetId="11" hidden="1">'Fiduciary-ChgNetPos Exh 11'!$A$1:$H$39</definedName>
    <definedName name="Z_E0C60316_4586_4AAF_92CB_FA82BB1EB755_.wvu.PrintArea" localSheetId="6" hidden="1">'GF-BudAct Exh 6'!$A$1:$H$66</definedName>
    <definedName name="Z_E0C60316_4586_4AAF_92CB_FA82BB1EB755_.wvu.PrintArea" localSheetId="23" hidden="1">GFIS_BA!$A$1:$I$434</definedName>
    <definedName name="Z_E0C60316_4586_4AAF_92CB_FA82BB1EB755_.wvu.PrintArea" localSheetId="0" hidden="1">'GWNetPos 68 Exh 1'!$A$1:$F$61</definedName>
    <definedName name="Z_E0C60316_4586_4AAF_92CB_FA82BB1EB755_.wvu.PrintArea" localSheetId="2" hidden="1">'GWStmtAct 68 Exh 2'!$A$1:$K$55</definedName>
    <definedName name="Z_E0C60316_4586_4AAF_92CB_FA82BB1EB755_.wvu.PrintArea" localSheetId="55" hidden="1">'Major Fund Debt '!$A$1:$O$47</definedName>
    <definedName name="Z_E0C60316_4586_4AAF_92CB_FA82BB1EB755_.wvu.PrintArea" localSheetId="7" hidden="1">'Net Pos-Prop Exh7'!$A$1:$F$64</definedName>
    <definedName name="Z_E0C60316_4586_4AAF_92CB_FA82BB1EB755_.wvu.PrintArea" localSheetId="5" hidden="1">'Rec chg fund bal to chg Exh 5'!$A$1:$F$34</definedName>
    <definedName name="Z_E0C60316_4586_4AAF_92CB_FA82BB1EB755_.wvu.PrintArea" localSheetId="4" hidden="1">'Rev, exp, chgs in fb Exh 4'!$A$1:$E$57</definedName>
    <definedName name="Z_E0C60316_4586_4AAF_92CB_FA82BB1EB755_.wvu.PrintArea" localSheetId="8" hidden="1">'Rev, exp-Prop Exh 8'!$A$1:$F$45</definedName>
    <definedName name="Z_E0C60316_4586_4AAF_92CB_FA82BB1EB755_.wvu.PrintArea" localSheetId="21" hidden="1">'RSI  - OPEB 2'!$A$1:$K$37</definedName>
    <definedName name="Z_E0C60316_4586_4AAF_92CB_FA82BB1EB755_.wvu.PrintArea" localSheetId="12" hidden="1">'RSI - LGERS 1'!$A$2:$P$31</definedName>
    <definedName name="Z_E0C60316_4586_4AAF_92CB_FA82BB1EB755_.wvu.PrintArea" localSheetId="14" hidden="1">'RSI - LGERS 1TDA'!$A$2:$P$30</definedName>
    <definedName name="Z_E0C60316_4586_4AAF_92CB_FA82BB1EB755_.wvu.PrintArea" localSheetId="17" hidden="1">'RSI - ROD 2'!$A$1:$P$26</definedName>
    <definedName name="Z_E0C60316_4586_4AAF_92CB_FA82BB1EB755_.wvu.PrintArea" localSheetId="16" hidden="1">'RSI- ROD 1'!$A$1:$Q$26</definedName>
    <definedName name="Z_E0C60316_4586_4AAF_92CB_FA82BB1EB755_.wvu.PrintArea" localSheetId="24" hidden="1">'TAX Rev-BA1'!$A$1:$K$49</definedName>
    <definedName name="Z_E0C60316_4586_4AAF_92CB_FA82BB1EB755_.wvu.PrintArea" localSheetId="49" hidden="1">'TDA Budget Actual'!$A$1:$J$38</definedName>
    <definedName name="Z_E0C60316_4586_4AAF_92CB_FA82BB1EB755_.wvu.PrintTitles" localSheetId="37" hidden="1">' EFBA-1 2pg'!$1:$5</definedName>
    <definedName name="Z_E0C60316_4586_4AAF_92CB_FA82BB1EB755_.wvu.PrintTitles" localSheetId="39" hidden="1">'EFBA-3 3 pg'!$1:$5</definedName>
    <definedName name="Z_E0C60316_4586_4AAF_92CB_FA82BB1EB755_.wvu.PrintTitles" localSheetId="41" hidden="1">'EFBA-5 2pg'!$1:$5</definedName>
    <definedName name="Z_E0C60316_4586_4AAF_92CB_FA82BB1EB755_.wvu.PrintTitles" localSheetId="9" hidden="1">'EFCF Exh 9'!$1:$6</definedName>
    <definedName name="Z_E0C60316_4586_4AAF_92CB_FA82BB1EB755_.wvu.PrintTitles" localSheetId="23" hidden="1">GFIS_BA!$1:$6</definedName>
  </definedNames>
  <calcPr calcId="191028"/>
  <customWorkbookViews>
    <customWorkbookView name="Eric Faust - Personal View" guid="{A8748736-0722-49EB-85B6-C9B52DDCFE0E}" mergeInterval="0" personalView="1" maximized="1" xWindow="-8" yWindow="-8" windowWidth="1936" windowHeight="1056" activeSheetId="57"/>
    <customWorkbookView name="Ryan Chapman - Personal View" guid="{E0C60316-4586-4AAF-92CB-FA82BB1EB755}" mergeInterval="0" personalView="1" maximized="1" xWindow="-8" yWindow="-8" windowWidth="1936" windowHeight="1176" tabRatio="81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2" i="27" l="1"/>
  <c r="O42" i="27" s="1"/>
  <c r="E130" i="25"/>
  <c r="B10" i="1"/>
  <c r="B16" i="1"/>
  <c r="G63" i="1"/>
  <c r="C8" i="6"/>
  <c r="J48" i="4"/>
  <c r="G127" i="25"/>
  <c r="G122" i="25"/>
  <c r="G117" i="25"/>
  <c r="G111" i="25"/>
  <c r="G101" i="25"/>
  <c r="G95" i="25"/>
  <c r="G86" i="25"/>
  <c r="G81" i="25"/>
  <c r="G75" i="25"/>
  <c r="N101" i="25" l="1"/>
  <c r="N117" i="25"/>
  <c r="N122" i="25"/>
  <c r="N111" i="25"/>
  <c r="N127" i="25"/>
  <c r="N95" i="25"/>
  <c r="N86" i="25"/>
  <c r="N81" i="25"/>
  <c r="M14" i="59"/>
  <c r="M16" i="59"/>
  <c r="M24" i="59"/>
  <c r="H37" i="59"/>
  <c r="F37" i="59"/>
  <c r="J28" i="60"/>
  <c r="J21" i="60"/>
  <c r="H28" i="60"/>
  <c r="H21" i="60"/>
  <c r="F21" i="60"/>
  <c r="F28" i="60"/>
  <c r="L25" i="60"/>
  <c r="N25" i="60" s="1"/>
  <c r="L26" i="60"/>
  <c r="N26" i="60" s="1"/>
  <c r="L27" i="60"/>
  <c r="N27" i="60" s="1"/>
  <c r="L24" i="60"/>
  <c r="N24" i="60" s="1"/>
  <c r="N28" i="60" s="1"/>
  <c r="O11" i="4"/>
  <c r="G26" i="8"/>
  <c r="F44" i="8"/>
  <c r="F26" i="8"/>
  <c r="B23" i="6"/>
  <c r="B18" i="6"/>
  <c r="C48" i="6"/>
  <c r="B42" i="6"/>
  <c r="C37" i="6"/>
  <c r="C38" i="6" s="1"/>
  <c r="C19" i="6"/>
  <c r="C26" i="5"/>
  <c r="B11" i="5"/>
  <c r="M11" i="4"/>
  <c r="B11" i="4"/>
  <c r="B33" i="1"/>
  <c r="H5" i="61"/>
  <c r="D5" i="61"/>
  <c r="N75" i="25" l="1"/>
  <c r="L74" i="25"/>
  <c r="N74" i="25"/>
  <c r="L28" i="60"/>
  <c r="C50" i="6"/>
  <c r="C55" i="6" s="1"/>
  <c r="C51" i="5"/>
  <c r="C52" i="5" s="1"/>
  <c r="B35" i="1"/>
  <c r="B36" i="1"/>
  <c r="F47" i="4"/>
  <c r="B21" i="1" l="1"/>
  <c r="G35" i="25" l="1"/>
  <c r="H39" i="28"/>
  <c r="H38" i="28"/>
  <c r="H33" i="28"/>
  <c r="H34" i="28"/>
  <c r="H32" i="28"/>
  <c r="H24" i="28"/>
  <c r="H25" i="28"/>
  <c r="H26" i="28"/>
  <c r="H27" i="28"/>
  <c r="H23" i="28"/>
  <c r="H11" i="28"/>
  <c r="H12" i="28"/>
  <c r="H13" i="28"/>
  <c r="L13" i="28" s="1"/>
  <c r="H14" i="28"/>
  <c r="H15" i="28"/>
  <c r="H16" i="28"/>
  <c r="H17" i="28"/>
  <c r="H10" i="28"/>
  <c r="H32" i="27"/>
  <c r="L32" i="27" s="1"/>
  <c r="H33" i="27"/>
  <c r="H34" i="27"/>
  <c r="H35" i="27"/>
  <c r="H36" i="27"/>
  <c r="H37" i="27"/>
  <c r="L37" i="27" s="1"/>
  <c r="H38" i="27"/>
  <c r="L38" i="27" s="1"/>
  <c r="H39" i="27"/>
  <c r="L39" i="27" s="1"/>
  <c r="H40" i="27"/>
  <c r="L40" i="27" s="1"/>
  <c r="H31" i="27"/>
  <c r="L31" i="27" s="1"/>
  <c r="H26" i="27"/>
  <c r="L26" i="27" s="1"/>
  <c r="H20" i="27"/>
  <c r="L20" i="27" s="1"/>
  <c r="H21" i="27"/>
  <c r="H22" i="27"/>
  <c r="H19" i="27"/>
  <c r="L19" i="27" s="1"/>
  <c r="H11" i="27"/>
  <c r="L11" i="27" s="1"/>
  <c r="H12" i="27"/>
  <c r="H13" i="27"/>
  <c r="L13" i="27" s="1"/>
  <c r="H14" i="27"/>
  <c r="H10" i="27"/>
  <c r="L10" i="27" s="1"/>
  <c r="L33" i="27"/>
  <c r="L34" i="27"/>
  <c r="L35" i="27"/>
  <c r="L36" i="27"/>
  <c r="L21" i="27"/>
  <c r="L22" i="27"/>
  <c r="L12" i="27"/>
  <c r="L14" i="27"/>
  <c r="G41" i="27"/>
  <c r="G42" i="27" s="1"/>
  <c r="G27" i="27"/>
  <c r="G23" i="27"/>
  <c r="G15" i="27"/>
  <c r="L14" i="28"/>
  <c r="L15" i="28"/>
  <c r="G40" i="28"/>
  <c r="G35" i="28"/>
  <c r="G28" i="28"/>
  <c r="G29" i="28" s="1"/>
  <c r="G36" i="28" s="1"/>
  <c r="G41" i="28" s="1"/>
  <c r="G18" i="28"/>
  <c r="K23" i="57"/>
  <c r="K22" i="27"/>
  <c r="E24" i="5"/>
  <c r="D11" i="5"/>
  <c r="K21" i="27"/>
  <c r="D18" i="6"/>
  <c r="K24" i="28"/>
  <c r="K13" i="28"/>
  <c r="D42" i="6"/>
  <c r="L24" i="28" l="1"/>
  <c r="L25" i="59" l="1"/>
  <c r="N25" i="59" s="1"/>
  <c r="L26" i="59"/>
  <c r="N26" i="59" s="1"/>
  <c r="L27" i="59"/>
  <c r="N27" i="59" s="1"/>
  <c r="L28" i="59"/>
  <c r="N28" i="59" s="1"/>
  <c r="L30" i="59"/>
  <c r="N30" i="59" s="1"/>
  <c r="E416" i="25" l="1"/>
  <c r="G416" i="25"/>
  <c r="I409" i="25"/>
  <c r="G30" i="60"/>
  <c r="L20" i="60"/>
  <c r="M14" i="60"/>
  <c r="M16" i="60" s="1"/>
  <c r="K14" i="60"/>
  <c r="K16" i="60" s="1"/>
  <c r="J14" i="60"/>
  <c r="J16" i="60" s="1"/>
  <c r="J30" i="60" s="1"/>
  <c r="I14" i="60"/>
  <c r="I16" i="60" s="1"/>
  <c r="H14" i="60"/>
  <c r="H16" i="60" s="1"/>
  <c r="H30" i="60" s="1"/>
  <c r="G14" i="60"/>
  <c r="G16" i="60" s="1"/>
  <c r="F14" i="60"/>
  <c r="F16" i="60" s="1"/>
  <c r="F30" i="60" s="1"/>
  <c r="L13" i="60"/>
  <c r="L14" i="60" s="1"/>
  <c r="L16" i="60" s="1"/>
  <c r="L31" i="59"/>
  <c r="N31" i="59" s="1"/>
  <c r="L21" i="59"/>
  <c r="L22" i="59"/>
  <c r="N22" i="59" s="1"/>
  <c r="L23" i="59"/>
  <c r="N23" i="59" s="1"/>
  <c r="L32" i="59"/>
  <c r="N32" i="59" s="1"/>
  <c r="J33" i="59"/>
  <c r="H33" i="59"/>
  <c r="M29" i="59"/>
  <c r="I29" i="59"/>
  <c r="L29" i="59" s="1"/>
  <c r="N29" i="59" s="1"/>
  <c r="G29" i="59"/>
  <c r="I24" i="59"/>
  <c r="L24" i="59" s="1"/>
  <c r="N24" i="59" s="1"/>
  <c r="G24" i="59"/>
  <c r="F33" i="59"/>
  <c r="K14" i="59"/>
  <c r="K16" i="59" s="1"/>
  <c r="J14" i="59"/>
  <c r="J16" i="59" s="1"/>
  <c r="J37" i="59" s="1"/>
  <c r="I14" i="59"/>
  <c r="I16" i="59" s="1"/>
  <c r="H14" i="59"/>
  <c r="H16" i="59" s="1"/>
  <c r="G14" i="59"/>
  <c r="G16" i="59" s="1"/>
  <c r="F14" i="59"/>
  <c r="F16" i="59" s="1"/>
  <c r="L13" i="59"/>
  <c r="L14" i="59" s="1"/>
  <c r="L16" i="59" s="1"/>
  <c r="L37" i="59" s="1"/>
  <c r="H5" i="24"/>
  <c r="F5" i="24" s="1"/>
  <c r="D5" i="24" s="1"/>
  <c r="I7" i="23"/>
  <c r="G7" i="23" s="1"/>
  <c r="E7" i="23" s="1"/>
  <c r="H7" i="22"/>
  <c r="F7" i="22" s="1"/>
  <c r="D7" i="22" s="1"/>
  <c r="C8" i="18"/>
  <c r="O8" i="18"/>
  <c r="M8" i="18" s="1"/>
  <c r="K8" i="18" s="1"/>
  <c r="I8" i="18" s="1"/>
  <c r="G8" i="18" s="1"/>
  <c r="E8" i="18" s="1"/>
  <c r="J40" i="59" l="1"/>
  <c r="H23" i="57"/>
  <c r="N20" i="60"/>
  <c r="N21" i="60" s="1"/>
  <c r="L21" i="60"/>
  <c r="L30" i="60"/>
  <c r="K22" i="57"/>
  <c r="J33" i="60"/>
  <c r="H22" i="57"/>
  <c r="N13" i="60"/>
  <c r="N14" i="60" s="1"/>
  <c r="N16" i="60" s="1"/>
  <c r="K33" i="59"/>
  <c r="M33" i="59"/>
  <c r="G33" i="59"/>
  <c r="G37" i="59" s="1"/>
  <c r="I33" i="59"/>
  <c r="N13" i="59"/>
  <c r="N14" i="59" s="1"/>
  <c r="N16" i="59" s="1"/>
  <c r="N37" i="59" s="1"/>
  <c r="B26" i="1"/>
  <c r="E40" i="5"/>
  <c r="E41" i="5"/>
  <c r="B40" i="1"/>
  <c r="B41" i="6"/>
  <c r="G44" i="8"/>
  <c r="H26" i="8"/>
  <c r="F27" i="7"/>
  <c r="F15" i="27"/>
  <c r="F18" i="28"/>
  <c r="F15" i="17"/>
  <c r="F11" i="17"/>
  <c r="G427" i="25"/>
  <c r="G140" i="25"/>
  <c r="G67" i="25"/>
  <c r="G55" i="25"/>
  <c r="B12" i="4"/>
  <c r="G54" i="8"/>
  <c r="G21" i="8"/>
  <c r="G19" i="8"/>
  <c r="F19" i="8"/>
  <c r="B24" i="6"/>
  <c r="E36" i="1"/>
  <c r="E35" i="1"/>
  <c r="E21" i="1"/>
  <c r="E10" i="1"/>
  <c r="F29" i="7"/>
  <c r="B34" i="6"/>
  <c r="E81" i="5"/>
  <c r="B20" i="5"/>
  <c r="E69" i="5"/>
  <c r="D23" i="1"/>
  <c r="F15" i="7"/>
  <c r="B51" i="6"/>
  <c r="B33" i="6"/>
  <c r="E43" i="6"/>
  <c r="E18" i="6"/>
  <c r="B16" i="6"/>
  <c r="E33" i="5"/>
  <c r="B28" i="5"/>
  <c r="B12" i="5"/>
  <c r="B10" i="5"/>
  <c r="E10" i="5" s="1"/>
  <c r="B18" i="4"/>
  <c r="F40" i="4"/>
  <c r="F39" i="4"/>
  <c r="C16" i="4"/>
  <c r="B30" i="1"/>
  <c r="B11" i="1"/>
  <c r="E31" i="4"/>
  <c r="D31" i="4"/>
  <c r="C31" i="4"/>
  <c r="B8" i="58"/>
  <c r="B9" i="58"/>
  <c r="B10" i="58"/>
  <c r="A3" i="57"/>
  <c r="E13" i="56"/>
  <c r="D10" i="55"/>
  <c r="D11" i="55"/>
  <c r="D12" i="55"/>
  <c r="D13" i="55"/>
  <c r="D14" i="55"/>
  <c r="D15" i="55"/>
  <c r="D16" i="55"/>
  <c r="D17" i="55"/>
  <c r="D18" i="55"/>
  <c r="D19" i="55"/>
  <c r="K16" i="54"/>
  <c r="K19" i="54" s="1"/>
  <c r="K21" i="54" s="1"/>
  <c r="D15" i="53"/>
  <c r="D17" i="53"/>
  <c r="L15" i="53"/>
  <c r="L17" i="53"/>
  <c r="J17" i="53"/>
  <c r="H20" i="53"/>
  <c r="J20" i="53" s="1"/>
  <c r="J21" i="53"/>
  <c r="J22" i="53"/>
  <c r="D23" i="53"/>
  <c r="L23" i="53"/>
  <c r="J30" i="53"/>
  <c r="A4" i="52"/>
  <c r="A4" i="56" s="1"/>
  <c r="G10" i="52"/>
  <c r="C11" i="52"/>
  <c r="I11" i="52" s="1"/>
  <c r="C12" i="52"/>
  <c r="C13" i="52"/>
  <c r="I13" i="52"/>
  <c r="C14" i="52"/>
  <c r="I14" i="52" s="1"/>
  <c r="C15" i="52"/>
  <c r="I15" i="52" s="1"/>
  <c r="C16" i="52"/>
  <c r="G16" i="52"/>
  <c r="C17" i="52"/>
  <c r="I17" i="52"/>
  <c r="C18" i="52"/>
  <c r="I18" i="52" s="1"/>
  <c r="C19" i="52"/>
  <c r="G19" i="52"/>
  <c r="I25" i="52"/>
  <c r="I37" i="52"/>
  <c r="I39" i="52"/>
  <c r="A7" i="51"/>
  <c r="J15" i="51"/>
  <c r="J16" i="51"/>
  <c r="E17" i="51"/>
  <c r="F17" i="51"/>
  <c r="H17" i="51"/>
  <c r="J21" i="51"/>
  <c r="J22" i="51"/>
  <c r="H23" i="51"/>
  <c r="H24" i="51" s="1"/>
  <c r="E24" i="51"/>
  <c r="F24" i="51"/>
  <c r="J29" i="51"/>
  <c r="J30" i="51"/>
  <c r="E30" i="51"/>
  <c r="F30" i="51"/>
  <c r="H30" i="51"/>
  <c r="D13" i="50"/>
  <c r="D19" i="50"/>
  <c r="D20" i="50" s="1"/>
  <c r="D21" i="50" s="1"/>
  <c r="D24" i="50" s="1"/>
  <c r="D37" i="50"/>
  <c r="C13" i="49"/>
  <c r="C19" i="49"/>
  <c r="C25" i="49"/>
  <c r="C30" i="49" s="1"/>
  <c r="C37" i="49" s="1"/>
  <c r="A5" i="48"/>
  <c r="B10" i="48"/>
  <c r="F10" i="48" s="1"/>
  <c r="F12" i="48" s="1"/>
  <c r="F11" i="48"/>
  <c r="D12" i="48"/>
  <c r="B15" i="48"/>
  <c r="B17" i="48" s="1"/>
  <c r="F16" i="48"/>
  <c r="D17" i="48"/>
  <c r="F22" i="48"/>
  <c r="F23" i="48"/>
  <c r="B23" i="48"/>
  <c r="D23" i="48"/>
  <c r="A5" i="47"/>
  <c r="D10" i="47"/>
  <c r="D11" i="47"/>
  <c r="B12" i="47"/>
  <c r="C12" i="47"/>
  <c r="C21" i="47" s="1"/>
  <c r="C22" i="47" s="1"/>
  <c r="D15" i="47"/>
  <c r="D17" i="47" s="1"/>
  <c r="D16" i="47"/>
  <c r="B17" i="47"/>
  <c r="C17" i="47"/>
  <c r="A5" i="46"/>
  <c r="J11" i="46"/>
  <c r="J15" i="46"/>
  <c r="J16" i="46"/>
  <c r="H17" i="46"/>
  <c r="J18" i="46"/>
  <c r="F19" i="46"/>
  <c r="F20" i="46" s="1"/>
  <c r="J23" i="46"/>
  <c r="J24" i="46"/>
  <c r="F25" i="46"/>
  <c r="H25" i="46"/>
  <c r="J30" i="46"/>
  <c r="A5" i="45"/>
  <c r="G14" i="45"/>
  <c r="G25" i="45" s="1"/>
  <c r="I20" i="45"/>
  <c r="I22" i="45"/>
  <c r="E25" i="45"/>
  <c r="A4" i="44"/>
  <c r="K12" i="44"/>
  <c r="M12" i="44"/>
  <c r="K13" i="44"/>
  <c r="M13" i="44" s="1"/>
  <c r="E14" i="44"/>
  <c r="G14" i="44"/>
  <c r="I14" i="44"/>
  <c r="I17" i="44"/>
  <c r="K17" i="44"/>
  <c r="K18" i="44"/>
  <c r="M18" i="44" s="1"/>
  <c r="K19" i="44"/>
  <c r="M19" i="44"/>
  <c r="E20" i="44"/>
  <c r="E21" i="44" s="1"/>
  <c r="E29" i="44" s="1"/>
  <c r="G20" i="44"/>
  <c r="K24" i="44"/>
  <c r="K25" i="44"/>
  <c r="M25" i="44"/>
  <c r="E26" i="44"/>
  <c r="G26" i="44"/>
  <c r="I26" i="44"/>
  <c r="G15" i="43"/>
  <c r="G20" i="43"/>
  <c r="I20" i="43" s="1"/>
  <c r="I22" i="43"/>
  <c r="I24" i="43"/>
  <c r="E25" i="43"/>
  <c r="E29" i="43" s="1"/>
  <c r="E34" i="43" s="1"/>
  <c r="I28" i="43"/>
  <c r="I32" i="43"/>
  <c r="G38" i="43"/>
  <c r="G39" i="43"/>
  <c r="I39" i="43"/>
  <c r="G42" i="43"/>
  <c r="G43" i="43" s="1"/>
  <c r="I43" i="43" s="1"/>
  <c r="E45" i="43"/>
  <c r="A4" i="42"/>
  <c r="K13" i="42"/>
  <c r="M13" i="42"/>
  <c r="K14" i="42"/>
  <c r="M14" i="42" s="1"/>
  <c r="E15" i="42"/>
  <c r="G15" i="42"/>
  <c r="I15" i="42"/>
  <c r="I19" i="42"/>
  <c r="I21" i="42" s="1"/>
  <c r="K20" i="42"/>
  <c r="M20" i="42"/>
  <c r="E21" i="42"/>
  <c r="G21" i="42"/>
  <c r="K25" i="42"/>
  <c r="M25" i="42"/>
  <c r="K26" i="42"/>
  <c r="M26" i="42" s="1"/>
  <c r="E27" i="42"/>
  <c r="G27" i="42"/>
  <c r="I27" i="42"/>
  <c r="K30" i="42"/>
  <c r="M30" i="42"/>
  <c r="K31" i="42"/>
  <c r="M31" i="42" s="1"/>
  <c r="I32" i="42"/>
  <c r="K32" i="42"/>
  <c r="E33" i="42"/>
  <c r="G33" i="42"/>
  <c r="E39" i="42"/>
  <c r="E42" i="42"/>
  <c r="K39" i="42"/>
  <c r="M39" i="42" s="1"/>
  <c r="K40" i="42"/>
  <c r="M40" i="42" s="1"/>
  <c r="G42" i="42"/>
  <c r="I42" i="42"/>
  <c r="G13" i="41"/>
  <c r="G14" i="41"/>
  <c r="E15" i="41"/>
  <c r="G18" i="41"/>
  <c r="G20" i="41" s="1"/>
  <c r="I20" i="41" s="1"/>
  <c r="G19" i="41"/>
  <c r="E20" i="41"/>
  <c r="I22" i="41"/>
  <c r="I24" i="41"/>
  <c r="G28" i="41"/>
  <c r="I28" i="41" s="1"/>
  <c r="I33" i="41"/>
  <c r="G39" i="41"/>
  <c r="G44" i="41"/>
  <c r="I44" i="41" s="1"/>
  <c r="E44" i="41"/>
  <c r="G47" i="41"/>
  <c r="G52" i="41"/>
  <c r="I52" i="41" s="1"/>
  <c r="E52" i="41"/>
  <c r="G56" i="41"/>
  <c r="G60" i="41"/>
  <c r="E60" i="41"/>
  <c r="G69" i="41"/>
  <c r="G73" i="41" s="1"/>
  <c r="I73" i="41" s="1"/>
  <c r="E73" i="41"/>
  <c r="G76" i="41"/>
  <c r="G80" i="41" s="1"/>
  <c r="I80" i="41" s="1"/>
  <c r="E80" i="41"/>
  <c r="G83" i="41"/>
  <c r="G86" i="41"/>
  <c r="I86" i="41" s="1"/>
  <c r="E86" i="41"/>
  <c r="G89" i="41"/>
  <c r="G92" i="41"/>
  <c r="E93" i="41"/>
  <c r="G96" i="41"/>
  <c r="G98" i="41"/>
  <c r="E99" i="41"/>
  <c r="I101" i="41"/>
  <c r="I104" i="41"/>
  <c r="I105" i="41"/>
  <c r="E106" i="41"/>
  <c r="G106" i="41"/>
  <c r="I116" i="41"/>
  <c r="I117" i="41"/>
  <c r="I118" i="41"/>
  <c r="I119" i="41"/>
  <c r="I120" i="41"/>
  <c r="I121" i="41"/>
  <c r="E122" i="41"/>
  <c r="E123" i="41" s="1"/>
  <c r="G122" i="41"/>
  <c r="G147" i="41"/>
  <c r="A4" i="40"/>
  <c r="M11" i="40"/>
  <c r="M15" i="40"/>
  <c r="M17" i="40"/>
  <c r="E18" i="40"/>
  <c r="G18" i="40"/>
  <c r="G20" i="40"/>
  <c r="I18" i="40"/>
  <c r="I20" i="40" s="1"/>
  <c r="K18" i="40"/>
  <c r="K20" i="40"/>
  <c r="G13" i="39"/>
  <c r="G17" i="39" s="1"/>
  <c r="E17" i="39"/>
  <c r="G21" i="39"/>
  <c r="G24" i="39" s="1"/>
  <c r="I24" i="39" s="1"/>
  <c r="E24" i="39"/>
  <c r="G29" i="39"/>
  <c r="G32" i="39"/>
  <c r="E32" i="39"/>
  <c r="G35" i="39"/>
  <c r="G37" i="39"/>
  <c r="G39" i="39"/>
  <c r="E40" i="39"/>
  <c r="I42" i="39"/>
  <c r="A5" i="38"/>
  <c r="L12" i="38"/>
  <c r="N12" i="38" s="1"/>
  <c r="N22" i="38" s="1"/>
  <c r="L16" i="38"/>
  <c r="N16" i="38"/>
  <c r="N18" i="38"/>
  <c r="N20" i="38" s="1"/>
  <c r="F20" i="38"/>
  <c r="F22" i="38" s="1"/>
  <c r="H20" i="38"/>
  <c r="H22" i="38"/>
  <c r="J20" i="38"/>
  <c r="J22" i="38" s="1"/>
  <c r="J25" i="38" s="1"/>
  <c r="A5" i="37"/>
  <c r="A54" i="37" s="1"/>
  <c r="M12" i="37"/>
  <c r="M14" i="37"/>
  <c r="E15" i="37"/>
  <c r="I15" i="37"/>
  <c r="M16" i="37"/>
  <c r="E17" i="37"/>
  <c r="I17" i="37"/>
  <c r="K17" i="37" s="1"/>
  <c r="M18" i="37"/>
  <c r="K19" i="37"/>
  <c r="M19" i="37"/>
  <c r="K20" i="37"/>
  <c r="M20" i="37" s="1"/>
  <c r="G21" i="37"/>
  <c r="M25" i="37"/>
  <c r="M26" i="37"/>
  <c r="K27" i="37"/>
  <c r="M27" i="37"/>
  <c r="E28" i="37"/>
  <c r="I28" i="37"/>
  <c r="K28" i="37" s="1"/>
  <c r="G29" i="37"/>
  <c r="M36" i="37"/>
  <c r="M38" i="37"/>
  <c r="K40" i="37"/>
  <c r="M40" i="37"/>
  <c r="E42" i="37"/>
  <c r="G42" i="37"/>
  <c r="I42" i="37"/>
  <c r="L13" i="36"/>
  <c r="N13" i="36"/>
  <c r="L15" i="36"/>
  <c r="N15" i="36" s="1"/>
  <c r="N16" i="36" s="1"/>
  <c r="N23" i="36" s="1"/>
  <c r="F16" i="36"/>
  <c r="F23" i="36"/>
  <c r="G16" i="36"/>
  <c r="G23" i="36" s="1"/>
  <c r="G44" i="36" s="1"/>
  <c r="G60" i="36" s="1"/>
  <c r="H16" i="36"/>
  <c r="H23" i="36"/>
  <c r="I16" i="36"/>
  <c r="I23" i="36" s="1"/>
  <c r="J16" i="36"/>
  <c r="K16" i="36"/>
  <c r="K23" i="36" s="1"/>
  <c r="K44" i="36" s="1"/>
  <c r="M16" i="36"/>
  <c r="M23" i="36"/>
  <c r="J19" i="36"/>
  <c r="N19" i="36"/>
  <c r="L22" i="36"/>
  <c r="N22" i="36"/>
  <c r="H29" i="36"/>
  <c r="J29" i="36"/>
  <c r="J32" i="36" s="1"/>
  <c r="L30" i="36"/>
  <c r="N30" i="36"/>
  <c r="L31" i="36"/>
  <c r="N31" i="36" s="1"/>
  <c r="F32" i="36"/>
  <c r="G32" i="36"/>
  <c r="G42" i="36" s="1"/>
  <c r="I32" i="36"/>
  <c r="K32" i="36"/>
  <c r="M32" i="36"/>
  <c r="N35" i="36"/>
  <c r="N36" i="36"/>
  <c r="F37" i="36"/>
  <c r="G37" i="36"/>
  <c r="H37" i="36"/>
  <c r="I37" i="36"/>
  <c r="J37" i="36"/>
  <c r="K37" i="36"/>
  <c r="L37" i="36"/>
  <c r="M37" i="36"/>
  <c r="L40" i="36"/>
  <c r="N40" i="36"/>
  <c r="N41" i="36"/>
  <c r="F41" i="36"/>
  <c r="G41" i="36"/>
  <c r="H41" i="36"/>
  <c r="I41" i="36"/>
  <c r="J41" i="36"/>
  <c r="K41" i="36"/>
  <c r="M41" i="36"/>
  <c r="N53" i="36"/>
  <c r="N57" i="36" s="1"/>
  <c r="F57" i="36"/>
  <c r="G57" i="36"/>
  <c r="H57" i="36"/>
  <c r="I57" i="36"/>
  <c r="J57" i="36"/>
  <c r="K57" i="36"/>
  <c r="L57" i="36"/>
  <c r="M57" i="36"/>
  <c r="J62" i="36"/>
  <c r="I13" i="33"/>
  <c r="I14" i="33"/>
  <c r="E14" i="33"/>
  <c r="G14" i="33"/>
  <c r="G20" i="33"/>
  <c r="G21" i="33"/>
  <c r="G23" i="33" s="1"/>
  <c r="G28" i="33" s="1"/>
  <c r="E21" i="33"/>
  <c r="G27" i="33"/>
  <c r="I13" i="32"/>
  <c r="I14" i="32"/>
  <c r="E14" i="32"/>
  <c r="G14" i="32"/>
  <c r="I20" i="32"/>
  <c r="I21" i="32"/>
  <c r="E21" i="32"/>
  <c r="G21" i="32"/>
  <c r="I12" i="31"/>
  <c r="I13" i="31"/>
  <c r="E14" i="31"/>
  <c r="G14" i="31"/>
  <c r="I19" i="31"/>
  <c r="I20" i="31"/>
  <c r="E20" i="31"/>
  <c r="E22" i="31" s="1"/>
  <c r="G20" i="31"/>
  <c r="G26" i="31"/>
  <c r="I13" i="30"/>
  <c r="I15" i="30" s="1"/>
  <c r="I14" i="30"/>
  <c r="E15" i="30"/>
  <c r="E18" i="30"/>
  <c r="G15" i="30"/>
  <c r="G18" i="30" s="1"/>
  <c r="I17" i="30"/>
  <c r="I23" i="30"/>
  <c r="I24" i="30"/>
  <c r="E25" i="30"/>
  <c r="G25" i="30"/>
  <c r="I12" i="29"/>
  <c r="I13" i="29"/>
  <c r="E13" i="29"/>
  <c r="G13" i="29"/>
  <c r="I16" i="29"/>
  <c r="I17" i="29"/>
  <c r="I18" i="29"/>
  <c r="I19" i="29"/>
  <c r="I20" i="29"/>
  <c r="I21" i="29"/>
  <c r="I22" i="29"/>
  <c r="E23" i="29"/>
  <c r="E25" i="29"/>
  <c r="E32" i="29"/>
  <c r="G23" i="29"/>
  <c r="I28" i="29"/>
  <c r="I30" i="29"/>
  <c r="G34" i="29"/>
  <c r="G35" i="29" s="1"/>
  <c r="A5" i="28"/>
  <c r="K10" i="28"/>
  <c r="L10" i="28" s="1"/>
  <c r="K11" i="28"/>
  <c r="L11" i="28" s="1"/>
  <c r="I12" i="28"/>
  <c r="I18" i="28" s="1"/>
  <c r="J12" i="28"/>
  <c r="J16" i="28"/>
  <c r="K17" i="28"/>
  <c r="L17" i="28" s="1"/>
  <c r="B18" i="28"/>
  <c r="C18" i="28"/>
  <c r="D18" i="28"/>
  <c r="E18" i="28"/>
  <c r="K23" i="28"/>
  <c r="K25" i="28"/>
  <c r="B28" i="28"/>
  <c r="C28" i="28"/>
  <c r="D28" i="28"/>
  <c r="E28" i="28"/>
  <c r="F28" i="28"/>
  <c r="J28" i="28"/>
  <c r="J32" i="28"/>
  <c r="K32" i="28" s="1"/>
  <c r="K33" i="28"/>
  <c r="K34" i="28"/>
  <c r="B35" i="28"/>
  <c r="C35" i="28"/>
  <c r="D35" i="28"/>
  <c r="E35" i="28"/>
  <c r="F35" i="28"/>
  <c r="I35" i="28"/>
  <c r="I38" i="28"/>
  <c r="K38" i="28" s="1"/>
  <c r="K39" i="28"/>
  <c r="B40" i="28"/>
  <c r="C40" i="28"/>
  <c r="D40" i="28"/>
  <c r="E40" i="28"/>
  <c r="F40" i="28"/>
  <c r="J40" i="28"/>
  <c r="A5" i="27"/>
  <c r="B10" i="27"/>
  <c r="I10" i="27"/>
  <c r="J10" i="27"/>
  <c r="K11" i="27"/>
  <c r="K12" i="27"/>
  <c r="J14" i="27"/>
  <c r="K14" i="27" s="1"/>
  <c r="C15" i="27"/>
  <c r="D15" i="27"/>
  <c r="E15" i="27"/>
  <c r="K19" i="27"/>
  <c r="K20" i="27"/>
  <c r="B23" i="27"/>
  <c r="C23" i="27"/>
  <c r="D23" i="27"/>
  <c r="E23" i="27"/>
  <c r="F23" i="27"/>
  <c r="I23" i="27"/>
  <c r="J23" i="27"/>
  <c r="B27" i="27"/>
  <c r="C27" i="27"/>
  <c r="D27" i="27"/>
  <c r="E27" i="27"/>
  <c r="F27" i="27"/>
  <c r="I27" i="27"/>
  <c r="J27" i="27"/>
  <c r="K27" i="27"/>
  <c r="K31" i="27"/>
  <c r="K32" i="27"/>
  <c r="K33" i="27"/>
  <c r="K38" i="27"/>
  <c r="K39" i="27"/>
  <c r="B40" i="27"/>
  <c r="K40" i="27"/>
  <c r="C41" i="27"/>
  <c r="D41" i="27"/>
  <c r="E41" i="27"/>
  <c r="F41" i="27"/>
  <c r="I41" i="27"/>
  <c r="J41" i="27"/>
  <c r="I12" i="26"/>
  <c r="I17" i="26"/>
  <c r="E19" i="26"/>
  <c r="E26" i="26"/>
  <c r="G19" i="26"/>
  <c r="G26" i="26"/>
  <c r="G32" i="26" s="1"/>
  <c r="G35" i="26"/>
  <c r="I23" i="26"/>
  <c r="I26" i="26" s="1"/>
  <c r="I32" i="26" s="1"/>
  <c r="I28" i="26"/>
  <c r="G12" i="25"/>
  <c r="G14" i="25" s="1"/>
  <c r="I14" i="25" s="1"/>
  <c r="G13" i="25"/>
  <c r="E14" i="25"/>
  <c r="G17" i="25"/>
  <c r="G18" i="25"/>
  <c r="G19" i="25"/>
  <c r="G20" i="25"/>
  <c r="G21" i="25" s="1"/>
  <c r="E21" i="25"/>
  <c r="G24" i="25"/>
  <c r="G26" i="25" s="1"/>
  <c r="I26" i="25" s="1"/>
  <c r="G25" i="25"/>
  <c r="E26" i="25"/>
  <c r="G32" i="25"/>
  <c r="I32" i="25" s="1"/>
  <c r="G38" i="25"/>
  <c r="G41" i="25"/>
  <c r="E42" i="25"/>
  <c r="E49" i="25"/>
  <c r="G49" i="25"/>
  <c r="I49" i="25" s="1"/>
  <c r="G58" i="25"/>
  <c r="E60" i="25"/>
  <c r="E62" i="25"/>
  <c r="Q52" i="25" s="1"/>
  <c r="G62" i="25"/>
  <c r="G68" i="25"/>
  <c r="E68" i="25"/>
  <c r="G78" i="25"/>
  <c r="G83" i="25"/>
  <c r="G87" i="25"/>
  <c r="G89" i="25" s="1"/>
  <c r="G105" i="25"/>
  <c r="G114" i="25"/>
  <c r="G119" i="25"/>
  <c r="G124" i="25"/>
  <c r="G129" i="25"/>
  <c r="O128" i="25"/>
  <c r="G138" i="25"/>
  <c r="G139" i="25"/>
  <c r="G144" i="25"/>
  <c r="G147" i="25" s="1"/>
  <c r="G153" i="25"/>
  <c r="G158" i="25"/>
  <c r="G165" i="25"/>
  <c r="G168" i="25"/>
  <c r="G170" i="25" s="1"/>
  <c r="G180" i="25"/>
  <c r="G186" i="25"/>
  <c r="G189" i="25"/>
  <c r="G192" i="25" s="1"/>
  <c r="E193" i="25"/>
  <c r="G198" i="25"/>
  <c r="G201" i="25" s="1"/>
  <c r="G204" i="25" s="1"/>
  <c r="I204" i="25" s="1"/>
  <c r="G214" i="25"/>
  <c r="G221" i="25"/>
  <c r="G227" i="25"/>
  <c r="G233" i="25"/>
  <c r="G236" i="25"/>
  <c r="G240" i="25" s="1"/>
  <c r="G245" i="25"/>
  <c r="E247" i="25"/>
  <c r="G257" i="25"/>
  <c r="G263" i="25"/>
  <c r="G268" i="25"/>
  <c r="G273" i="25"/>
  <c r="G278" i="25"/>
  <c r="G283" i="25"/>
  <c r="G286" i="25"/>
  <c r="G288" i="25" s="1"/>
  <c r="G296" i="25"/>
  <c r="G302" i="25"/>
  <c r="G306" i="25"/>
  <c r="G311" i="25"/>
  <c r="G313" i="25" s="1"/>
  <c r="G316" i="25"/>
  <c r="G325" i="25"/>
  <c r="G328" i="25"/>
  <c r="G330" i="25" s="1"/>
  <c r="G338" i="25"/>
  <c r="G341" i="25"/>
  <c r="G344" i="25" s="1"/>
  <c r="G342" i="25"/>
  <c r="G348" i="25"/>
  <c r="G350" i="25" s="1"/>
  <c r="G360" i="25"/>
  <c r="G366" i="25"/>
  <c r="G369" i="25" s="1"/>
  <c r="G379" i="25"/>
  <c r="G383" i="25" s="1"/>
  <c r="G387" i="25"/>
  <c r="G388" i="25"/>
  <c r="G391" i="25" s="1"/>
  <c r="J391" i="25" s="1"/>
  <c r="E395" i="25"/>
  <c r="E398" i="25"/>
  <c r="E399" i="25" s="1"/>
  <c r="G398" i="25"/>
  <c r="I410" i="25"/>
  <c r="I412" i="25"/>
  <c r="I413" i="25"/>
  <c r="I414" i="25"/>
  <c r="I415" i="25"/>
  <c r="E423" i="25"/>
  <c r="G423" i="25"/>
  <c r="G429" i="25"/>
  <c r="C9" i="23"/>
  <c r="C12" i="23" s="1"/>
  <c r="I9" i="23"/>
  <c r="I11" i="23"/>
  <c r="E12" i="23"/>
  <c r="G12" i="23"/>
  <c r="K12" i="23"/>
  <c r="K14" i="23"/>
  <c r="B11" i="22"/>
  <c r="D11" i="22"/>
  <c r="D13" i="22"/>
  <c r="B14" i="22"/>
  <c r="F14" i="22"/>
  <c r="F16" i="22" s="1"/>
  <c r="B15" i="22"/>
  <c r="D15" i="22"/>
  <c r="D23" i="22"/>
  <c r="H16" i="22"/>
  <c r="H18" i="22" s="1"/>
  <c r="J16" i="22"/>
  <c r="F21" i="22"/>
  <c r="B22" i="22"/>
  <c r="B25" i="22" s="1"/>
  <c r="B27" i="22" s="1"/>
  <c r="D22" i="22"/>
  <c r="D25" i="22" s="1"/>
  <c r="D27" i="22" s="1"/>
  <c r="F23" i="22"/>
  <c r="H23" i="22"/>
  <c r="H25" i="22"/>
  <c r="H27" i="22" s="1"/>
  <c r="J23" i="22"/>
  <c r="J25" i="22" s="1"/>
  <c r="J29" i="22"/>
  <c r="J31" i="22"/>
  <c r="B9" i="21"/>
  <c r="H10" i="21"/>
  <c r="J10" i="21"/>
  <c r="G7" i="20"/>
  <c r="C8" i="20"/>
  <c r="E8" i="20"/>
  <c r="G8" i="20"/>
  <c r="C9" i="20"/>
  <c r="E9" i="20"/>
  <c r="G9" i="20"/>
  <c r="E10" i="20"/>
  <c r="C11" i="20"/>
  <c r="E11" i="20"/>
  <c r="G11" i="20"/>
  <c r="C12" i="20"/>
  <c r="E12" i="20"/>
  <c r="G12" i="20"/>
  <c r="G15" i="20" s="1"/>
  <c r="C13" i="20"/>
  <c r="E13" i="20"/>
  <c r="G13" i="20"/>
  <c r="K15" i="20"/>
  <c r="O7" i="19"/>
  <c r="M7" i="19" s="1"/>
  <c r="K7" i="19" s="1"/>
  <c r="I7" i="19" s="1"/>
  <c r="G7" i="19" s="1"/>
  <c r="E7" i="19" s="1"/>
  <c r="C7" i="19" s="1"/>
  <c r="M10" i="19"/>
  <c r="M11" i="19"/>
  <c r="C11" i="19"/>
  <c r="E11" i="19"/>
  <c r="G11" i="19"/>
  <c r="I11" i="19"/>
  <c r="K11" i="19"/>
  <c r="O11" i="19"/>
  <c r="Q11" i="19"/>
  <c r="E10" i="18"/>
  <c r="D11" i="17"/>
  <c r="H11" i="17"/>
  <c r="J11" i="17"/>
  <c r="L11" i="17"/>
  <c r="N11" i="17"/>
  <c r="D15" i="17"/>
  <c r="H15" i="17"/>
  <c r="J15" i="17"/>
  <c r="L15" i="17"/>
  <c r="N15" i="17"/>
  <c r="P15" i="17"/>
  <c r="R15" i="17"/>
  <c r="E10" i="16"/>
  <c r="E11" i="16"/>
  <c r="E13" i="16" s="1"/>
  <c r="C13" i="16"/>
  <c r="G13" i="16"/>
  <c r="I13" i="16"/>
  <c r="K13" i="16"/>
  <c r="M13" i="16"/>
  <c r="O13" i="16"/>
  <c r="Q13" i="16"/>
  <c r="M14" i="16"/>
  <c r="C11" i="15"/>
  <c r="E11" i="15"/>
  <c r="G11" i="15"/>
  <c r="I11" i="15"/>
  <c r="K11" i="15"/>
  <c r="C15" i="15"/>
  <c r="E15" i="15"/>
  <c r="G15" i="15"/>
  <c r="I15" i="15"/>
  <c r="K15" i="15"/>
  <c r="O15" i="15"/>
  <c r="Q15" i="15"/>
  <c r="K10" i="14"/>
  <c r="K11" i="14"/>
  <c r="K12" i="14"/>
  <c r="O13" i="14"/>
  <c r="C13" i="14"/>
  <c r="E13" i="14"/>
  <c r="G13" i="14"/>
  <c r="I13" i="14"/>
  <c r="K13" i="14"/>
  <c r="Q13" i="14"/>
  <c r="K14" i="14"/>
  <c r="A5" i="13"/>
  <c r="H18" i="13"/>
  <c r="H22" i="13"/>
  <c r="J18" i="13"/>
  <c r="J22" i="13"/>
  <c r="H29" i="13"/>
  <c r="J29" i="13"/>
  <c r="H35" i="13"/>
  <c r="H36" i="13" s="1"/>
  <c r="J35" i="13"/>
  <c r="A38" i="13"/>
  <c r="A5" i="12"/>
  <c r="E14" i="12"/>
  <c r="E17" i="12"/>
  <c r="E18" i="12"/>
  <c r="G19" i="12"/>
  <c r="E24" i="12"/>
  <c r="E28" i="12" s="1"/>
  <c r="E30" i="12" s="1"/>
  <c r="G24" i="12"/>
  <c r="A32" i="12"/>
  <c r="A5" i="11"/>
  <c r="F13" i="11"/>
  <c r="I13" i="11"/>
  <c r="E14" i="11"/>
  <c r="F14" i="11"/>
  <c r="E15" i="11"/>
  <c r="F15" i="11"/>
  <c r="H15" i="11"/>
  <c r="H19" i="11"/>
  <c r="I16" i="11"/>
  <c r="F17" i="11"/>
  <c r="I17" i="11" s="1"/>
  <c r="F18" i="11"/>
  <c r="I18" i="11"/>
  <c r="I22" i="11"/>
  <c r="I26" i="11"/>
  <c r="H28" i="11"/>
  <c r="H35" i="11"/>
  <c r="I30" i="11"/>
  <c r="I32" i="11"/>
  <c r="F33" i="11"/>
  <c r="I33" i="11"/>
  <c r="E35" i="11"/>
  <c r="F38" i="11"/>
  <c r="I38" i="11"/>
  <c r="E43" i="11"/>
  <c r="F43" i="11"/>
  <c r="F62" i="11"/>
  <c r="I63" i="11"/>
  <c r="I65" i="11"/>
  <c r="E68" i="11"/>
  <c r="F68" i="11"/>
  <c r="I69" i="11"/>
  <c r="E70" i="11"/>
  <c r="I70" i="11" s="1"/>
  <c r="F70" i="11"/>
  <c r="E71" i="11"/>
  <c r="G68" i="39"/>
  <c r="F71" i="11"/>
  <c r="G141" i="41" s="1"/>
  <c r="H71" i="11"/>
  <c r="G65" i="43"/>
  <c r="E72" i="11"/>
  <c r="G71" i="39"/>
  <c r="F72" i="11"/>
  <c r="G144" i="41"/>
  <c r="E73" i="11"/>
  <c r="G69" i="39" s="1"/>
  <c r="F73" i="11"/>
  <c r="G142" i="41"/>
  <c r="H73" i="11"/>
  <c r="H82" i="11" s="1"/>
  <c r="E74" i="11"/>
  <c r="G72" i="39"/>
  <c r="F74" i="11"/>
  <c r="G145" i="41" s="1"/>
  <c r="E75" i="11"/>
  <c r="G70" i="39"/>
  <c r="F75" i="11"/>
  <c r="H75" i="11"/>
  <c r="G66" i="43"/>
  <c r="E76" i="11"/>
  <c r="G73" i="39" s="1"/>
  <c r="F76" i="11"/>
  <c r="G146" i="41"/>
  <c r="E78" i="11"/>
  <c r="F78" i="11"/>
  <c r="I78" i="11" s="1"/>
  <c r="H78" i="11"/>
  <c r="F80" i="11"/>
  <c r="I80" i="11"/>
  <c r="F81" i="11"/>
  <c r="I81" i="11" s="1"/>
  <c r="A85" i="11"/>
  <c r="A5" i="10"/>
  <c r="B10" i="10"/>
  <c r="C10" i="10"/>
  <c r="C13" i="10"/>
  <c r="E10" i="10"/>
  <c r="E13" i="10" s="1"/>
  <c r="F11" i="10"/>
  <c r="F12" i="10"/>
  <c r="B16" i="10"/>
  <c r="B28" i="10" s="1"/>
  <c r="K35" i="57" s="1"/>
  <c r="C16" i="10"/>
  <c r="E16" i="10"/>
  <c r="E28" i="10"/>
  <c r="C17" i="10"/>
  <c r="F17" i="10"/>
  <c r="C18" i="10"/>
  <c r="F18" i="10"/>
  <c r="F19" i="10"/>
  <c r="F20" i="10"/>
  <c r="F21" i="10"/>
  <c r="F22" i="10"/>
  <c r="F23" i="10"/>
  <c r="F24" i="10"/>
  <c r="B25" i="10"/>
  <c r="F25" i="10"/>
  <c r="F26" i="10"/>
  <c r="F27" i="10"/>
  <c r="F32" i="10"/>
  <c r="B33" i="10"/>
  <c r="F33" i="10" s="1"/>
  <c r="F34" i="10"/>
  <c r="C35" i="10"/>
  <c r="C36" i="10"/>
  <c r="E36" i="10"/>
  <c r="C38" i="10"/>
  <c r="F38" i="10"/>
  <c r="F39" i="10"/>
  <c r="C41" i="10"/>
  <c r="F41" i="10"/>
  <c r="B42" i="10"/>
  <c r="C42" i="10"/>
  <c r="E42" i="10"/>
  <c r="A45" i="10"/>
  <c r="A5" i="9"/>
  <c r="B11" i="9"/>
  <c r="C11" i="9"/>
  <c r="E11" i="9"/>
  <c r="E15" i="9"/>
  <c r="C12" i="9"/>
  <c r="C15" i="9" s="1"/>
  <c r="F13" i="9"/>
  <c r="F14" i="9"/>
  <c r="E18" i="9"/>
  <c r="C18" i="9" s="1"/>
  <c r="F18" i="9" s="1"/>
  <c r="C20" i="9"/>
  <c r="C21" i="9"/>
  <c r="F21" i="9" s="1"/>
  <c r="B22" i="9"/>
  <c r="B23" i="9"/>
  <c r="E22" i="9"/>
  <c r="E23" i="9" s="1"/>
  <c r="E24" i="9" s="1"/>
  <c r="C30" i="9"/>
  <c r="C34" i="9"/>
  <c r="E30" i="9"/>
  <c r="E34" i="9"/>
  <c r="F31" i="9"/>
  <c r="F32" i="9"/>
  <c r="F33" i="9"/>
  <c r="B34" i="9"/>
  <c r="F34" i="9" s="1"/>
  <c r="F38" i="9"/>
  <c r="C39" i="9"/>
  <c r="E39" i="9"/>
  <c r="F40" i="9"/>
  <c r="F41" i="9"/>
  <c r="B42" i="9"/>
  <c r="C42" i="9"/>
  <c r="C45" i="9" s="1"/>
  <c r="C46" i="9" s="1"/>
  <c r="E42" i="9"/>
  <c r="B43" i="9"/>
  <c r="C43" i="9"/>
  <c r="F44" i="9"/>
  <c r="F51" i="9"/>
  <c r="I53" i="9"/>
  <c r="A55" i="9"/>
  <c r="A5" i="8"/>
  <c r="F13" i="8"/>
  <c r="G13" i="8"/>
  <c r="E14" i="8"/>
  <c r="F14" i="8"/>
  <c r="G14" i="8"/>
  <c r="G22" i="8" s="1"/>
  <c r="E15" i="8"/>
  <c r="F15" i="8"/>
  <c r="G15" i="8"/>
  <c r="H15" i="8" s="1"/>
  <c r="H16" i="8"/>
  <c r="F17" i="8"/>
  <c r="G17" i="8"/>
  <c r="E18" i="8"/>
  <c r="F18" i="8"/>
  <c r="G18" i="8"/>
  <c r="F20" i="8"/>
  <c r="G20" i="8"/>
  <c r="H20" i="8" s="1"/>
  <c r="F21" i="8"/>
  <c r="F27" i="8"/>
  <c r="F28" i="8"/>
  <c r="F29" i="8"/>
  <c r="G29" i="8"/>
  <c r="H29" i="8" s="1"/>
  <c r="E30" i="8"/>
  <c r="E39" i="8"/>
  <c r="F30" i="8"/>
  <c r="G30" i="8"/>
  <c r="H31" i="8"/>
  <c r="H44" i="8"/>
  <c r="H50" i="8" s="1"/>
  <c r="H45" i="8"/>
  <c r="H46" i="8"/>
  <c r="H47" i="8"/>
  <c r="H48" i="8"/>
  <c r="G49" i="8"/>
  <c r="G50" i="8" s="1"/>
  <c r="E50" i="8"/>
  <c r="F50" i="8"/>
  <c r="G56" i="8"/>
  <c r="A66" i="8"/>
  <c r="A3" i="7"/>
  <c r="A6" i="7"/>
  <c r="A5" i="25"/>
  <c r="A5" i="54" s="1"/>
  <c r="F13" i="7"/>
  <c r="F21" i="7"/>
  <c r="F23" i="7"/>
  <c r="A34" i="7"/>
  <c r="A5" i="6"/>
  <c r="B10" i="6"/>
  <c r="I32" i="52" s="1"/>
  <c r="I40" i="52" s="1"/>
  <c r="E11" i="6"/>
  <c r="B12" i="6"/>
  <c r="E13" i="6"/>
  <c r="E14" i="6"/>
  <c r="B15" i="6"/>
  <c r="E15" i="6" s="1"/>
  <c r="E16" i="6"/>
  <c r="B17" i="6"/>
  <c r="E17" i="6" s="1"/>
  <c r="D19" i="6"/>
  <c r="E23" i="6"/>
  <c r="G27" i="8"/>
  <c r="H27" i="8" s="1"/>
  <c r="D24" i="6"/>
  <c r="B25" i="6"/>
  <c r="E25" i="6"/>
  <c r="E26" i="6"/>
  <c r="E27" i="6"/>
  <c r="E28" i="6"/>
  <c r="E30" i="6"/>
  <c r="D31" i="6"/>
  <c r="D37" i="6" s="1"/>
  <c r="E33" i="6"/>
  <c r="E34" i="6"/>
  <c r="E35" i="6"/>
  <c r="E36" i="6"/>
  <c r="D41" i="6"/>
  <c r="E44" i="6"/>
  <c r="E45" i="6"/>
  <c r="E46" i="6"/>
  <c r="B47" i="6"/>
  <c r="E47" i="6" s="1"/>
  <c r="D51" i="6"/>
  <c r="E52" i="6"/>
  <c r="B54" i="6"/>
  <c r="E54" i="6" s="1"/>
  <c r="A57" i="6"/>
  <c r="A5" i="5"/>
  <c r="A62" i="5" s="1"/>
  <c r="E11" i="5"/>
  <c r="D12" i="5"/>
  <c r="D13" i="5"/>
  <c r="E13" i="5" s="1"/>
  <c r="E14" i="5"/>
  <c r="B15" i="5"/>
  <c r="E15" i="5" s="1"/>
  <c r="E20" i="5"/>
  <c r="E21" i="5"/>
  <c r="E22" i="5"/>
  <c r="D23" i="5"/>
  <c r="E23" i="5" s="1"/>
  <c r="B25" i="5"/>
  <c r="E25" i="5" s="1"/>
  <c r="D28" i="5"/>
  <c r="E28" i="5" s="1"/>
  <c r="B32" i="5"/>
  <c r="B6" i="58" s="1"/>
  <c r="B35" i="5"/>
  <c r="E35" i="5" s="1"/>
  <c r="D35" i="5"/>
  <c r="D51" i="5" s="1"/>
  <c r="E36" i="5"/>
  <c r="E37" i="5"/>
  <c r="E38" i="5"/>
  <c r="E39" i="5"/>
  <c r="E42" i="5"/>
  <c r="E44" i="5"/>
  <c r="E45" i="5"/>
  <c r="E47" i="5"/>
  <c r="E48" i="5"/>
  <c r="E49" i="5"/>
  <c r="E67" i="5"/>
  <c r="E73" i="5"/>
  <c r="E74" i="5"/>
  <c r="E75" i="5"/>
  <c r="E77" i="5"/>
  <c r="E79" i="5"/>
  <c r="E80" i="5"/>
  <c r="A84" i="5"/>
  <c r="C11" i="4"/>
  <c r="C19" i="4"/>
  <c r="F12" i="4"/>
  <c r="H12" i="4"/>
  <c r="B13" i="4"/>
  <c r="F13" i="4"/>
  <c r="H13" i="4" s="1"/>
  <c r="B14" i="4"/>
  <c r="F14" i="4"/>
  <c r="H14" i="4"/>
  <c r="B15" i="4"/>
  <c r="D15" i="4"/>
  <c r="D19" i="4"/>
  <c r="B16" i="4"/>
  <c r="F16" i="4" s="1"/>
  <c r="H16" i="4" s="1"/>
  <c r="B17" i="4"/>
  <c r="F17" i="4"/>
  <c r="F18" i="4"/>
  <c r="H18" i="4"/>
  <c r="E19" i="4"/>
  <c r="G19" i="4"/>
  <c r="B22" i="4"/>
  <c r="G22" i="4" s="1"/>
  <c r="B23" i="4"/>
  <c r="C23" i="4"/>
  <c r="E23" i="4"/>
  <c r="E24" i="4"/>
  <c r="D24" i="4"/>
  <c r="F24" i="4"/>
  <c r="B28" i="4"/>
  <c r="I28" i="4"/>
  <c r="I31" i="4"/>
  <c r="B29" i="4"/>
  <c r="B31" i="4" s="1"/>
  <c r="B30" i="4"/>
  <c r="K30" i="4" s="1"/>
  <c r="K31" i="4" s="1"/>
  <c r="F35" i="4"/>
  <c r="H35" i="4" s="1"/>
  <c r="F36" i="4"/>
  <c r="H36" i="4"/>
  <c r="F37" i="4"/>
  <c r="H37" i="4" s="1"/>
  <c r="H38" i="4"/>
  <c r="G39" i="4"/>
  <c r="G44" i="4"/>
  <c r="H40" i="4"/>
  <c r="H42" i="4"/>
  <c r="H43" i="4"/>
  <c r="I44" i="4"/>
  <c r="J44" i="4"/>
  <c r="K44" i="4"/>
  <c r="G48" i="4"/>
  <c r="G50" i="4" s="1"/>
  <c r="F48" i="4"/>
  <c r="F50" i="4" s="1"/>
  <c r="I48" i="4"/>
  <c r="I50" i="4"/>
  <c r="J50" i="4"/>
  <c r="H49" i="4"/>
  <c r="K50" i="4"/>
  <c r="A54" i="4"/>
  <c r="B11" i="3"/>
  <c r="F11" i="3"/>
  <c r="H11" i="3" s="1"/>
  <c r="F12" i="3"/>
  <c r="H12" i="3" s="1"/>
  <c r="F13" i="3"/>
  <c r="H13" i="3"/>
  <c r="F14" i="3"/>
  <c r="H14" i="3" s="1"/>
  <c r="D15" i="3"/>
  <c r="D19" i="3" s="1"/>
  <c r="F16" i="3"/>
  <c r="F17" i="3"/>
  <c r="H17" i="3" s="1"/>
  <c r="F18" i="3"/>
  <c r="H18" i="3" s="1"/>
  <c r="C19" i="3"/>
  <c r="E19" i="3"/>
  <c r="G19" i="3"/>
  <c r="G22" i="3"/>
  <c r="C23" i="3"/>
  <c r="C24" i="3" s="1"/>
  <c r="C25" i="3" s="1"/>
  <c r="D23" i="3"/>
  <c r="D24" i="3"/>
  <c r="E23" i="3"/>
  <c r="E24" i="3"/>
  <c r="E25" i="3" s="1"/>
  <c r="B24" i="3"/>
  <c r="B25" i="3" s="1"/>
  <c r="F24" i="3"/>
  <c r="B28" i="3"/>
  <c r="I28" i="3" s="1"/>
  <c r="I30" i="3" s="1"/>
  <c r="I44" i="3" s="1"/>
  <c r="I46" i="3" s="1"/>
  <c r="B29" i="3"/>
  <c r="J29" i="3" s="1"/>
  <c r="J30" i="3"/>
  <c r="C30" i="3"/>
  <c r="D30" i="3"/>
  <c r="E30" i="3"/>
  <c r="F34" i="3"/>
  <c r="F35" i="3"/>
  <c r="H35" i="3"/>
  <c r="H36" i="3"/>
  <c r="H37" i="3"/>
  <c r="F38" i="3"/>
  <c r="H38" i="3"/>
  <c r="F39" i="3"/>
  <c r="H39" i="3" s="1"/>
  <c r="G40" i="3"/>
  <c r="H41" i="3"/>
  <c r="H42" i="3"/>
  <c r="G43" i="3"/>
  <c r="I43" i="3"/>
  <c r="J43" i="3"/>
  <c r="F45" i="3"/>
  <c r="H45" i="3" s="1"/>
  <c r="G45" i="3"/>
  <c r="A49" i="3"/>
  <c r="C10" i="1"/>
  <c r="F10" i="1"/>
  <c r="B12" i="1"/>
  <c r="D13" i="1"/>
  <c r="B14" i="1"/>
  <c r="D15" i="1"/>
  <c r="C16" i="1"/>
  <c r="D17" i="1"/>
  <c r="B18" i="1"/>
  <c r="E18" i="1"/>
  <c r="F18" i="1"/>
  <c r="B20" i="1"/>
  <c r="C20" i="1"/>
  <c r="E20" i="1"/>
  <c r="C21" i="1"/>
  <c r="D21" i="1" s="1"/>
  <c r="F22" i="1"/>
  <c r="G22" i="1"/>
  <c r="G24" i="1" s="1"/>
  <c r="C26" i="1"/>
  <c r="E26" i="9" s="1"/>
  <c r="B37" i="57" s="1"/>
  <c r="E26" i="1"/>
  <c r="F26" i="1"/>
  <c r="B29" i="1"/>
  <c r="C29" i="1"/>
  <c r="C30" i="1"/>
  <c r="B31" i="1"/>
  <c r="C33" i="1"/>
  <c r="D33" i="1" s="1"/>
  <c r="D35" i="1"/>
  <c r="F35" i="1"/>
  <c r="F38" i="1" s="1"/>
  <c r="C36" i="1"/>
  <c r="C37" i="1" s="1"/>
  <c r="G36" i="1"/>
  <c r="G38" i="1" s="1"/>
  <c r="C40" i="1"/>
  <c r="E48" i="9" s="1"/>
  <c r="E40" i="1"/>
  <c r="F40" i="1"/>
  <c r="B43" i="1"/>
  <c r="E43" i="1"/>
  <c r="D45" i="1"/>
  <c r="B46" i="1"/>
  <c r="D47" i="1"/>
  <c r="D48" i="1"/>
  <c r="D49" i="1"/>
  <c r="D51" i="1"/>
  <c r="G25" i="29"/>
  <c r="G32" i="29"/>
  <c r="J31" i="13"/>
  <c r="J36" i="13" s="1"/>
  <c r="F26" i="51"/>
  <c r="F33" i="51"/>
  <c r="I68" i="11"/>
  <c r="K45" i="4"/>
  <c r="K51" i="4"/>
  <c r="I14" i="11"/>
  <c r="E23" i="32"/>
  <c r="G29" i="12"/>
  <c r="G30" i="12" s="1"/>
  <c r="J23" i="36"/>
  <c r="I33" i="42"/>
  <c r="I34" i="42" s="1"/>
  <c r="F15" i="3"/>
  <c r="H15" i="3"/>
  <c r="E43" i="39"/>
  <c r="F28" i="11"/>
  <c r="I28" i="11"/>
  <c r="I35" i="11" s="1"/>
  <c r="E27" i="30"/>
  <c r="E10" i="6"/>
  <c r="B30" i="3"/>
  <c r="G99" i="41"/>
  <c r="I99" i="41" s="1"/>
  <c r="E21" i="37"/>
  <c r="K26" i="44"/>
  <c r="H14" i="8"/>
  <c r="L39" i="28"/>
  <c r="M17" i="37"/>
  <c r="H13" i="8"/>
  <c r="D16" i="22"/>
  <c r="N37" i="36"/>
  <c r="G22" i="42"/>
  <c r="B19" i="3"/>
  <c r="D26" i="5"/>
  <c r="H17" i="8"/>
  <c r="F39" i="9"/>
  <c r="F15" i="48"/>
  <c r="B21" i="47"/>
  <c r="B22" i="47"/>
  <c r="D26" i="53"/>
  <c r="F10" i="55" s="1"/>
  <c r="G42" i="25"/>
  <c r="I42" i="25" s="1"/>
  <c r="L41" i="36"/>
  <c r="K19" i="42"/>
  <c r="K21" i="42" s="1"/>
  <c r="M21" i="42" s="1"/>
  <c r="D12" i="47"/>
  <c r="I19" i="52"/>
  <c r="D19" i="48"/>
  <c r="D24" i="48" s="1"/>
  <c r="H39" i="4"/>
  <c r="M18" i="40"/>
  <c r="M20" i="40"/>
  <c r="G15" i="41"/>
  <c r="I15" i="41" s="1"/>
  <c r="H21" i="8"/>
  <c r="I19" i="26"/>
  <c r="I40" i="28"/>
  <c r="J17" i="51"/>
  <c r="J26" i="51" s="1"/>
  <c r="J33" i="51" s="1"/>
  <c r="H41" i="11"/>
  <c r="H44" i="11" s="1"/>
  <c r="F30" i="9"/>
  <c r="K42" i="42"/>
  <c r="I16" i="52"/>
  <c r="H47" i="4"/>
  <c r="I20" i="33"/>
  <c r="I21" i="33"/>
  <c r="M42" i="36"/>
  <c r="M44" i="36" s="1"/>
  <c r="G34" i="42"/>
  <c r="L28" i="53"/>
  <c r="L30" i="53" s="1"/>
  <c r="H30" i="53" s="1"/>
  <c r="I25" i="30"/>
  <c r="F42" i="36"/>
  <c r="F44" i="36"/>
  <c r="F60" i="36"/>
  <c r="C26" i="49"/>
  <c r="F42" i="9"/>
  <c r="C28" i="10"/>
  <c r="K36" i="57" s="1"/>
  <c r="F10" i="10"/>
  <c r="H31" i="13"/>
  <c r="G25" i="43"/>
  <c r="G29" i="43"/>
  <c r="F15" i="4"/>
  <c r="H15" i="4"/>
  <c r="I43" i="11"/>
  <c r="E23" i="33"/>
  <c r="G40" i="39"/>
  <c r="I40" i="39"/>
  <c r="E25" i="41"/>
  <c r="E29" i="41" s="1"/>
  <c r="E35" i="41" s="1"/>
  <c r="E22" i="42"/>
  <c r="E36" i="42" s="1"/>
  <c r="E44" i="42" s="1"/>
  <c r="E45" i="9"/>
  <c r="E46" i="9" s="1"/>
  <c r="C22" i="9"/>
  <c r="C23" i="9" s="1"/>
  <c r="G60" i="25"/>
  <c r="I60" i="25" s="1"/>
  <c r="K42" i="37"/>
  <c r="M42" i="37" s="1"/>
  <c r="F17" i="48"/>
  <c r="I17" i="39"/>
  <c r="G25" i="39"/>
  <c r="B24" i="4"/>
  <c r="E22" i="8"/>
  <c r="E41" i="8" s="1"/>
  <c r="E52" i="8" s="1"/>
  <c r="D16" i="5"/>
  <c r="H30" i="8"/>
  <c r="H18" i="8"/>
  <c r="I72" i="11"/>
  <c r="G22" i="31"/>
  <c r="G27" i="31"/>
  <c r="I29" i="37"/>
  <c r="G32" i="37"/>
  <c r="G45" i="37"/>
  <c r="I21" i="37"/>
  <c r="I32" i="37" s="1"/>
  <c r="I45" i="37" s="1"/>
  <c r="I48" i="37" s="1"/>
  <c r="E20" i="40"/>
  <c r="H15" i="53"/>
  <c r="H17" i="53"/>
  <c r="H28" i="53" s="1"/>
  <c r="B53" i="6"/>
  <c r="F12" i="9"/>
  <c r="B36" i="10"/>
  <c r="M24" i="44"/>
  <c r="M26" i="44"/>
  <c r="K14" i="44"/>
  <c r="M14" i="44"/>
  <c r="D25" i="3"/>
  <c r="D25" i="4"/>
  <c r="B45" i="9"/>
  <c r="I71" i="11"/>
  <c r="F25" i="22"/>
  <c r="F27" i="22" s="1"/>
  <c r="G21" i="52"/>
  <c r="J23" i="53"/>
  <c r="J28" i="53"/>
  <c r="J32" i="53"/>
  <c r="J34" i="53" s="1"/>
  <c r="F19" i="11"/>
  <c r="E19" i="12"/>
  <c r="I23" i="29"/>
  <c r="I25" i="29" s="1"/>
  <c r="I32" i="29" s="1"/>
  <c r="G23" i="32"/>
  <c r="G26" i="32" s="1"/>
  <c r="K42" i="36"/>
  <c r="M28" i="37"/>
  <c r="E25" i="39"/>
  <c r="G93" i="41"/>
  <c r="M42" i="42"/>
  <c r="G45" i="43"/>
  <c r="I45" i="43"/>
  <c r="G23" i="3"/>
  <c r="H23" i="3"/>
  <c r="B19" i="4"/>
  <c r="B25" i="4" s="1"/>
  <c r="E69" i="25"/>
  <c r="E48" i="43"/>
  <c r="G21" i="44"/>
  <c r="G29" i="44"/>
  <c r="E26" i="51"/>
  <c r="E33" i="51" s="1"/>
  <c r="I32" i="39"/>
  <c r="I22" i="42"/>
  <c r="J25" i="46"/>
  <c r="E25" i="4"/>
  <c r="H22" i="4"/>
  <c r="B37" i="1"/>
  <c r="E24" i="6"/>
  <c r="H49" i="8"/>
  <c r="F43" i="9"/>
  <c r="E82" i="11"/>
  <c r="I74" i="11"/>
  <c r="E12" i="6"/>
  <c r="F20" i="9"/>
  <c r="F35" i="10"/>
  <c r="I76" i="11"/>
  <c r="G41" i="4"/>
  <c r="F41" i="4"/>
  <c r="B37" i="6"/>
  <c r="K12" i="57" s="1"/>
  <c r="I73" i="11"/>
  <c r="B13" i="10"/>
  <c r="J24" i="51"/>
  <c r="H26" i="51"/>
  <c r="H33" i="51"/>
  <c r="D38" i="50" s="1"/>
  <c r="F11" i="4"/>
  <c r="H11" i="4"/>
  <c r="F39" i="8"/>
  <c r="F16" i="10"/>
  <c r="G78" i="39"/>
  <c r="F44" i="4"/>
  <c r="K33" i="42"/>
  <c r="M33" i="42"/>
  <c r="M32" i="42"/>
  <c r="M17" i="44"/>
  <c r="K20" i="44"/>
  <c r="M20" i="44"/>
  <c r="I14" i="31"/>
  <c r="I22" i="31" s="1"/>
  <c r="L20" i="38"/>
  <c r="L22" i="38"/>
  <c r="K27" i="42"/>
  <c r="M27" i="42"/>
  <c r="K15" i="42"/>
  <c r="J23" i="51"/>
  <c r="E29" i="37"/>
  <c r="M29" i="37" s="1"/>
  <c r="E34" i="42"/>
  <c r="M34" i="42" s="1"/>
  <c r="I15" i="43"/>
  <c r="I20" i="44"/>
  <c r="I21" i="44" s="1"/>
  <c r="I29" i="44" s="1"/>
  <c r="K15" i="37"/>
  <c r="K21" i="37" s="1"/>
  <c r="K32" i="37" s="1"/>
  <c r="K45" i="37" s="1"/>
  <c r="I14" i="45"/>
  <c r="I25" i="45"/>
  <c r="H23" i="53"/>
  <c r="L16" i="36"/>
  <c r="L23" i="36" s="1"/>
  <c r="K29" i="37"/>
  <c r="L34" i="53"/>
  <c r="I25" i="43"/>
  <c r="C24" i="9"/>
  <c r="I23" i="33"/>
  <c r="M19" i="42"/>
  <c r="I36" i="42"/>
  <c r="I44" i="42"/>
  <c r="F45" i="9"/>
  <c r="I23" i="32"/>
  <c r="F35" i="11"/>
  <c r="F41" i="11"/>
  <c r="F44" i="11" s="1"/>
  <c r="F22" i="9"/>
  <c r="F23" i="9" s="1"/>
  <c r="D21" i="47"/>
  <c r="D22" i="47"/>
  <c r="B46" i="9"/>
  <c r="G36" i="42"/>
  <c r="G44" i="42"/>
  <c r="G43" i="39"/>
  <c r="I43" i="39" s="1"/>
  <c r="K34" i="42"/>
  <c r="E32" i="37"/>
  <c r="E45" i="37" s="1"/>
  <c r="M15" i="42"/>
  <c r="K21" i="44"/>
  <c r="I29" i="43"/>
  <c r="G34" i="43"/>
  <c r="H37" i="51"/>
  <c r="M15" i="37"/>
  <c r="M21" i="44"/>
  <c r="M29" i="44" s="1"/>
  <c r="K29" i="44"/>
  <c r="M21" i="37"/>
  <c r="M32" i="37" s="1"/>
  <c r="G28" i="8"/>
  <c r="H28" i="8" s="1"/>
  <c r="E31" i="6"/>
  <c r="B19" i="6"/>
  <c r="H19" i="8"/>
  <c r="H22" i="8" s="1"/>
  <c r="F22" i="8"/>
  <c r="F24" i="1" l="1"/>
  <c r="F52" i="1" s="1"/>
  <c r="E37" i="1"/>
  <c r="I62" i="25"/>
  <c r="N30" i="60"/>
  <c r="K29" i="57"/>
  <c r="K31" i="57" s="1"/>
  <c r="L26" i="57" s="1"/>
  <c r="F41" i="8"/>
  <c r="F52" i="8" s="1"/>
  <c r="B50" i="1"/>
  <c r="D50" i="1" s="1"/>
  <c r="B7" i="58"/>
  <c r="D46" i="1"/>
  <c r="D12" i="1"/>
  <c r="D43" i="1"/>
  <c r="E70" i="5"/>
  <c r="D30" i="1"/>
  <c r="D14" i="1"/>
  <c r="D31" i="1"/>
  <c r="D11" i="1"/>
  <c r="C26" i="9"/>
  <c r="B36" i="57" s="1"/>
  <c r="H48" i="4"/>
  <c r="H50" i="4"/>
  <c r="F19" i="48"/>
  <c r="F24" i="48" s="1"/>
  <c r="H23" i="27"/>
  <c r="H27" i="27"/>
  <c r="L27" i="27" s="1"/>
  <c r="L33" i="28"/>
  <c r="J35" i="28"/>
  <c r="E29" i="28"/>
  <c r="E36" i="28" s="1"/>
  <c r="E41" i="28" s="1"/>
  <c r="K12" i="28"/>
  <c r="L12" i="28" s="1"/>
  <c r="F29" i="28"/>
  <c r="F36" i="28" s="1"/>
  <c r="E12" i="5"/>
  <c r="E26" i="5"/>
  <c r="L25" i="28"/>
  <c r="K35" i="28"/>
  <c r="L34" i="28"/>
  <c r="D29" i="28"/>
  <c r="D36" i="28" s="1"/>
  <c r="D41" i="28" s="1"/>
  <c r="C29" i="28"/>
  <c r="C36" i="28" s="1"/>
  <c r="C41" i="28" s="1"/>
  <c r="K40" i="28"/>
  <c r="B29" i="28"/>
  <c r="B36" i="28" s="1"/>
  <c r="B41" i="28" s="1"/>
  <c r="L38" i="28"/>
  <c r="A3" i="55"/>
  <c r="A4" i="53"/>
  <c r="G141" i="25"/>
  <c r="I68" i="25"/>
  <c r="A5" i="43"/>
  <c r="A5" i="29"/>
  <c r="A5" i="39"/>
  <c r="A5" i="41"/>
  <c r="A5" i="31"/>
  <c r="A5" i="33"/>
  <c r="A5" i="32"/>
  <c r="A5" i="30"/>
  <c r="A5" i="26"/>
  <c r="K10" i="27"/>
  <c r="K15" i="27" s="1"/>
  <c r="I15" i="27"/>
  <c r="B15" i="27"/>
  <c r="J15" i="27"/>
  <c r="H15" i="27"/>
  <c r="B41" i="27"/>
  <c r="B42" i="27" s="1"/>
  <c r="H41" i="27"/>
  <c r="K41" i="27"/>
  <c r="C42" i="27"/>
  <c r="D42" i="27"/>
  <c r="J42" i="27"/>
  <c r="I42" i="27"/>
  <c r="K23" i="27"/>
  <c r="L33" i="59"/>
  <c r="N21" i="59"/>
  <c r="B48" i="9"/>
  <c r="E35" i="57" s="1"/>
  <c r="G37" i="1"/>
  <c r="D29" i="1"/>
  <c r="C22" i="1"/>
  <c r="C24" i="1" s="1"/>
  <c r="B26" i="5"/>
  <c r="E12" i="57" s="1"/>
  <c r="E29" i="57" s="1"/>
  <c r="E31" i="57" s="1"/>
  <c r="D10" i="1"/>
  <c r="B38" i="1"/>
  <c r="D36" i="1"/>
  <c r="D37" i="1" s="1"/>
  <c r="C38" i="1"/>
  <c r="D16" i="1"/>
  <c r="E32" i="5"/>
  <c r="D9" i="61" s="1"/>
  <c r="B16" i="5"/>
  <c r="H40" i="28"/>
  <c r="H35" i="28"/>
  <c r="L32" i="28"/>
  <c r="H28" i="28"/>
  <c r="L23" i="28"/>
  <c r="H18" i="28"/>
  <c r="F42" i="27"/>
  <c r="D20" i="1"/>
  <c r="D22" i="1" s="1"/>
  <c r="E38" i="1"/>
  <c r="D40" i="1"/>
  <c r="D18" i="1"/>
  <c r="C48" i="9"/>
  <c r="B22" i="1"/>
  <c r="E22" i="1"/>
  <c r="E24" i="1" s="1"/>
  <c r="I12" i="23"/>
  <c r="I122" i="41"/>
  <c r="I106" i="41"/>
  <c r="C29" i="10"/>
  <c r="C37" i="10" s="1"/>
  <c r="C40" i="10" s="1"/>
  <c r="C43" i="10" s="1"/>
  <c r="D38" i="6"/>
  <c r="H36" i="57"/>
  <c r="J204" i="25"/>
  <c r="H37" i="57"/>
  <c r="G354" i="25"/>
  <c r="G247" i="25"/>
  <c r="I247" i="25" s="1"/>
  <c r="F13" i="10"/>
  <c r="E37" i="6"/>
  <c r="G123" i="41"/>
  <c r="I123" i="41" s="1"/>
  <c r="E126" i="41"/>
  <c r="E401" i="25"/>
  <c r="E425" i="25" s="1"/>
  <c r="G39" i="8"/>
  <c r="G41" i="8" s="1"/>
  <c r="G52" i="8" s="1"/>
  <c r="G58" i="8" s="1"/>
  <c r="G64" i="8" s="1"/>
  <c r="B38" i="6"/>
  <c r="I93" i="41"/>
  <c r="G25" i="41"/>
  <c r="I60" i="41"/>
  <c r="I423" i="25"/>
  <c r="J423" i="25" s="1"/>
  <c r="G303" i="25"/>
  <c r="I416" i="25"/>
  <c r="F36" i="10"/>
  <c r="H12" i="57"/>
  <c r="H29" i="57" s="1"/>
  <c r="H31" i="57" s="1"/>
  <c r="E10" i="52"/>
  <c r="H32" i="53"/>
  <c r="H34" i="53" s="1"/>
  <c r="E51" i="6"/>
  <c r="E53" i="6" s="1"/>
  <c r="D53" i="6"/>
  <c r="B15" i="9"/>
  <c r="B24" i="9" s="1"/>
  <c r="F11" i="9"/>
  <c r="F15" i="9" s="1"/>
  <c r="L40" i="28"/>
  <c r="F46" i="9"/>
  <c r="I25" i="39"/>
  <c r="I45" i="39" s="1"/>
  <c r="I60" i="39" s="1"/>
  <c r="E45" i="39"/>
  <c r="E60" i="39" s="1"/>
  <c r="F8" i="21"/>
  <c r="F10" i="21" s="1"/>
  <c r="E7" i="20"/>
  <c r="E15" i="20" s="1"/>
  <c r="G27" i="30"/>
  <c r="G30" i="30" s="1"/>
  <c r="I18" i="30"/>
  <c r="I27" i="30" s="1"/>
  <c r="I21" i="25"/>
  <c r="G69" i="25"/>
  <c r="I69" i="25" s="1"/>
  <c r="I12" i="52"/>
  <c r="C21" i="52"/>
  <c r="E19" i="6"/>
  <c r="H19" i="46"/>
  <c r="H20" i="46" s="1"/>
  <c r="J17" i="46"/>
  <c r="J19" i="46" s="1"/>
  <c r="K22" i="42"/>
  <c r="E53" i="9"/>
  <c r="E52" i="9" s="1"/>
  <c r="E37" i="57"/>
  <c r="H16" i="3"/>
  <c r="F19" i="3"/>
  <c r="H41" i="4"/>
  <c r="H44" i="4"/>
  <c r="F17" i="22"/>
  <c r="F18" i="22" s="1"/>
  <c r="H29" i="22"/>
  <c r="I383" i="25"/>
  <c r="J383" i="25"/>
  <c r="I34" i="43"/>
  <c r="G48" i="43"/>
  <c r="H35" i="57"/>
  <c r="B29" i="10"/>
  <c r="F19" i="4"/>
  <c r="H17" i="4"/>
  <c r="E19" i="11"/>
  <c r="I15" i="11"/>
  <c r="H31" i="22"/>
  <c r="G45" i="39"/>
  <c r="G60" i="39" s="1"/>
  <c r="G79" i="39" s="1"/>
  <c r="B12" i="48"/>
  <c r="B19" i="48" s="1"/>
  <c r="B24" i="48" s="1"/>
  <c r="D52" i="5"/>
  <c r="H22" i="3"/>
  <c r="H24" i="3" s="1"/>
  <c r="G24" i="3"/>
  <c r="G25" i="3" s="1"/>
  <c r="G44" i="3" s="1"/>
  <c r="G46" i="3" s="1"/>
  <c r="G23" i="4"/>
  <c r="C24" i="4"/>
  <c r="G143" i="41"/>
  <c r="G157" i="41" s="1"/>
  <c r="I75" i="11"/>
  <c r="I82" i="11" s="1"/>
  <c r="F82" i="11"/>
  <c r="H32" i="36"/>
  <c r="H42" i="36" s="1"/>
  <c r="H44" i="36" s="1"/>
  <c r="H60" i="36" s="1"/>
  <c r="L29" i="36"/>
  <c r="B1" i="58"/>
  <c r="B3" i="58" s="1"/>
  <c r="B12" i="58" s="1"/>
  <c r="B13" i="58" s="1"/>
  <c r="I62" i="37"/>
  <c r="I56" i="37"/>
  <c r="M45" i="37"/>
  <c r="I45" i="4"/>
  <c r="I51" i="4" s="1"/>
  <c r="E63" i="1" s="1"/>
  <c r="E41" i="6"/>
  <c r="D48" i="6"/>
  <c r="F28" i="10"/>
  <c r="K37" i="57"/>
  <c r="F40" i="3"/>
  <c r="H34" i="3"/>
  <c r="J42" i="36"/>
  <c r="J44" i="36" s="1"/>
  <c r="J60" i="36" s="1"/>
  <c r="J63" i="36" s="1"/>
  <c r="I27" i="28"/>
  <c r="E16" i="5"/>
  <c r="F41" i="28"/>
  <c r="K16" i="28"/>
  <c r="L16" i="28" s="1"/>
  <c r="J18" i="28"/>
  <c r="J29" i="28" s="1"/>
  <c r="J36" i="28" s="1"/>
  <c r="J41" i="28" s="1"/>
  <c r="I42" i="36"/>
  <c r="I44" i="36" s="1"/>
  <c r="I391" i="25"/>
  <c r="B26" i="9"/>
  <c r="E42" i="27"/>
  <c r="J44" i="3"/>
  <c r="J46" i="3" s="1"/>
  <c r="D26" i="1"/>
  <c r="F42" i="10"/>
  <c r="F43" i="3"/>
  <c r="C25" i="4"/>
  <c r="B16" i="22"/>
  <c r="G193" i="25"/>
  <c r="H46" i="4"/>
  <c r="F37" i="1"/>
  <c r="J29" i="4"/>
  <c r="J31" i="4" s="1"/>
  <c r="J45" i="4" s="1"/>
  <c r="J51" i="4" s="1"/>
  <c r="E42" i="6"/>
  <c r="B48" i="6"/>
  <c r="E29" i="10"/>
  <c r="G64" i="43"/>
  <c r="G69" i="43" s="1"/>
  <c r="F27" i="46"/>
  <c r="F31" i="46" s="1"/>
  <c r="F26" i="9" l="1"/>
  <c r="L16" i="57"/>
  <c r="L17" i="57"/>
  <c r="L18" i="57"/>
  <c r="L27" i="57"/>
  <c r="L15" i="57"/>
  <c r="L19" i="57"/>
  <c r="L23" i="57"/>
  <c r="L22" i="57"/>
  <c r="C52" i="1"/>
  <c r="C53" i="1" s="1"/>
  <c r="G57" i="4" s="1"/>
  <c r="B50" i="5"/>
  <c r="E50" i="5" s="1"/>
  <c r="H42" i="27"/>
  <c r="L23" i="27"/>
  <c r="L15" i="27"/>
  <c r="I26" i="57"/>
  <c r="I22" i="57"/>
  <c r="I23" i="57"/>
  <c r="F27" i="57"/>
  <c r="F23" i="57"/>
  <c r="F22" i="57"/>
  <c r="L35" i="28"/>
  <c r="L41" i="27"/>
  <c r="K42" i="27"/>
  <c r="F53" i="1"/>
  <c r="J57" i="4" s="1"/>
  <c r="G53" i="1"/>
  <c r="D24" i="1"/>
  <c r="D38" i="1"/>
  <c r="E52" i="1"/>
  <c r="E53" i="1" s="1"/>
  <c r="E64" i="1" s="1"/>
  <c r="F18" i="57"/>
  <c r="F15" i="57"/>
  <c r="F16" i="57"/>
  <c r="F19" i="57"/>
  <c r="F17" i="57"/>
  <c r="B12" i="57"/>
  <c r="B29" i="57" s="1"/>
  <c r="B31" i="57" s="1"/>
  <c r="F26" i="57"/>
  <c r="H29" i="28"/>
  <c r="H36" i="28" s="1"/>
  <c r="H41" i="28" s="1"/>
  <c r="L18" i="28"/>
  <c r="F58" i="11"/>
  <c r="F83" i="11" s="1"/>
  <c r="F87" i="11" s="1"/>
  <c r="D50" i="6"/>
  <c r="D55" i="6" s="1"/>
  <c r="D58" i="6" s="1"/>
  <c r="B24" i="1"/>
  <c r="E68" i="5"/>
  <c r="E36" i="57"/>
  <c r="E39" i="57" s="1"/>
  <c r="C53" i="9"/>
  <c r="C52" i="9" s="1"/>
  <c r="F48" i="9"/>
  <c r="J247" i="25"/>
  <c r="J69" i="25"/>
  <c r="G372" i="25"/>
  <c r="J372" i="25" s="1"/>
  <c r="E38" i="6"/>
  <c r="B50" i="6"/>
  <c r="B55" i="6" s="1"/>
  <c r="H39" i="8"/>
  <c r="H41" i="8" s="1"/>
  <c r="H52" i="8" s="1"/>
  <c r="I16" i="57"/>
  <c r="I17" i="57"/>
  <c r="I15" i="57"/>
  <c r="I27" i="57"/>
  <c r="G29" i="41"/>
  <c r="I25" i="41"/>
  <c r="I18" i="57"/>
  <c r="I19" i="57"/>
  <c r="I193" i="25"/>
  <c r="J193" i="25"/>
  <c r="I48" i="43"/>
  <c r="G61" i="43"/>
  <c r="G70" i="43" s="1"/>
  <c r="H58" i="11"/>
  <c r="H83" i="11" s="1"/>
  <c r="H87" i="11" s="1"/>
  <c r="E37" i="10"/>
  <c r="E40" i="10" s="1"/>
  <c r="E43" i="10" s="1"/>
  <c r="E47" i="10" s="1"/>
  <c r="E41" i="11"/>
  <c r="E44" i="11" s="1"/>
  <c r="I19" i="11"/>
  <c r="I41" i="11" s="1"/>
  <c r="I44" i="11" s="1"/>
  <c r="J44" i="11" s="1"/>
  <c r="D17" i="22"/>
  <c r="D18" i="22" s="1"/>
  <c r="F29" i="22"/>
  <c r="F31" i="22"/>
  <c r="K39" i="57"/>
  <c r="B35" i="57"/>
  <c r="F24" i="9"/>
  <c r="B53" i="9"/>
  <c r="E21" i="52"/>
  <c r="I10" i="52"/>
  <c r="I21" i="52" s="1"/>
  <c r="I28" i="52" s="1"/>
  <c r="F63" i="1"/>
  <c r="K27" i="28"/>
  <c r="I28" i="28"/>
  <c r="I29" i="28" s="1"/>
  <c r="I36" i="28" s="1"/>
  <c r="I41" i="28" s="1"/>
  <c r="H23" i="4"/>
  <c r="H24" i="4" s="1"/>
  <c r="G24" i="4"/>
  <c r="G25" i="4" s="1"/>
  <c r="G45" i="4" s="1"/>
  <c r="G51" i="4" s="1"/>
  <c r="K18" i="28"/>
  <c r="F25" i="4"/>
  <c r="F45" i="4" s="1"/>
  <c r="H19" i="4"/>
  <c r="H25" i="4" s="1"/>
  <c r="H45" i="4" s="1"/>
  <c r="H51" i="4" s="1"/>
  <c r="D63" i="1" s="1"/>
  <c r="C7" i="20"/>
  <c r="C15" i="20" s="1"/>
  <c r="B8" i="21" s="1"/>
  <c r="B10" i="21" s="1"/>
  <c r="D8" i="21"/>
  <c r="D10" i="21" s="1"/>
  <c r="H27" i="46"/>
  <c r="H31" i="46" s="1"/>
  <c r="J20" i="46"/>
  <c r="J27" i="46" s="1"/>
  <c r="J31" i="46" s="1"/>
  <c r="K36" i="42"/>
  <c r="K44" i="42" s="1"/>
  <c r="M22" i="42"/>
  <c r="M36" i="42" s="1"/>
  <c r="M44" i="42" s="1"/>
  <c r="E48" i="6"/>
  <c r="F29" i="10"/>
  <c r="B37" i="10"/>
  <c r="E58" i="11"/>
  <c r="H40" i="3"/>
  <c r="H43" i="3"/>
  <c r="L32" i="36"/>
  <c r="L42" i="36" s="1"/>
  <c r="L44" i="36" s="1"/>
  <c r="L60" i="36" s="1"/>
  <c r="N29" i="36"/>
  <c r="N32" i="36" s="1"/>
  <c r="N42" i="36" s="1"/>
  <c r="N44" i="36" s="1"/>
  <c r="N60" i="36" s="1"/>
  <c r="H39" i="57"/>
  <c r="F25" i="3"/>
  <c r="F44" i="3" s="1"/>
  <c r="F46" i="3" s="1"/>
  <c r="H19" i="3"/>
  <c r="H25" i="3" s="1"/>
  <c r="H44" i="3" s="1"/>
  <c r="H46" i="3" s="1"/>
  <c r="K57" i="4" l="1"/>
  <c r="G64" i="1"/>
  <c r="B51" i="5"/>
  <c r="B52" i="5" s="1"/>
  <c r="D11" i="61"/>
  <c r="D10" i="61"/>
  <c r="E51" i="5"/>
  <c r="E65" i="5" s="1"/>
  <c r="E82" i="5" s="1"/>
  <c r="B52" i="1"/>
  <c r="L42" i="27"/>
  <c r="N41" i="27" s="1"/>
  <c r="C19" i="57"/>
  <c r="C23" i="57"/>
  <c r="C22" i="57"/>
  <c r="C18" i="57"/>
  <c r="C17" i="57"/>
  <c r="C26" i="57"/>
  <c r="C15" i="57"/>
  <c r="C16" i="57"/>
  <c r="C27" i="57"/>
  <c r="F64" i="1"/>
  <c r="I57" i="4"/>
  <c r="B58" i="6"/>
  <c r="E50" i="6"/>
  <c r="I372" i="25"/>
  <c r="C47" i="10"/>
  <c r="B5" i="58"/>
  <c r="B14" i="58" s="1"/>
  <c r="I64" i="8"/>
  <c r="I29" i="41"/>
  <c r="G35" i="41"/>
  <c r="F51" i="4"/>
  <c r="F36" i="7"/>
  <c r="E44" i="57"/>
  <c r="E46" i="57" s="1"/>
  <c r="E41" i="57"/>
  <c r="H44" i="57"/>
  <c r="H46" i="57" s="1"/>
  <c r="H41" i="57"/>
  <c r="B52" i="9"/>
  <c r="F52" i="9" s="1"/>
  <c r="F53" i="9"/>
  <c r="E83" i="11"/>
  <c r="E87" i="11" s="1"/>
  <c r="I58" i="11"/>
  <c r="I83" i="11" s="1"/>
  <c r="I87" i="11" s="1"/>
  <c r="B17" i="22"/>
  <c r="B18" i="22" s="1"/>
  <c r="D29" i="22"/>
  <c r="D31" i="22"/>
  <c r="B40" i="10"/>
  <c r="B43" i="10" s="1"/>
  <c r="B47" i="10" s="1"/>
  <c r="F37" i="10"/>
  <c r="F40" i="10" s="1"/>
  <c r="F43" i="10" s="1"/>
  <c r="B39" i="57"/>
  <c r="C63" i="1"/>
  <c r="C64" i="1"/>
  <c r="L27" i="28"/>
  <c r="L28" i="28" s="1"/>
  <c r="L29" i="28" s="1"/>
  <c r="L36" i="28" s="1"/>
  <c r="L41" i="28" s="1"/>
  <c r="K28" i="28"/>
  <c r="K29" i="28" s="1"/>
  <c r="K36" i="28" s="1"/>
  <c r="K41" i="28" s="1"/>
  <c r="K41" i="57"/>
  <c r="K44" i="57"/>
  <c r="K46" i="57" s="1"/>
  <c r="E55" i="6" l="1"/>
  <c r="E58" i="6" s="1"/>
  <c r="D7" i="61"/>
  <c r="D52" i="1"/>
  <c r="D53" i="1" s="1"/>
  <c r="H57" i="4" s="1"/>
  <c r="B53" i="1"/>
  <c r="E89" i="5" s="1"/>
  <c r="E91" i="5" s="1"/>
  <c r="M23" i="57"/>
  <c r="M22" i="57"/>
  <c r="G22" i="57"/>
  <c r="G23" i="57"/>
  <c r="J23" i="57"/>
  <c r="J22" i="57"/>
  <c r="F12" i="7"/>
  <c r="F32" i="7" s="1"/>
  <c r="F38" i="7" s="1"/>
  <c r="F47" i="10"/>
  <c r="G126" i="41"/>
  <c r="I35" i="41"/>
  <c r="I37" i="57"/>
  <c r="I36" i="57"/>
  <c r="I35" i="57"/>
  <c r="B63" i="1"/>
  <c r="M19" i="57"/>
  <c r="M16" i="57"/>
  <c r="M17" i="57"/>
  <c r="M27" i="57"/>
  <c r="M36" i="57"/>
  <c r="M26" i="57"/>
  <c r="M18" i="57"/>
  <c r="M15" i="57"/>
  <c r="M35" i="57"/>
  <c r="M37" i="57"/>
  <c r="L35" i="57"/>
  <c r="L36" i="57"/>
  <c r="L37" i="57"/>
  <c r="B44" i="57"/>
  <c r="B46" i="57" s="1"/>
  <c r="B41" i="57"/>
  <c r="F36" i="57"/>
  <c r="F37" i="57"/>
  <c r="F35" i="57"/>
  <c r="J16" i="57"/>
  <c r="J17" i="57"/>
  <c r="J37" i="57"/>
  <c r="J26" i="57"/>
  <c r="J36" i="57"/>
  <c r="J18" i="57"/>
  <c r="J19" i="57"/>
  <c r="J27" i="57"/>
  <c r="J15" i="57"/>
  <c r="J35" i="57"/>
  <c r="G18" i="57"/>
  <c r="G16" i="57"/>
  <c r="G27" i="57"/>
  <c r="G17" i="57"/>
  <c r="G26" i="57"/>
  <c r="G36" i="57"/>
  <c r="G15" i="57"/>
  <c r="G19" i="57"/>
  <c r="G35" i="57"/>
  <c r="G37" i="57"/>
  <c r="B31" i="22"/>
  <c r="B29" i="22"/>
  <c r="B64" i="1" l="1"/>
  <c r="D6" i="61"/>
  <c r="D8" i="61"/>
  <c r="F57" i="4"/>
  <c r="F59" i="4" s="1"/>
  <c r="D64" i="1"/>
  <c r="D4" i="61"/>
  <c r="F82" i="5"/>
  <c r="D23" i="57"/>
  <c r="O23" i="57" s="1"/>
  <c r="D22" i="57"/>
  <c r="G32" i="7"/>
  <c r="G133" i="41"/>
  <c r="G158" i="41" s="1"/>
  <c r="I126" i="41"/>
  <c r="D18" i="57"/>
  <c r="O18" i="57" s="1"/>
  <c r="D17" i="57"/>
  <c r="O17" i="57" s="1"/>
  <c r="D19" i="57"/>
  <c r="O19" i="57" s="1"/>
  <c r="D37" i="57"/>
  <c r="D27" i="57"/>
  <c r="O27" i="57" s="1"/>
  <c r="D15" i="57"/>
  <c r="O15" i="57" s="1"/>
  <c r="D16" i="57"/>
  <c r="O16" i="57" s="1"/>
  <c r="D26" i="57"/>
  <c r="O26" i="57" s="1"/>
  <c r="D36" i="57"/>
  <c r="D35" i="57"/>
  <c r="C36" i="57"/>
  <c r="C37" i="57"/>
  <c r="C35" i="57"/>
  <c r="N33" i="59" l="1"/>
  <c r="O37" i="57"/>
  <c r="O35" i="57"/>
  <c r="O36" i="57"/>
  <c r="G98" i="25"/>
  <c r="G130" i="25" s="1"/>
  <c r="J130" i="25" l="1"/>
  <c r="G399" i="25"/>
  <c r="I130" i="25"/>
  <c r="G401" i="25" l="1"/>
  <c r="I399" i="25"/>
  <c r="I401" i="25" s="1"/>
  <c r="I425" i="25" s="1"/>
  <c r="J399" i="25" l="1"/>
  <c r="J401" i="25"/>
  <c r="G425" i="25"/>
  <c r="J425" i="25" l="1"/>
  <c r="G431" i="25"/>
  <c r="K431" i="25" l="1"/>
  <c r="J431"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Ryan Chapman</author>
  </authors>
  <commentList>
    <comment ref="B36" authorId="0" shapeId="0" xr:uid="{00000000-0006-0000-0000-000001000000}">
      <text>
        <r>
          <rPr>
            <sz val="9"/>
            <color indexed="81"/>
            <rFont val="Tahoma"/>
            <family val="2"/>
          </rPr>
          <t>Pension and OPEB liabilities are now reflected in "Due in more than one year."</t>
        </r>
      </text>
    </comment>
    <comment ref="C36" authorId="0" shapeId="0" xr:uid="{00000000-0006-0000-0000-000002000000}">
      <text>
        <r>
          <rPr>
            <sz val="9"/>
            <color indexed="81"/>
            <rFont val="Tahoma"/>
            <family val="2"/>
          </rPr>
          <t>Pension and OPEB liabilities are now reflected in "Due in more than one year."</t>
        </r>
      </text>
    </comment>
    <comment ref="D36" authorId="0" shapeId="0" xr:uid="{00000000-0006-0000-0000-000003000000}">
      <text>
        <r>
          <rPr>
            <sz val="9"/>
            <color indexed="81"/>
            <rFont val="Tahoma"/>
            <family val="2"/>
          </rPr>
          <t>Pension and OPEB liabilities are now reflected in "Due in more than one year."</t>
        </r>
      </text>
    </comment>
    <comment ref="E36" authorId="0" shapeId="0" xr:uid="{00000000-0006-0000-0000-000004000000}">
      <text>
        <r>
          <rPr>
            <sz val="9"/>
            <color indexed="81"/>
            <rFont val="Tahoma"/>
            <family val="2"/>
          </rPr>
          <t>Pension and OPEB liabilities are now reflected in "Due in more than one year."</t>
        </r>
      </text>
    </comment>
    <comment ref="F36" authorId="0" shapeId="0" xr:uid="{00000000-0006-0000-0000-000005000000}">
      <text>
        <r>
          <rPr>
            <sz val="9"/>
            <color indexed="81"/>
            <rFont val="Tahoma"/>
            <family val="2"/>
          </rPr>
          <t>Pension and OPEB liabilities are now reflected in "Due in more than one year."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MLTapler</author>
  </authors>
  <commentList>
    <comment ref="G28" authorId="0" shapeId="0" xr:uid="{00000000-0006-0000-1C00-000001000000}">
      <text>
        <r>
          <rPr>
            <b/>
            <sz val="9"/>
            <color indexed="81"/>
            <rFont val="Tahoma"/>
            <family val="2"/>
          </rPr>
          <t>MLTapler:</t>
        </r>
        <r>
          <rPr>
            <sz val="9"/>
            <color indexed="81"/>
            <rFont val="Tahoma"/>
            <family val="2"/>
          </rPr>
          <t xml:space="preserve">
Last years ineligible expenditures</t>
        </r>
      </text>
    </comment>
  </commentList>
</comments>
</file>

<file path=xl/sharedStrings.xml><?xml version="1.0" encoding="utf-8"?>
<sst xmlns="http://schemas.openxmlformats.org/spreadsheetml/2006/main" count="2476" uniqueCount="1149">
  <si>
    <t>Exhibit 1</t>
  </si>
  <si>
    <t>Carolina County, North Carolina</t>
  </si>
  <si>
    <t>Statement of Net Position</t>
  </si>
  <si>
    <t>June 30, 2022</t>
  </si>
  <si>
    <t>Primary Government</t>
  </si>
  <si>
    <t>Component Units</t>
  </si>
  <si>
    <t>Governmental Activities</t>
  </si>
  <si>
    <t>Business-type Activities</t>
  </si>
  <si>
    <t>Total</t>
  </si>
  <si>
    <t>Carolina County Hospital Inc.</t>
  </si>
  <si>
    <t>Carolina County ABC Board</t>
  </si>
  <si>
    <t>Carolina County Tourism Development Authority</t>
  </si>
  <si>
    <t>ASSETS</t>
  </si>
  <si>
    <t>Cash and cash equivalents</t>
  </si>
  <si>
    <t>Receivables (net)</t>
  </si>
  <si>
    <t>Due from other governments</t>
  </si>
  <si>
    <t>Due from component unit</t>
  </si>
  <si>
    <t>Inventories</t>
  </si>
  <si>
    <t>Prepaid items</t>
  </si>
  <si>
    <t>Restricted cash and cash equivalents</t>
  </si>
  <si>
    <t>Equity interest in Carolina Cooperative</t>
  </si>
  <si>
    <t>Net pension asset</t>
  </si>
  <si>
    <t>Capital assets:</t>
  </si>
  <si>
    <t>Land, improvements, and construction in progress</t>
  </si>
  <si>
    <t>Other capital assets, net of depreciation</t>
  </si>
  <si>
    <t>Total capital assets</t>
  </si>
  <si>
    <t>Right to use leased asset, net of amortization</t>
  </si>
  <si>
    <t>Total assets</t>
  </si>
  <si>
    <t>DEFERRED OUTFLOWS OF RESOURCES</t>
  </si>
  <si>
    <t>LIABILITIES</t>
  </si>
  <si>
    <t>Accounts payable and accrued expenses</t>
  </si>
  <si>
    <t>Accrued interest payable</t>
  </si>
  <si>
    <t>Due to other governments</t>
  </si>
  <si>
    <t>Due to primary government</t>
  </si>
  <si>
    <t>Liabilities to be paid from restricted assets</t>
  </si>
  <si>
    <t>Long-term liabilities:</t>
  </si>
  <si>
    <t>Due within one year</t>
  </si>
  <si>
    <t>Due in more than one year</t>
  </si>
  <si>
    <t xml:space="preserve">       Total long-term liabilities</t>
  </si>
  <si>
    <t>Total liabilities</t>
  </si>
  <si>
    <t>DEFERRED INFLOWS OF RESOURCES</t>
  </si>
  <si>
    <t>NET POSITION</t>
  </si>
  <si>
    <t>Net investment in capital assets</t>
  </si>
  <si>
    <t>Restricted for:</t>
  </si>
  <si>
    <t>Public safety</t>
  </si>
  <si>
    <t>Education</t>
  </si>
  <si>
    <t>Health services</t>
  </si>
  <si>
    <t>Register of Deeds</t>
  </si>
  <si>
    <t>Register of Deeds' pension plan</t>
  </si>
  <si>
    <t>Stabilization by State Statute</t>
  </si>
  <si>
    <t>Working Capital</t>
  </si>
  <si>
    <t>Unrestricted</t>
  </si>
  <si>
    <t>Total net position</t>
  </si>
  <si>
    <r>
      <rPr>
        <b/>
        <sz val="10"/>
        <rFont val="Arial"/>
        <family val="2"/>
      </rPr>
      <t>Note to preparer</t>
    </r>
    <r>
      <rPr>
        <sz val="10"/>
        <rFont val="Arial"/>
        <family val="2"/>
      </rPr>
      <t xml:space="preserve">:  Units that choose to aggregate deferred outflows and deferred inflows on the face of the statements should itemize components in the notes.  For an itemized presentation, please see City of Dogwood.                             </t>
    </r>
  </si>
  <si>
    <r>
      <t xml:space="preserve">*   Line items are selected for illustrated purposes only.  Additional line items may be required.  Line items for which there is </t>
    </r>
    <r>
      <rPr>
        <b/>
        <sz val="10"/>
        <rFont val="Arial"/>
        <family val="2"/>
      </rPr>
      <t xml:space="preserve">no activity     </t>
    </r>
    <r>
      <rPr>
        <sz val="10"/>
        <rFont val="Arial"/>
        <family val="2"/>
      </rPr>
      <t xml:space="preserve">    should not be displayed on the statement.  </t>
    </r>
  </si>
  <si>
    <t>The notes to the financial statements are an integral part of this statement.</t>
  </si>
  <si>
    <t>Statement of Activity amount</t>
  </si>
  <si>
    <t>check if balanced with SNP</t>
  </si>
  <si>
    <t>Exhibit 2</t>
  </si>
  <si>
    <t>Statement of Activities</t>
  </si>
  <si>
    <t>For the Year Ended June 30, 2015</t>
  </si>
  <si>
    <t>Program Revenues</t>
  </si>
  <si>
    <t>Net (Expense) Revenue and Changes in Net Position</t>
  </si>
  <si>
    <t>Functions/Programs</t>
  </si>
  <si>
    <t>Expenses</t>
  </si>
  <si>
    <t>Charges for Services</t>
  </si>
  <si>
    <t>Operating Grants and Contributions</t>
  </si>
  <si>
    <t>Capital Grants and Contributions</t>
  </si>
  <si>
    <t>Primary government:</t>
  </si>
  <si>
    <t>Governmental Activities:</t>
  </si>
  <si>
    <t>General government</t>
  </si>
  <si>
    <t>Transportation</t>
  </si>
  <si>
    <t>Economic &amp; physical development</t>
  </si>
  <si>
    <t>Human services</t>
  </si>
  <si>
    <t>Cultural &amp; recreation</t>
  </si>
  <si>
    <t>Interest on long-term debt</t>
  </si>
  <si>
    <t xml:space="preserve">Total governmental activities </t>
  </si>
  <si>
    <t>Business-type activities:</t>
  </si>
  <si>
    <t>Landfill</t>
  </si>
  <si>
    <t xml:space="preserve">Water and Sewer </t>
  </si>
  <si>
    <t>Total business-type activities</t>
  </si>
  <si>
    <t xml:space="preserve">Total primary government </t>
  </si>
  <si>
    <t>Component units:</t>
  </si>
  <si>
    <t>Hospital</t>
  </si>
  <si>
    <t>ABC Board</t>
  </si>
  <si>
    <t>Total component units</t>
  </si>
  <si>
    <t>General revenues:</t>
  </si>
  <si>
    <t>Taxes:</t>
  </si>
  <si>
    <t>Property taxes, levied for general purpose</t>
  </si>
  <si>
    <t>Local option sales tax</t>
  </si>
  <si>
    <t>Other taxes and licenses</t>
  </si>
  <si>
    <t>Grants and contributions not restricted to specific programs</t>
  </si>
  <si>
    <t>Investment earnings, unrestricted</t>
  </si>
  <si>
    <t>Miscellaneous, unrestricted</t>
  </si>
  <si>
    <t xml:space="preserve">      Total general revenues excluding transfers and special items</t>
  </si>
  <si>
    <r>
      <t>Special item</t>
    </r>
    <r>
      <rPr>
        <sz val="10"/>
        <rFont val="Arial"/>
        <family val="2"/>
      </rPr>
      <t>-gain on sale of park land</t>
    </r>
  </si>
  <si>
    <t xml:space="preserve">*                   - </t>
  </si>
  <si>
    <t>Transfers</t>
  </si>
  <si>
    <t>Total general revenues, special items, and transfers</t>
  </si>
  <si>
    <t>Change in net position</t>
  </si>
  <si>
    <t>Net position, beginning, previously reported</t>
  </si>
  <si>
    <t>Net position, ending</t>
  </si>
  <si>
    <t>For the Year Ended June 30, 2022</t>
  </si>
  <si>
    <t>Tourism Development Authority</t>
  </si>
  <si>
    <t>Restatement</t>
  </si>
  <si>
    <t>Net position, beginning, as previously reported</t>
  </si>
  <si>
    <t xml:space="preserve">   Prior period restatement - change in accounting principle</t>
  </si>
  <si>
    <t>Net position, beginning</t>
  </si>
  <si>
    <r>
      <t xml:space="preserve">* NOTE TO PREPARER: </t>
    </r>
    <r>
      <rPr>
        <sz val="9"/>
        <rFont val="Arial"/>
        <family val="2"/>
      </rPr>
      <t xml:space="preserve"> </t>
    </r>
    <r>
      <rPr>
        <i/>
        <u/>
        <sz val="9"/>
        <rFont val="Arial"/>
        <family val="2"/>
      </rPr>
      <t>Special items</t>
    </r>
    <r>
      <rPr>
        <sz val="9"/>
        <rFont val="Arial"/>
        <family val="2"/>
      </rPr>
      <t xml:space="preserve"> reported on this statement should be material to the unit as a whole in addition to meeting the other requirements for a special item.  The special item reported  here is for illustrative purposes only. </t>
    </r>
  </si>
  <si>
    <t>Exhibit 3</t>
  </si>
  <si>
    <t>Balance Sheet</t>
  </si>
  <si>
    <t>Governmental Funds</t>
  </si>
  <si>
    <t>Major</t>
  </si>
  <si>
    <t>Non-Major</t>
  </si>
  <si>
    <t>General</t>
  </si>
  <si>
    <t>Other Governmental Funds</t>
  </si>
  <si>
    <t>Receivables, net</t>
  </si>
  <si>
    <t>LIABILITIES AND FUND BALANCES</t>
  </si>
  <si>
    <t>Liabilities:</t>
  </si>
  <si>
    <t>Accounts payable and accrued liabilities</t>
  </si>
  <si>
    <t>Miscellaneous liabilities</t>
  </si>
  <si>
    <t>Contract retainage</t>
  </si>
  <si>
    <t xml:space="preserve"> </t>
  </si>
  <si>
    <t>Fund balances:</t>
  </si>
  <si>
    <t>Nonspendable:</t>
  </si>
  <si>
    <t>Leases</t>
  </si>
  <si>
    <t>Restricted:</t>
  </si>
  <si>
    <t>Fire Protection</t>
  </si>
  <si>
    <t>School Capital</t>
  </si>
  <si>
    <t>Health Services</t>
  </si>
  <si>
    <t>Committed:</t>
  </si>
  <si>
    <t>Tax Revaluation</t>
  </si>
  <si>
    <t>LEO Special Separation Allowance</t>
  </si>
  <si>
    <t>Assigned:</t>
  </si>
  <si>
    <t>Recreation Capital</t>
  </si>
  <si>
    <t>Future School Capital</t>
  </si>
  <si>
    <t>Subsequent year's expenditures</t>
  </si>
  <si>
    <t>Unassigned:</t>
  </si>
  <si>
    <t>Total fund balances</t>
  </si>
  <si>
    <t>Total liabilities, deferred inflows of resources, and fund balances</t>
  </si>
  <si>
    <t>(cont.)</t>
  </si>
  <si>
    <t>Amounts reported for governmental activities in the statement of net position (Exhibit 1) are different because:</t>
  </si>
  <si>
    <t>Total Fund Balance, Governmental Funds</t>
  </si>
  <si>
    <t>The County has an equity interest in a joint venture.  This investment is not a current financial resource and therefore not reported in the funds.</t>
  </si>
  <si>
    <t>Charges related to advance refunding bond issue.</t>
  </si>
  <si>
    <t>Capital assets used in governmental activities are not financial resources and therefore are not reported in the funds.</t>
  </si>
  <si>
    <t>Right to use assets used in governmental activities are not financial resources and therefore are not reported in the funds.</t>
  </si>
  <si>
    <t>Contributions to pension plans in the current fiscal year are deferred outflows of resources on the Statement of Net Position</t>
  </si>
  <si>
    <t>Benefit payments and pension administration costs for LEOSSA are deferred outflows of resources on the Statement of Net Position</t>
  </si>
  <si>
    <t>Contributions and pension administration costs for OPEB are deferred outflows of resources on the Statement of Net Position</t>
  </si>
  <si>
    <t>Other long-term assets are not available to pay for current-period expenditures and therefore are unavailable in the funds.</t>
  </si>
  <si>
    <t>Net pension liability</t>
  </si>
  <si>
    <t>Net OPEB liability</t>
  </si>
  <si>
    <t>Total pension liability (LEOSSA)</t>
  </si>
  <si>
    <t>Deferred inflows of resources for taxes and special assessments receivable</t>
  </si>
  <si>
    <t xml:space="preserve">Pension related deferrals </t>
  </si>
  <si>
    <t>OPEB related deferrals</t>
  </si>
  <si>
    <t>Some liabilities, including bonds payable, are not due and payable in the current period and therefore are not reported in the funds.</t>
  </si>
  <si>
    <t>Net position of governmental activities</t>
  </si>
  <si>
    <t>Exhibit 4</t>
  </si>
  <si>
    <t>Statement of Revenues, Expenditures, and Changes in Fund Balance</t>
  </si>
  <si>
    <t>General Fund</t>
  </si>
  <si>
    <t>REVENUES</t>
  </si>
  <si>
    <t>Ad valorem taxes</t>
  </si>
  <si>
    <t>Local option sales taxes</t>
  </si>
  <si>
    <t>Unrestricted intergovernmental</t>
  </si>
  <si>
    <t>Restricted intergovernmental</t>
  </si>
  <si>
    <t>Permits and fees</t>
  </si>
  <si>
    <t>Sales and services</t>
  </si>
  <si>
    <t>Investment earnings</t>
  </si>
  <si>
    <t>Miscellaneous</t>
  </si>
  <si>
    <t>Total revenues</t>
  </si>
  <si>
    <t>EXPENDITURES</t>
  </si>
  <si>
    <t>Current:</t>
  </si>
  <si>
    <t>Economic and physical development</t>
  </si>
  <si>
    <t>Cultural and recreational</t>
  </si>
  <si>
    <t>Intergovernmental:</t>
  </si>
  <si>
    <t>Capital outlay</t>
  </si>
  <si>
    <t>Debt service:</t>
  </si>
  <si>
    <t>Principal</t>
  </si>
  <si>
    <t>Interest</t>
  </si>
  <si>
    <t>Bond issuance costs</t>
  </si>
  <si>
    <t>Advance refunding escrow</t>
  </si>
  <si>
    <t>Total expenditures</t>
  </si>
  <si>
    <t>Excess (deficiency) of revenues over expenditures</t>
  </si>
  <si>
    <t>OTHER FINANCING SOURCES (USES)</t>
  </si>
  <si>
    <t>Transfers from other funds</t>
  </si>
  <si>
    <t>Transfers to other funds</t>
  </si>
  <si>
    <t>Lease liabilities issued</t>
  </si>
  <si>
    <t>Refunding bonds issued</t>
  </si>
  <si>
    <t>Installment purchase obligations issued</t>
  </si>
  <si>
    <t>Payment to refunded bond escrow agent</t>
  </si>
  <si>
    <t>Sale of capital assets</t>
  </si>
  <si>
    <t>Total other financing sources and uses</t>
  </si>
  <si>
    <t>Net change in fund balance</t>
  </si>
  <si>
    <t>Fund balances, beginning, as previously reported</t>
  </si>
  <si>
    <t>Prior period restatement - change in accounting principle</t>
  </si>
  <si>
    <t>Fund balances, beginning</t>
  </si>
  <si>
    <t>Increase in inventory</t>
  </si>
  <si>
    <t>Fund balances, ending</t>
  </si>
  <si>
    <t>Exhibit 5</t>
  </si>
  <si>
    <t>Amounts reported for governmental activities in the statement of activities are</t>
  </si>
  <si>
    <t>different because:</t>
  </si>
  <si>
    <t>Net changes in fund balances - total governmental funds</t>
  </si>
  <si>
    <t>Change in fund balance due to change in reserve for inventory</t>
  </si>
  <si>
    <t>Governmental funds report capital outlays as expenditures. However, in the Statement of Activities the cost of those assets is allocated over their estimated useful lives and reported as depreciation and amortization expense.  This is the amount by which capital outlays exceeded depreciation and amortization in the current period</t>
  </si>
  <si>
    <t>Cost of capital asset disposed of during the year, not recognized on modified accrual basis</t>
  </si>
  <si>
    <t>Contributions to the pension plan in the current fiscal year are not included on the Statement of Activities</t>
  </si>
  <si>
    <t>Revenues in the statement of activities that do not provide current financial resources are not reported as revenues in the funds</t>
  </si>
  <si>
    <t>The issuance of long-term debt provides current financial resources to governmental funds, while the repayment of the principal of long-term debt consumes the current financial resources of governmental funds.  Neither transaction has any effect on net position.   This amount is the net effect of these differences in the treatment of long-term debt and related items.</t>
  </si>
  <si>
    <t>Some expenses reported in the statement of activities do not require the use of current financial resources and, therefore, are not reported as expenditures in governmental funds.</t>
  </si>
  <si>
    <t>Total changes in net position of governmental activities</t>
  </si>
  <si>
    <t>Exhibit 6</t>
  </si>
  <si>
    <t>Statement of Revenues, Expenditures, and Changes in Fund Balances -</t>
  </si>
  <si>
    <t>Budget and Actual - General Fund</t>
  </si>
  <si>
    <t>Variance</t>
  </si>
  <si>
    <t>With Final</t>
  </si>
  <si>
    <t>Original</t>
  </si>
  <si>
    <t>Final</t>
  </si>
  <si>
    <t>Positive</t>
  </si>
  <si>
    <t>Budget</t>
  </si>
  <si>
    <t>Actual</t>
  </si>
  <si>
    <t>(Negative)</t>
  </si>
  <si>
    <t>Revenues:</t>
  </si>
  <si>
    <t>Expenditures</t>
  </si>
  <si>
    <t>Principal retirement</t>
  </si>
  <si>
    <t>Interest and other charges</t>
  </si>
  <si>
    <t>Revenues over (under) expenditures</t>
  </si>
  <si>
    <t>Other financing sources (uses):</t>
  </si>
  <si>
    <t>Payment to refunding bond escrow agent</t>
  </si>
  <si>
    <t>Total other financing sources (uses)</t>
  </si>
  <si>
    <t xml:space="preserve"> Increase in inventory</t>
  </si>
  <si>
    <t xml:space="preserve"> Fund balance, ending</t>
  </si>
  <si>
    <t>A legally budgeted Tax Revaluation Fund is consolidated into the General Fund  for reporting purposes:</t>
  </si>
  <si>
    <t xml:space="preserve">    Investment earnings</t>
  </si>
  <si>
    <t xml:space="preserve">    Transfer-in from General Fund</t>
  </si>
  <si>
    <t xml:space="preserve">    Expenditures</t>
  </si>
  <si>
    <t>Fund Balance, Beginning</t>
  </si>
  <si>
    <t>Fund Balance, Ending (Exhibit 4)</t>
  </si>
  <si>
    <t>Exhibit 7</t>
  </si>
  <si>
    <t>Proprietary Funds</t>
  </si>
  <si>
    <t>Landfill
Fund</t>
  </si>
  <si>
    <t>Water and
Sewer District No. 1</t>
  </si>
  <si>
    <t>Water and
Sewer District No. 2</t>
  </si>
  <si>
    <t>Current assets:</t>
  </si>
  <si>
    <t>Prepaids</t>
  </si>
  <si>
    <t>Total current assets</t>
  </si>
  <si>
    <t>Noncurrent assets:</t>
  </si>
  <si>
    <t>Land and construction in progress</t>
  </si>
  <si>
    <t>Total noncurrent assets</t>
  </si>
  <si>
    <t>Current liabilities:</t>
  </si>
  <si>
    <t>Accounts payable</t>
  </si>
  <si>
    <t>General obligation bonds payable</t>
  </si>
  <si>
    <t>Bond anticipation notes payable</t>
  </si>
  <si>
    <t>Total current liabilities</t>
  </si>
  <si>
    <t>Noncurrent liabilities:</t>
  </si>
  <si>
    <t>Liabilities payable from restricted
assets:</t>
  </si>
  <si>
    <t xml:space="preserve">   Customer deposits</t>
  </si>
  <si>
    <t>Accrued landfill closure and
postclosure care costs</t>
  </si>
  <si>
    <t>Compensated absences</t>
  </si>
  <si>
    <t>Total noncurrent liabilities</t>
  </si>
  <si>
    <t xml:space="preserve">See City of Dogwood for an example of proprietary fund financial statement presentation when a unit has one or more internal service funds. </t>
  </si>
  <si>
    <t>Note to preparer:  The Water and Sewer District No. 2 came into existence in the current fiscal year; thus, the net pension and OPEB liability, deferrals, and pension expense, which are based on data from the prior fiscal year, have not been allocated to this fund.  Deferred outflows of resources for contributions made to the pension plan in the current fiscal year, however, have been allocated.</t>
  </si>
  <si>
    <t>Exhibit 8</t>
  </si>
  <si>
    <t>Statement of Revenues, Expenses, and Changes in Fund Net Position</t>
  </si>
  <si>
    <t>OPERATING REVENUES</t>
  </si>
  <si>
    <t>Charges for services</t>
  </si>
  <si>
    <t>Water and sewer taps</t>
  </si>
  <si>
    <t>Total operating revenues</t>
  </si>
  <si>
    <t>OPERATING EXPENSES</t>
  </si>
  <si>
    <t>Administration</t>
  </si>
  <si>
    <t>Finance</t>
  </si>
  <si>
    <t>Water treatment plant</t>
  </si>
  <si>
    <t>Raw water pump station</t>
  </si>
  <si>
    <t>Water distribution</t>
  </si>
  <si>
    <t>Sewage Collection</t>
  </si>
  <si>
    <t>Primary waste treatment</t>
  </si>
  <si>
    <t>Secondary waste treatment</t>
  </si>
  <si>
    <t>Maintenance</t>
  </si>
  <si>
    <t>Landfill operations</t>
  </si>
  <si>
    <t>Landfill closure and postclosure care costs</t>
  </si>
  <si>
    <t>Depreciation</t>
  </si>
  <si>
    <t>Total operating expenses</t>
  </si>
  <si>
    <t>Operating income (loss)</t>
  </si>
  <si>
    <t>NONOPERATING REVENUES (EXPENSES)</t>
  </si>
  <si>
    <t>Solid waste disposal tax</t>
  </si>
  <si>
    <t>Scrap tire disposal tax</t>
  </si>
  <si>
    <t>White goods disposal tax</t>
  </si>
  <si>
    <t>Interest and investment revenue</t>
  </si>
  <si>
    <t>Total nonoperating revenues (expenses)</t>
  </si>
  <si>
    <t>Income (loss) before contributions and transfers</t>
  </si>
  <si>
    <t>Capital contributions</t>
  </si>
  <si>
    <t>Total net position, beginning</t>
  </si>
  <si>
    <t>Total net position, ending</t>
  </si>
  <si>
    <t>Exhibit 9</t>
  </si>
  <si>
    <t>Statement of Cash Flows</t>
  </si>
  <si>
    <t>Enterprise Fund</t>
  </si>
  <si>
    <t>Water</t>
  </si>
  <si>
    <t>and Sewer</t>
  </si>
  <si>
    <t>Fund</t>
  </si>
  <si>
    <t>District- No. 1</t>
  </si>
  <si>
    <t>District- No. 2</t>
  </si>
  <si>
    <t>Cash flows from operating activities:</t>
  </si>
  <si>
    <t>Cash received from customers</t>
  </si>
  <si>
    <t>Cash paid for goods and services</t>
  </si>
  <si>
    <t>Cash paid to employees for services</t>
  </si>
  <si>
    <t xml:space="preserve">Customer deposits received </t>
  </si>
  <si>
    <t xml:space="preserve">Customer deposits returned </t>
  </si>
  <si>
    <t>Other operating revenue</t>
  </si>
  <si>
    <t>Net cash provided by operating activities</t>
  </si>
  <si>
    <t>Cash flows from noncapital financing activities</t>
  </si>
  <si>
    <t>Transfers in</t>
  </si>
  <si>
    <t xml:space="preserve">Cash flows from capital and related </t>
  </si>
  <si>
    <t xml:space="preserve">  financing activities:</t>
  </si>
  <si>
    <t>Bond anticipation notes issued</t>
  </si>
  <si>
    <t>Acquisition and construction of</t>
  </si>
  <si>
    <t xml:space="preserve">   capital assets</t>
  </si>
  <si>
    <t xml:space="preserve">Principal paid on bond maturities and </t>
  </si>
  <si>
    <t xml:space="preserve">   equipment contracts</t>
  </si>
  <si>
    <t xml:space="preserve">Interest paid on bond maturities and </t>
  </si>
  <si>
    <t>Capital contributions - federal grant</t>
  </si>
  <si>
    <t>Net cash used by capital and</t>
  </si>
  <si>
    <t xml:space="preserve">   related financing activities</t>
  </si>
  <si>
    <t>Cash flows from investing activities:</t>
  </si>
  <si>
    <t>Interest on investments</t>
  </si>
  <si>
    <t xml:space="preserve">Net increase (decrease) in cash and </t>
  </si>
  <si>
    <t>cash equivalents</t>
  </si>
  <si>
    <t>Cash and cash equivalents, beginning</t>
  </si>
  <si>
    <t>Cash and cash equivalents, ending</t>
  </si>
  <si>
    <t>(continued)</t>
  </si>
  <si>
    <t>Totals</t>
  </si>
  <si>
    <t xml:space="preserve">Reconciliation of operating income </t>
  </si>
  <si>
    <t xml:space="preserve">  to net cash provided by operating</t>
  </si>
  <si>
    <t xml:space="preserve">  activities:</t>
  </si>
  <si>
    <t>Operating income(loss)</t>
  </si>
  <si>
    <t>Adjustments to reconcile operating</t>
  </si>
  <si>
    <t xml:space="preserve">  income to net cash provided by </t>
  </si>
  <si>
    <t xml:space="preserve">  operating activities:</t>
  </si>
  <si>
    <t>Provision for uncollectible accounts</t>
  </si>
  <si>
    <t xml:space="preserve">Landfill closure and postclosure </t>
  </si>
  <si>
    <t xml:space="preserve">  care costs</t>
  </si>
  <si>
    <t>Changes in assets, liabilities, and deferred outflows and inflows of resources:</t>
  </si>
  <si>
    <t xml:space="preserve">(Increase) decrease in accounts </t>
  </si>
  <si>
    <t xml:space="preserve">   receivable</t>
  </si>
  <si>
    <t>Decrease in inventory</t>
  </si>
  <si>
    <t>(Increase) in prepaid items</t>
  </si>
  <si>
    <t>(Increase) in deferred outflows of resources - pensions</t>
  </si>
  <si>
    <t>(Increase) in deferred outflows of resources - OPEB</t>
  </si>
  <si>
    <t>Increase in net pension liability</t>
  </si>
  <si>
    <t>(Decrease) in net OPEB liability</t>
  </si>
  <si>
    <t>(Decrease) in deferred inflows of resources - pensions</t>
  </si>
  <si>
    <t>Increase in deferred inflows of resources - OPEB</t>
  </si>
  <si>
    <t xml:space="preserve">Increase (decrease) in accounts </t>
  </si>
  <si>
    <t xml:space="preserve">   payable and accrued liabilities</t>
  </si>
  <si>
    <t>Increase (decrease) in customer</t>
  </si>
  <si>
    <t xml:space="preserve">   deposits</t>
  </si>
  <si>
    <t>Increase in accrued vacation payable</t>
  </si>
  <si>
    <t>Total adjustments</t>
  </si>
  <si>
    <t>Exhibit 10</t>
  </si>
  <si>
    <t>Statement of Fiduciary Net Position</t>
  </si>
  <si>
    <t>Fiduciary Funds</t>
  </si>
  <si>
    <t>OPEB Trust Fund</t>
  </si>
  <si>
    <t>Custodial Funds</t>
  </si>
  <si>
    <t>Taxes receivable for other governments, net</t>
  </si>
  <si>
    <t>Investments at fair value</t>
  </si>
  <si>
    <t>Domestic equities</t>
  </si>
  <si>
    <t>Fixed income</t>
  </si>
  <si>
    <t>Postemployment benefits other than pensions</t>
  </si>
  <si>
    <t>Individuals, organizations, and other governments</t>
  </si>
  <si>
    <t>Total fiduciary net position</t>
  </si>
  <si>
    <t>Exhibit 11</t>
  </si>
  <si>
    <t>Statement of Changes in Fiduciary Net Position</t>
  </si>
  <si>
    <t>ADDITIONS</t>
  </si>
  <si>
    <t>Employer contributions</t>
  </si>
  <si>
    <t>Investment income:</t>
  </si>
  <si>
    <t>Net appreciation (depreciation) in fair value of investments</t>
  </si>
  <si>
    <t>Interest and dividends</t>
  </si>
  <si>
    <t>Less investment expense</t>
  </si>
  <si>
    <t>Net investment earnings</t>
  </si>
  <si>
    <t>Ad valorem taxes collected for other governments</t>
  </si>
  <si>
    <t>Collections on behalf of inmates</t>
  </si>
  <si>
    <t>Total additions</t>
  </si>
  <si>
    <t>DEDUCTIONS</t>
  </si>
  <si>
    <t>Benefit payments</t>
  </si>
  <si>
    <t>Administrative expense</t>
  </si>
  <si>
    <t>Tax distributions to other governments</t>
  </si>
  <si>
    <t>Payments on behalf of inmates</t>
  </si>
  <si>
    <t>Total deductions</t>
  </si>
  <si>
    <t>Net increase (decrease) in fiduciary net position</t>
  </si>
  <si>
    <t>Net position - beginning, as previously reported</t>
  </si>
  <si>
    <t>Prior period restatement</t>
  </si>
  <si>
    <t>Net position - beginning, as restated</t>
  </si>
  <si>
    <t>Net position - ending</t>
  </si>
  <si>
    <t>This page left blank intentionally.</t>
  </si>
  <si>
    <t>Schedule of the County's Proportionate Share of the Net Pension Liability (Asset)</t>
  </si>
  <si>
    <t>Local Governmental Employees' Retirement System</t>
  </si>
  <si>
    <t>Last Eight Fiscal Years *</t>
  </si>
  <si>
    <t>County's proportion of the net pension liability (asset) %</t>
  </si>
  <si>
    <t>County's proportionate share of the net pension liability (asset) $</t>
  </si>
  <si>
    <t>County's covered payroll</t>
  </si>
  <si>
    <t>County's proportionate share of the net pension liability (asset) as a percentage of its covered payroll</t>
  </si>
  <si>
    <t>Plan fiduciary net position as a percentage of the total pension liability</t>
  </si>
  <si>
    <t>*  The amounts presented for each fiscal year were determined as of the prior fiscal year ending June 30.</t>
  </si>
  <si>
    <r>
      <t>Note to preparer</t>
    </r>
    <r>
      <rPr>
        <sz val="11"/>
        <rFont val="Arial"/>
        <family val="2"/>
      </rPr>
      <t xml:space="preserve">: Units that report to ORBIT under more than one ORBIT account number should present RSI as a total of their ORBIT accounts.  </t>
    </r>
  </si>
  <si>
    <r>
      <t xml:space="preserve">Note to preparer:  </t>
    </r>
    <r>
      <rPr>
        <sz val="11"/>
        <rFont val="Arial"/>
        <family val="2"/>
      </rPr>
      <t>Information is not required to be presented retroactively.  This schedule will NOT present 10 years' worth of information until fiscal year 2023.</t>
    </r>
  </si>
  <si>
    <t>Schedule of County Contributions</t>
  </si>
  <si>
    <t>Last Eight Years</t>
  </si>
  <si>
    <t>Contractually required contribution</t>
  </si>
  <si>
    <t xml:space="preserve">Contributions in relation to the contractually required contribution
</t>
  </si>
  <si>
    <t>Contribution deficiency (excess)</t>
  </si>
  <si>
    <t>Contributions as a percentage of covered payroll</t>
  </si>
  <si>
    <t>Schedule of the TDA's Proportionate Share of the Net Pension Liability (Asset)</t>
  </si>
  <si>
    <t>TDA's proportion of the net pension liability (asset) %</t>
  </si>
  <si>
    <t>TDA's proportionate share of the net pension liability (asset) $</t>
  </si>
  <si>
    <t>TDA's covered payroll</t>
  </si>
  <si>
    <t>TDA's proportionate share of the net pension liability (asset) as a percentage of its covered payroll</t>
  </si>
  <si>
    <t>Schedule of Tourism Development Authority Contributions</t>
  </si>
  <si>
    <t>Last Eight Fiscal Years</t>
  </si>
  <si>
    <t>SCHEDULE OF THE COUNTY'S PROPORTIONATE SHARE OF THE NET PENSION LIABILITY (ASSET)</t>
  </si>
  <si>
    <t>Registers of Deeds' Supplemental Pension Fund</t>
  </si>
  <si>
    <r>
      <t xml:space="preserve">Note to preparer:  </t>
    </r>
    <r>
      <rPr>
        <sz val="10"/>
        <rFont val="Arial"/>
        <family val="2"/>
      </rPr>
      <t>Information is not required to be presented retroactively.  This schedule will NOT present 10 years' worth of information until fiscal year 2023.</t>
    </r>
  </si>
  <si>
    <t>Schedule of Changes in Total Pension Liability</t>
  </si>
  <si>
    <t xml:space="preserve">Law Enforcement Officers' Special Separation Allowance </t>
  </si>
  <si>
    <t>Last Five Fiscal Years *</t>
  </si>
  <si>
    <t>Beginning balance</t>
  </si>
  <si>
    <t>Service Cost</t>
  </si>
  <si>
    <t>Interest on the total pension liability</t>
  </si>
  <si>
    <t>Changes of benefit terms</t>
  </si>
  <si>
    <t>Differences between  expected and actual experience in the measurement of the total pension liability</t>
  </si>
  <si>
    <t>Changes of assumptions or other inputs</t>
  </si>
  <si>
    <t>Other changes</t>
  </si>
  <si>
    <t>Ending balance of the total pension liability</t>
  </si>
  <si>
    <t>The amounts presented for each fiscal year were determined as of the prior December 31.</t>
  </si>
  <si>
    <r>
      <rPr>
        <b/>
        <sz val="10"/>
        <rFont val="Arial"/>
        <family val="2"/>
      </rPr>
      <t>Note to preparer:</t>
    </r>
    <r>
      <rPr>
        <sz val="10"/>
        <rFont val="Arial"/>
        <family val="2"/>
      </rPr>
      <t xml:space="preserve">  All years for which information is available should be presented up until 10 years.  If your valuation report provides information from the prior year(s), present all prior years for which information has been provided to you.  </t>
    </r>
  </si>
  <si>
    <t>Schedule of Total Pension Liability as a Percentage of Covered Payroll</t>
  </si>
  <si>
    <t>Law Enforcement Officers' Special Separation Allowance</t>
  </si>
  <si>
    <t>Total pension liability</t>
  </si>
  <si>
    <t>Covered payroll</t>
  </si>
  <si>
    <t>Total pension liability as a percentage of covered payroll</t>
  </si>
  <si>
    <t>Notes to the schedules:</t>
  </si>
  <si>
    <t>Carolina County has no assets accumulated in a trust that meets the criteria in paragraph 4 of GASB Statement 73 to pay related benefits.</t>
  </si>
  <si>
    <r>
      <rPr>
        <b/>
        <sz val="10"/>
        <rFont val="Arial"/>
        <family val="2"/>
      </rPr>
      <t>Note to preparer:</t>
    </r>
    <r>
      <rPr>
        <sz val="10"/>
        <rFont val="Arial"/>
        <family val="2"/>
      </rPr>
      <t xml:space="preserve">  All years for which information is available should be presented up to 10 years.  If your valuation report provides information from the prior year(s), present all prior years for which information has been provided to you.  </t>
    </r>
  </si>
  <si>
    <t>Schedule of Changes in the Net OPEB Liability and Related Ratios</t>
  </si>
  <si>
    <t xml:space="preserve">Healthcare Benefits Plan </t>
  </si>
  <si>
    <t>Total OPEB Liability</t>
  </si>
  <si>
    <t>Service cost</t>
  </si>
  <si>
    <t>Differences between expected and actual experience</t>
  </si>
  <si>
    <t>Changes of assumptions</t>
  </si>
  <si>
    <t>Net change in total OPEB liability</t>
  </si>
  <si>
    <t>Total OPEB liability - beginning</t>
  </si>
  <si>
    <t xml:space="preserve">Total OPEB liability - ending </t>
  </si>
  <si>
    <t>Plan fiduciary net position</t>
  </si>
  <si>
    <t>Contributions - employer</t>
  </si>
  <si>
    <t>Net investment income</t>
  </si>
  <si>
    <t>Net change in plan fiduciary net position</t>
  </si>
  <si>
    <t>Plan fiduciary net position - beginning</t>
  </si>
  <si>
    <t>Plan fiduciary net position - ending</t>
  </si>
  <si>
    <t>County's net OPEB liability - ending</t>
  </si>
  <si>
    <t>Plan fiduciary net position as a percentage of the total OPEB liability</t>
  </si>
  <si>
    <t xml:space="preserve">*  Plan measurement date is the reporting date.  Employer measurement date is one year prior to reporting date.  </t>
  </si>
  <si>
    <t>Actuarially determined contribution</t>
  </si>
  <si>
    <t>Contributions in relation to the actuarially determined contribution</t>
  </si>
  <si>
    <r>
      <rPr>
        <b/>
        <sz val="10"/>
        <rFont val="Arial"/>
        <family val="2"/>
      </rPr>
      <t>Note to preparer</t>
    </r>
    <r>
      <rPr>
        <sz val="10"/>
        <rFont val="Arial"/>
        <family val="2"/>
      </rPr>
      <t>:  If contributions to an OPEB plan are NOT based on a measure of pay, no measure of payroll should be presented.  GASB 85, paragraph 13.</t>
    </r>
    <r>
      <rPr>
        <sz val="10"/>
        <rFont val="Arial"/>
        <family val="2"/>
      </rPr>
      <t xml:space="preserve"> All years for which information is available should be presented up to 10 years.</t>
    </r>
  </si>
  <si>
    <t>Notes to Schedule</t>
  </si>
  <si>
    <t>Valuation date:</t>
  </si>
  <si>
    <t xml:space="preserve">Actuarially determined contribution rates are calculated as of June 30, one year prior to the end of the fiscal year in which contributions are reported.  </t>
  </si>
  <si>
    <t>Methods and assumptions used to determine contribution rates:</t>
  </si>
  <si>
    <t>Actuarial cost method</t>
  </si>
  <si>
    <t>Entry age</t>
  </si>
  <si>
    <t>Amortization method</t>
  </si>
  <si>
    <t>Open 30-yr level pay</t>
  </si>
  <si>
    <t>Amortization period</t>
  </si>
  <si>
    <t>11.6 years</t>
  </si>
  <si>
    <t>Asset valuation method</t>
  </si>
  <si>
    <t>5-year smoothed market</t>
  </si>
  <si>
    <t>Inflation</t>
  </si>
  <si>
    <t>3.00 percent</t>
  </si>
  <si>
    <t>Healthcare cost trend rates</t>
  </si>
  <si>
    <t xml:space="preserve">6.5 percent initial, decreasing 0.3 percent each year to 4 percent </t>
  </si>
  <si>
    <t>Salary increases</t>
  </si>
  <si>
    <t>3.5 to 7.55 percent including inflation and productivity factor</t>
  </si>
  <si>
    <t>Investment rate of return</t>
  </si>
  <si>
    <t>7.0 percent, net of OPEB plan investment expense, including inflation</t>
  </si>
  <si>
    <t>Retirement age</t>
  </si>
  <si>
    <t>In the 2020 actuarial valuation, RP-2014 Healthy Annuitant Mortality Table for males and females, adjusted for Collar for some Participants, further adjusted with scaling factors varying before and after age 78, and projected for mortality improvement using Scale MP-2015</t>
  </si>
  <si>
    <t>Mortality</t>
  </si>
  <si>
    <t xml:space="preserve">In the 2020 actuarial valuation, assumed life expectancies were adjusted as a result of adopting the RP-2014 Employee table.  In prior years, those assumptions were based on the 1994 Group Annuity Mortality Table.  </t>
  </si>
  <si>
    <t xml:space="preserve">Schedule of Investment Returns - Healthcare Benefits Plan </t>
  </si>
  <si>
    <t>Annual money-weighted rate of return, net of investment expense</t>
  </si>
  <si>
    <r>
      <rPr>
        <b/>
        <sz val="10"/>
        <rFont val="Arial"/>
        <family val="2"/>
      </rPr>
      <t>Note to preparer:</t>
    </r>
    <r>
      <rPr>
        <sz val="10"/>
        <rFont val="Arial"/>
        <family val="2"/>
      </rPr>
      <t xml:space="preserve">  All years for which information is available should be presented up to 10 years. Please present all prior years for which information has been provided to you.  </t>
    </r>
  </si>
  <si>
    <t xml:space="preserve">Schedule of Revenues, Expenditures, and </t>
  </si>
  <si>
    <t>Changes in Fund Balances - Budget and Actual</t>
  </si>
  <si>
    <t xml:space="preserve"> Variance</t>
  </si>
  <si>
    <t>Ad valorem taxes:</t>
  </si>
  <si>
    <t>Taxes</t>
  </si>
  <si>
    <t xml:space="preserve">Total </t>
  </si>
  <si>
    <t>Local option sales taxes:</t>
  </si>
  <si>
    <t xml:space="preserve">Article 39 and 44 </t>
  </si>
  <si>
    <t>Article 40 one - half of one percent</t>
  </si>
  <si>
    <t>Article 42 one - half of one percent</t>
  </si>
  <si>
    <t>Article 46 one - quarter  of one percent</t>
  </si>
  <si>
    <t>Other taxes and licenses:</t>
  </si>
  <si>
    <t>Deed stamp excise tax</t>
  </si>
  <si>
    <t>Real estate transfer tax</t>
  </si>
  <si>
    <t>Unrestricted intergovernmental:</t>
  </si>
  <si>
    <t>Payments in lieu of taxes-outside sources</t>
  </si>
  <si>
    <t>ABC profit distribution</t>
  </si>
  <si>
    <t>Beer and wine tax</t>
  </si>
  <si>
    <t>Restricted intergovernmental:</t>
  </si>
  <si>
    <t>State grants</t>
  </si>
  <si>
    <t>Federal grants</t>
  </si>
  <si>
    <t>Controlled substance tax</t>
  </si>
  <si>
    <t>Court facility fees</t>
  </si>
  <si>
    <t>On-behalf payments Fire and Rescue</t>
  </si>
  <si>
    <t>ABC profits for law enforcement</t>
  </si>
  <si>
    <t>ABC bottles taxes</t>
  </si>
  <si>
    <t>Permits and fees:</t>
  </si>
  <si>
    <t>Building permits</t>
  </si>
  <si>
    <t>Inspection fees</t>
  </si>
  <si>
    <t>Register of deeds</t>
  </si>
  <si>
    <t>Business registration fee</t>
  </si>
  <si>
    <t/>
  </si>
  <si>
    <t>Sales and services:</t>
  </si>
  <si>
    <t>Rents, concessions, and fees</t>
  </si>
  <si>
    <t>Jail fees</t>
  </si>
  <si>
    <t>Ambulance and rescue squad fees</t>
  </si>
  <si>
    <t>Recreation fees</t>
  </si>
  <si>
    <t>Vehicle tax collection fees</t>
  </si>
  <si>
    <t>Miscellaneous:</t>
  </si>
  <si>
    <t>Sale of materials</t>
  </si>
  <si>
    <t>Special assessments</t>
  </si>
  <si>
    <t>Other</t>
  </si>
  <si>
    <t>Expenditures:</t>
  </si>
  <si>
    <t>General government:</t>
  </si>
  <si>
    <t>Governing body:</t>
  </si>
  <si>
    <t>Salaries and employee benefits</t>
  </si>
  <si>
    <t>Other operating expenditures</t>
  </si>
  <si>
    <t>Insurance other than property</t>
  </si>
  <si>
    <t>Administration:</t>
  </si>
  <si>
    <t>Elections:</t>
  </si>
  <si>
    <t>Finance:</t>
  </si>
  <si>
    <t>Tax mapping</t>
  </si>
  <si>
    <t>Legal:</t>
  </si>
  <si>
    <t>Contracted services</t>
  </si>
  <si>
    <t>Register of deeds:</t>
  </si>
  <si>
    <t>Public buildings:</t>
  </si>
  <si>
    <t>Court facilities:</t>
  </si>
  <si>
    <t>Central garage:</t>
  </si>
  <si>
    <t xml:space="preserve">    Total general government</t>
  </si>
  <si>
    <t>Public safety:</t>
  </si>
  <si>
    <t>Sheriff and communications:</t>
  </si>
  <si>
    <t>Jail:</t>
  </si>
  <si>
    <t>Emergency communications:</t>
  </si>
  <si>
    <t>Emergency management:</t>
  </si>
  <si>
    <t>Fire:</t>
  </si>
  <si>
    <t>Assistance to local fire departments</t>
  </si>
  <si>
    <t>Inspections:</t>
  </si>
  <si>
    <t>Rescue units:</t>
  </si>
  <si>
    <t>Assistance to local rescue units</t>
  </si>
  <si>
    <t>Animal control:</t>
  </si>
  <si>
    <t>Medical examiner:</t>
  </si>
  <si>
    <t xml:space="preserve">    Total public safety</t>
  </si>
  <si>
    <t>Transportation:</t>
  </si>
  <si>
    <t>Streets and highways:</t>
  </si>
  <si>
    <t>Contribution to regional airport</t>
  </si>
  <si>
    <t xml:space="preserve">    Total transportation</t>
  </si>
  <si>
    <t>Economic and physical development:</t>
  </si>
  <si>
    <t>Planning and zoning:</t>
  </si>
  <si>
    <t>Economic development:</t>
  </si>
  <si>
    <t>COG membership dues</t>
  </si>
  <si>
    <t>Community development:</t>
  </si>
  <si>
    <t>Agricultural extension:</t>
  </si>
  <si>
    <t>Special employment programs (JTPA):</t>
  </si>
  <si>
    <t xml:space="preserve">Training costs </t>
  </si>
  <si>
    <t>Support payments</t>
  </si>
  <si>
    <t>Soil and water conservation:</t>
  </si>
  <si>
    <t xml:space="preserve">    Total economic and physical</t>
  </si>
  <si>
    <t xml:space="preserve">     development</t>
  </si>
  <si>
    <t>Human services:</t>
  </si>
  <si>
    <t>Health:</t>
  </si>
  <si>
    <t xml:space="preserve">  Administration:</t>
  </si>
  <si>
    <t xml:space="preserve">  Health promotion:</t>
  </si>
  <si>
    <t xml:space="preserve">  Tuberculosis:</t>
  </si>
  <si>
    <t xml:space="preserve">  Home health:</t>
  </si>
  <si>
    <t xml:space="preserve">  Family planning:</t>
  </si>
  <si>
    <t xml:space="preserve">  Maternal and child health:</t>
  </si>
  <si>
    <t xml:space="preserve">  Women, infants, and children:</t>
  </si>
  <si>
    <t xml:space="preserve">  Environmental health:</t>
  </si>
  <si>
    <t xml:space="preserve">  Migrant health:</t>
  </si>
  <si>
    <t xml:space="preserve">  Total health</t>
  </si>
  <si>
    <t>Mental health:</t>
  </si>
  <si>
    <t>Carolina Area Mental Health</t>
  </si>
  <si>
    <t>Social services:</t>
  </si>
  <si>
    <t xml:space="preserve">  AFDC:</t>
  </si>
  <si>
    <t>Assistance payments</t>
  </si>
  <si>
    <t xml:space="preserve">  Medical assistance program:</t>
  </si>
  <si>
    <t xml:space="preserve">  Title III program:</t>
  </si>
  <si>
    <t xml:space="preserve">  Income maintenance programs:</t>
  </si>
  <si>
    <t xml:space="preserve">  Food stamp program:</t>
  </si>
  <si>
    <t xml:space="preserve">  Adult day care:</t>
  </si>
  <si>
    <t xml:space="preserve">  Child support enforcement:</t>
  </si>
  <si>
    <t xml:space="preserve">  Other assistance:</t>
  </si>
  <si>
    <t>Total social services</t>
  </si>
  <si>
    <t>Community based alternatives:</t>
  </si>
  <si>
    <t xml:space="preserve">Total community based </t>
  </si>
  <si>
    <t xml:space="preserve">  alternatives</t>
  </si>
  <si>
    <t>Veterans service officer:</t>
  </si>
  <si>
    <t>Total veterans service</t>
  </si>
  <si>
    <t xml:space="preserve">  officer</t>
  </si>
  <si>
    <t>Contribution to County Hospital</t>
  </si>
  <si>
    <t xml:space="preserve">    Total human services</t>
  </si>
  <si>
    <t>Cultural and recreational:</t>
  </si>
  <si>
    <t>Recreation:</t>
  </si>
  <si>
    <t>Libraries:</t>
  </si>
  <si>
    <t>Contribution to regional library</t>
  </si>
  <si>
    <t>Total culture and recreation</t>
  </si>
  <si>
    <t>Education:</t>
  </si>
  <si>
    <t>Public schools - local current expense</t>
  </si>
  <si>
    <t>Public schools - capital outlay</t>
  </si>
  <si>
    <t>Community colleges - local current expense</t>
  </si>
  <si>
    <t>Community colleges - capital outlay</t>
  </si>
  <si>
    <t>Total education</t>
  </si>
  <si>
    <t>Total debt service</t>
  </si>
  <si>
    <t xml:space="preserve">  Total expenditures</t>
  </si>
  <si>
    <t>Revenues over expenditures</t>
  </si>
  <si>
    <t>Transfers from other funds:</t>
  </si>
  <si>
    <t>School Capital Projects Fund</t>
  </si>
  <si>
    <t>Transfers to other funds:</t>
  </si>
  <si>
    <t>Tax Revaluation Fund</t>
  </si>
  <si>
    <t>Capital Reserve Fund</t>
  </si>
  <si>
    <t>Water and Sewer Fund District-No. 1</t>
  </si>
  <si>
    <t xml:space="preserve">    Total net transfers</t>
  </si>
  <si>
    <t>Total other financing</t>
  </si>
  <si>
    <t xml:space="preserve">  sources (uses)</t>
  </si>
  <si>
    <t>Fund balance, ending</t>
  </si>
  <si>
    <r>
      <rPr>
        <b/>
        <sz val="10"/>
        <rFont val="Arial"/>
        <family val="2"/>
      </rPr>
      <t>Note to preparer</t>
    </r>
    <r>
      <rPr>
        <sz val="10"/>
        <rFont val="Arial"/>
        <family val="2"/>
      </rPr>
      <t xml:space="preserve">: Counties that do not have eligible fire or rescue squad workers will not have a line item for on behalf payments made for fringe benefits and salaries. Please see note on page 109.  </t>
    </r>
  </si>
  <si>
    <t>Tax listing</t>
  </si>
  <si>
    <t>Other financing sources:</t>
  </si>
  <si>
    <t>Transfer in:</t>
  </si>
  <si>
    <t>Revenues and other sources over</t>
  </si>
  <si>
    <t>(under) expenditures</t>
  </si>
  <si>
    <t>Appropriated fund balance</t>
  </si>
  <si>
    <t>Revenues, other sources, and</t>
  </si>
  <si>
    <t>appropriated fund balance over</t>
  </si>
  <si>
    <t>Fund balance, beginning</t>
  </si>
  <si>
    <r>
      <rPr>
        <b/>
        <sz val="10"/>
        <rFont val="Arial"/>
        <family val="2"/>
      </rPr>
      <t>Note to Preparer</t>
    </r>
    <r>
      <rPr>
        <sz val="10"/>
        <rFont val="Arial"/>
        <family val="2"/>
      </rPr>
      <t xml:space="preserve">:  </t>
    </r>
    <r>
      <rPr>
        <sz val="10"/>
        <color indexed="8"/>
        <rFont val="Arial"/>
        <family val="2"/>
      </rPr>
      <t>The Tax Revaluation Fund is consolidated in the General Fund.  In this example the unit of government did not have the governing body obligate a specific revenue source to be used for the tax revaluation expenditures.  A unit of government that had their governing body approve a specific revenue source for this fund may classify the fund as a special revenue fund.  The fund balance of the Tax Revaluation Fund is classified as committed, in either fund, since the use of the funds cannot be changed without the majority vote of the governing board.  Money in the Tax Revaluation Fund is also classified as restricted assets because its use is restricted per North Carolina General Statute 153A-150.</t>
    </r>
  </si>
  <si>
    <t>Combining Balance Sheet</t>
  </si>
  <si>
    <t>Non-major Governmental Funds</t>
  </si>
  <si>
    <t>Special Revenue Funds</t>
  </si>
  <si>
    <t>Capital Projects Funds</t>
  </si>
  <si>
    <t>Emergency
Telephone
System
Fund</t>
  </si>
  <si>
    <t>Fire
District
Fund</t>
  </si>
  <si>
    <t>Representative Payee Fund</t>
  </si>
  <si>
    <t>Deed of Trust Fund</t>
  </si>
  <si>
    <t>Fines and Forfeitures Fund</t>
  </si>
  <si>
    <t>Opioid Settlement Fund</t>
  </si>
  <si>
    <t>Total Nonmajor Special Revenue Funds</t>
  </si>
  <si>
    <t>Northwest
Capital
Projects
Fund</t>
  </si>
  <si>
    <t>School
Capital
Projects
Fund</t>
  </si>
  <si>
    <t>Total Nonmajor Capital Projects Funds</t>
  </si>
  <si>
    <t xml:space="preserve">Total Nonmajor Governmental Funds </t>
  </si>
  <si>
    <t>Accounts receivable, net</t>
  </si>
  <si>
    <t>Taxes receivable, net</t>
  </si>
  <si>
    <t>Accounts payable and accrued
 liabilities</t>
  </si>
  <si>
    <t>Taxes receivable</t>
  </si>
  <si>
    <t>Total deferred inflows of resources</t>
  </si>
  <si>
    <t xml:space="preserve">          Stabilization by State Statute</t>
  </si>
  <si>
    <t xml:space="preserve">          Fire Protection</t>
  </si>
  <si>
    <t xml:space="preserve">          School Capital</t>
  </si>
  <si>
    <t xml:space="preserve">          Health Services</t>
  </si>
  <si>
    <t xml:space="preserve">          Education</t>
  </si>
  <si>
    <t>Assigned</t>
  </si>
  <si>
    <t xml:space="preserve">          Recreation Capital Outlay</t>
  </si>
  <si>
    <t xml:space="preserve">          Future School Capital Outlay</t>
  </si>
  <si>
    <t>Unassigned</t>
  </si>
  <si>
    <r>
      <t xml:space="preserve">Note to Preparer: </t>
    </r>
    <r>
      <rPr>
        <sz val="10"/>
        <color indexed="8"/>
        <rFont val="Arial"/>
        <family val="2"/>
      </rPr>
      <t>With implementation of GASB Statement No. 84, the Representative Payee Fund, Deed of Trust Fund and Fines and Forfeitures Funds were reclassed from Agency Funds to Special Revenue Funds.</t>
    </r>
  </si>
  <si>
    <r>
      <t xml:space="preserve">Note to Preparer:  </t>
    </r>
    <r>
      <rPr>
        <sz val="10"/>
        <color indexed="8"/>
        <rFont val="Arial"/>
        <family val="2"/>
      </rPr>
      <t xml:space="preserve">Under GASB Statement No. 54 the Capital Reserve  Fund is consolidated in the existing School Capital Projects Fund as the unit plans to use funds for future school capital construction. </t>
    </r>
  </si>
  <si>
    <t>Combining Statement of Revenues, Expenditures, and Changes in Fund Balance</t>
  </si>
  <si>
    <t>Special Revenue Fund</t>
  </si>
  <si>
    <t xml:space="preserve">Total
Nonmajor Governmental Funds </t>
  </si>
  <si>
    <t>Net change in fund balances</t>
  </si>
  <si>
    <t>Fund balances, beginning, as restated</t>
  </si>
  <si>
    <t>Emergency Telephone System Fund</t>
  </si>
  <si>
    <t xml:space="preserve">Statement of Revenues, Expenditures, and </t>
  </si>
  <si>
    <t>Revenues</t>
  </si>
  <si>
    <t>Implemental functions</t>
  </si>
  <si>
    <t>Telephone</t>
  </si>
  <si>
    <t>Software maintenance</t>
  </si>
  <si>
    <t>Hardware maintenance</t>
  </si>
  <si>
    <t>Training</t>
  </si>
  <si>
    <t>S.L. 2010-158 expenditures</t>
  </si>
  <si>
    <t>Transfer to Capital Project Fund**</t>
  </si>
  <si>
    <t xml:space="preserve">**The County transferred  $10,000 of eligible  911 funds to the Northwest Capital project fund for Radio Network Switching Equipment for Dispatch Consoles for the recreation center.  </t>
  </si>
  <si>
    <r>
      <t xml:space="preserve">Note to Preparer:  </t>
    </r>
    <r>
      <rPr>
        <sz val="10"/>
        <color indexed="8"/>
        <rFont val="Arial"/>
        <family val="2"/>
      </rPr>
      <t xml:space="preserve">Please describe any transfers to/from the Emergency Telephone System Fund on this schedule.  </t>
    </r>
  </si>
  <si>
    <t>Fire District Fund</t>
  </si>
  <si>
    <t>Current year</t>
  </si>
  <si>
    <t>Prior year</t>
  </si>
  <si>
    <t xml:space="preserve">   Public safety:</t>
  </si>
  <si>
    <t>Fire District No. 1</t>
  </si>
  <si>
    <t>Fire District No. 2</t>
  </si>
  <si>
    <t xml:space="preserve">   Human services</t>
  </si>
  <si>
    <t>Payments made for the benefit of beneficiaries</t>
  </si>
  <si>
    <t>Fund balance, beginning, as previously reported</t>
  </si>
  <si>
    <t>Fund balance, beginning, as restated</t>
  </si>
  <si>
    <r>
      <t xml:space="preserve">Note to Preparer:  </t>
    </r>
    <r>
      <rPr>
        <sz val="10"/>
        <color indexed="8"/>
        <rFont val="Arial"/>
        <family val="2"/>
      </rPr>
      <t xml:space="preserve">As a result of the implementation of GASB Statement No. 84 - </t>
    </r>
    <r>
      <rPr>
        <i/>
        <sz val="10"/>
        <color indexed="8"/>
        <rFont val="Arial"/>
        <family val="2"/>
      </rPr>
      <t>Fiduciary Activities</t>
    </r>
    <r>
      <rPr>
        <sz val="10"/>
        <color indexed="8"/>
        <rFont val="Arial"/>
        <family val="2"/>
      </rPr>
      <t>, the DSS Client Funds, formerly reported as agency funds, have been renamed Representative Payee Funds and are now required to be reported as a governmental fund type.  Carolina County has chosen to report these funds in a special revenue fund.  Also, in the notes to the financial statements, consider adding a link to the federal website at
https://www.ssa.gov/payee/faqrep.htm</t>
    </r>
    <r>
      <rPr>
        <b/>
        <sz val="10"/>
        <color indexed="8"/>
        <rFont val="ARIAL"/>
        <family val="2"/>
      </rPr>
      <t>.</t>
    </r>
  </si>
  <si>
    <t xml:space="preserve">   General government</t>
  </si>
  <si>
    <t xml:space="preserve">Payments of fees collected to the </t>
  </si>
  <si>
    <t>State of North Carolina</t>
  </si>
  <si>
    <r>
      <t xml:space="preserve">Note to Preparer:  </t>
    </r>
    <r>
      <rPr>
        <sz val="10"/>
        <color indexed="8"/>
        <rFont val="Arial"/>
        <family val="2"/>
      </rPr>
      <t>As a result of the implementation of GASB Statement No. 84 -</t>
    </r>
    <r>
      <rPr>
        <i/>
        <sz val="10"/>
        <color indexed="8"/>
        <rFont val="Arial"/>
        <family val="2"/>
      </rPr>
      <t xml:space="preserve"> Fiduciary Activities</t>
    </r>
    <r>
      <rPr>
        <sz val="10"/>
        <color indexed="8"/>
        <rFont val="Arial"/>
        <family val="2"/>
      </rPr>
      <t xml:space="preserve">, the Deed of Trust funds collected that are required to be remitted to the State, formerly reported as agency funds,  are now required to be reported as a governmental fund type.  Carolina County has chosen to report these funds in a special revenue fund.  </t>
    </r>
  </si>
  <si>
    <t>Penalties, fines and forfeitures</t>
  </si>
  <si>
    <t xml:space="preserve">Payments of penalties, fines and forfeitures to the </t>
  </si>
  <si>
    <t>Carolina County Board of Education</t>
  </si>
  <si>
    <r>
      <t xml:space="preserve">Note to Preparer:  </t>
    </r>
    <r>
      <rPr>
        <sz val="10"/>
        <color indexed="8"/>
        <rFont val="Arial"/>
        <family val="2"/>
      </rPr>
      <t>As a result of the implementation of GASB Statement No. 84 -</t>
    </r>
    <r>
      <rPr>
        <i/>
        <sz val="10"/>
        <color indexed="8"/>
        <rFont val="Arial"/>
        <family val="2"/>
      </rPr>
      <t xml:space="preserve"> Fiduciary Activities</t>
    </r>
    <r>
      <rPr>
        <sz val="10"/>
        <color indexed="8"/>
        <rFont val="Arial"/>
        <family val="2"/>
      </rPr>
      <t xml:space="preserve">, fines and forfeitures assessed that are required to be remitted to the Carolina County Board of Education, formerly reported as agency funds,  are now required to be reported as a governmental fund type.  Carolina County has chosen to report these funds in a special revenue fund.  </t>
    </r>
  </si>
  <si>
    <t>Opioid Settlement Funds</t>
  </si>
  <si>
    <t>Health and Human Services</t>
  </si>
  <si>
    <t>Collaborative strategic planning</t>
  </si>
  <si>
    <t>Opioid addiction treatment</t>
  </si>
  <si>
    <t>Recovery support services</t>
  </si>
  <si>
    <t>Recovery housing</t>
  </si>
  <si>
    <t>Employment related services</t>
  </si>
  <si>
    <t>Early intervention</t>
  </si>
  <si>
    <t>Naloxone distribution</t>
  </si>
  <si>
    <t>Post-overdose response team</t>
  </si>
  <si>
    <t>Syringe service program</t>
  </si>
  <si>
    <t>Criminal justice diversion program</t>
  </si>
  <si>
    <t>Addiction treatment for incarcerated persons</t>
  </si>
  <si>
    <t>Reentry programs</t>
  </si>
  <si>
    <t>Transfer Out - General Fund</t>
  </si>
  <si>
    <t>Northwest Capital Projects Fund</t>
  </si>
  <si>
    <t>Project Authorization</t>
  </si>
  <si>
    <t>Prior</t>
  </si>
  <si>
    <t>Current</t>
  </si>
  <si>
    <t>Total to</t>
  </si>
  <si>
    <t>Years</t>
  </si>
  <si>
    <t>Year</t>
  </si>
  <si>
    <t>Date</t>
  </si>
  <si>
    <t>Park Renovation:</t>
  </si>
  <si>
    <t>Contributions - XYZ Corp.</t>
  </si>
  <si>
    <t>Outdoor Theater:</t>
  </si>
  <si>
    <t>Network Switching Equipment</t>
  </si>
  <si>
    <t>911 Revenue Interest</t>
  </si>
  <si>
    <t>Capital outlay:</t>
  </si>
  <si>
    <t>Culture and recreation:</t>
  </si>
  <si>
    <t>Buildings</t>
  </si>
  <si>
    <t>Other  improvements</t>
  </si>
  <si>
    <t>Feasibility study</t>
  </si>
  <si>
    <t xml:space="preserve">      Total</t>
  </si>
  <si>
    <t>Revenues under expenditures</t>
  </si>
  <si>
    <t>Transfers  from</t>
  </si>
  <si>
    <t>Radio Network Switching</t>
  </si>
  <si>
    <t>General obligation bonds issued</t>
  </si>
  <si>
    <t>Total other financing sources</t>
  </si>
  <si>
    <t>Revenues and other sources</t>
  </si>
  <si>
    <t xml:space="preserve">  over (under) expenditures</t>
  </si>
  <si>
    <t>Project</t>
  </si>
  <si>
    <t>Author-</t>
  </si>
  <si>
    <t>ization</t>
  </si>
  <si>
    <t>Public School Building</t>
  </si>
  <si>
    <t>Capital Fund</t>
  </si>
  <si>
    <t>Capital Fund - lottery</t>
  </si>
  <si>
    <t>Bond Act of 1996</t>
  </si>
  <si>
    <t>Intergovernmental - education:</t>
  </si>
  <si>
    <t>NC State Senior High</t>
  </si>
  <si>
    <t>Tar Heel Elementary</t>
  </si>
  <si>
    <t>Duke Elementary - lottery</t>
  </si>
  <si>
    <t>Duke Elementary</t>
  </si>
  <si>
    <t>Revenues over (under)</t>
  </si>
  <si>
    <t>expenditures</t>
  </si>
  <si>
    <t xml:space="preserve">Transfers from </t>
  </si>
  <si>
    <t>Transfers to</t>
  </si>
  <si>
    <t xml:space="preserve">  sources</t>
  </si>
  <si>
    <t>over expenditures</t>
  </si>
  <si>
    <t>(cont)</t>
  </si>
  <si>
    <t xml:space="preserve">Fund Balance, ending </t>
  </si>
  <si>
    <t>Amounts reported for Revenue, Expenditures and Changes in Fund Balance are different from the Budget/Actual Statement due to consolidation of the Capital Reserve Fund:</t>
  </si>
  <si>
    <t>Investment Earnings</t>
  </si>
  <si>
    <t>Transfer-In</t>
  </si>
  <si>
    <t>Fund Balance, Beginning (Capital Reserve Fund)</t>
  </si>
  <si>
    <t>Fund Balance, Ending (Consolidated School Capital Projects Fund)</t>
  </si>
  <si>
    <r>
      <t xml:space="preserve">Note to preparer:  </t>
    </r>
    <r>
      <rPr>
        <sz val="10"/>
        <color indexed="8"/>
        <rFont val="Arial"/>
        <family val="2"/>
      </rPr>
      <t xml:space="preserve">The unit's spending policy indicates that restricted funds are used before County funds for expenditures for this Capital Project Fund.  Based on this policy, the School Capital Projects Fund's  fund balance of $10,270 is derived from transfers in from the General Fund, which would be classified as assigned.  In other circumstances fund balance could be classified as Committed in Capital Project Funds.  Please review Memorandum #2010-35 for more information. </t>
    </r>
  </si>
  <si>
    <t>Transfers in:</t>
  </si>
  <si>
    <t>Transfers out:</t>
  </si>
  <si>
    <t>Capital Projects Fund</t>
  </si>
  <si>
    <t>sources (uses)</t>
  </si>
  <si>
    <r>
      <t xml:space="preserve">Note to preparer:  </t>
    </r>
    <r>
      <rPr>
        <sz val="11"/>
        <color indexed="8"/>
        <rFont val="Arial"/>
        <family val="2"/>
      </rPr>
      <t>Under GASB Statement No. 54 this fund is reclassified in the School Capital Projects Fund as the unit plans to use funds for future school capital construction.  The revenue source for this fund is restricted by G.S. 159-18 through 22 for specific purposes and is therefore classified as restricted cash and fund balance.</t>
    </r>
  </si>
  <si>
    <t>Landfill Fund</t>
  </si>
  <si>
    <t>Schedule of Revenues and Expenditures</t>
  </si>
  <si>
    <t>Budget and Actual (Non - GAAP)</t>
  </si>
  <si>
    <t>Operating revenues:</t>
  </si>
  <si>
    <t>Charges for services:</t>
  </si>
  <si>
    <t>Solid waste charges</t>
  </si>
  <si>
    <t>Recycling</t>
  </si>
  <si>
    <t>Solid waste disposal fees</t>
  </si>
  <si>
    <t>Other operating revenues</t>
  </si>
  <si>
    <t>Nonoperating revenues:</t>
  </si>
  <si>
    <t>Landfill administration:</t>
  </si>
  <si>
    <t>Supplies</t>
  </si>
  <si>
    <t>Landfill operations:</t>
  </si>
  <si>
    <t>Repair and maintenance</t>
  </si>
  <si>
    <t>Solid waste disposal tax remittance</t>
  </si>
  <si>
    <t>Capital outlays</t>
  </si>
  <si>
    <t>Other financing uses:</t>
  </si>
  <si>
    <t>Landfill Closure and Postclosure</t>
  </si>
  <si>
    <t>Reserve Fund</t>
  </si>
  <si>
    <t>Revenues over expenditures and</t>
  </si>
  <si>
    <t>other uses</t>
  </si>
  <si>
    <t>Reconciliation from budgetary basis</t>
  </si>
  <si>
    <t>(modified accrual) to full accrual:</t>
  </si>
  <si>
    <t>Reconciling items:</t>
  </si>
  <si>
    <t xml:space="preserve">Increase in deferred outflows of resources  - pensions </t>
  </si>
  <si>
    <t xml:space="preserve">Increase in net pension liability </t>
  </si>
  <si>
    <t xml:space="preserve">Decrease in deferred inflows of resources - pensions </t>
  </si>
  <si>
    <t>Increase in deferred outflows of resources  - OPEB</t>
  </si>
  <si>
    <t>Decrease in net OPEB liability</t>
  </si>
  <si>
    <t>(Increase) in deferred inflows of resources - OPEB</t>
  </si>
  <si>
    <t>(Increase) in accrued landfill closure and postclosure care costs</t>
  </si>
  <si>
    <t>Transfer to Landfill Closure and Postclosure</t>
  </si>
  <si>
    <t>(Increase) in accrued vacation pay</t>
  </si>
  <si>
    <t>Total reconciling items</t>
  </si>
  <si>
    <t>Landfill Closure and Postclosure Reserve Fund</t>
  </si>
  <si>
    <t>Schedule of Revenues - Budget and Actual (Non - GAAP)</t>
  </si>
  <si>
    <t>Author -</t>
  </si>
  <si>
    <t xml:space="preserve">Current </t>
  </si>
  <si>
    <t>Landfill Operating Fund</t>
  </si>
  <si>
    <t>Revenues and other financing sources</t>
  </si>
  <si>
    <t>Water and Sewer District Fund No. 1</t>
  </si>
  <si>
    <t>Budget and Actual (Non-GAAP)</t>
  </si>
  <si>
    <t xml:space="preserve">   Water sales:</t>
  </si>
  <si>
    <t>Residential</t>
  </si>
  <si>
    <t>Commercial and industrial</t>
  </si>
  <si>
    <t xml:space="preserve">   Sewer charges:</t>
  </si>
  <si>
    <t xml:space="preserve">  Water and sewer taps</t>
  </si>
  <si>
    <t xml:space="preserve">  Other operating revenues</t>
  </si>
  <si>
    <t>Interest earnings</t>
  </si>
  <si>
    <t>Total revenues and other</t>
  </si>
  <si>
    <t xml:space="preserve">   financing sources</t>
  </si>
  <si>
    <t>Travel</t>
  </si>
  <si>
    <t>Insurance</t>
  </si>
  <si>
    <t>Water treatment plant:</t>
  </si>
  <si>
    <t>Chemicals</t>
  </si>
  <si>
    <t>Raw water pump station:</t>
  </si>
  <si>
    <t>Electric power</t>
  </si>
  <si>
    <t>Water distribution:</t>
  </si>
  <si>
    <t>Meter replacements</t>
  </si>
  <si>
    <t>Sewage collection:</t>
  </si>
  <si>
    <t>Primary waste treatment:</t>
  </si>
  <si>
    <t>Secondary waste treatment:</t>
  </si>
  <si>
    <t>Maintenance:</t>
  </si>
  <si>
    <t>Debt principal</t>
  </si>
  <si>
    <t xml:space="preserve"> (continued) </t>
  </si>
  <si>
    <t>Water extensions</t>
  </si>
  <si>
    <t>Water taps</t>
  </si>
  <si>
    <t>Miscellaneous water</t>
  </si>
  <si>
    <t>Sewer extensions</t>
  </si>
  <si>
    <t>Sewer taps</t>
  </si>
  <si>
    <t>Miscellaneous sewer</t>
  </si>
  <si>
    <t xml:space="preserve">    over expenditures</t>
  </si>
  <si>
    <t>Capital contributions in Water and</t>
  </si>
  <si>
    <t xml:space="preserve">   Sewer Capital Project Fund No. 1</t>
  </si>
  <si>
    <t xml:space="preserve">Decrease in net pension asset </t>
  </si>
  <si>
    <t>Increase in deferred outflows of resources - OPEB</t>
  </si>
  <si>
    <t>(Increase) in bond interest accrued</t>
  </si>
  <si>
    <t>Interest income from Water and Sewer</t>
  </si>
  <si>
    <t xml:space="preserve">   Capital Project Fund No. 1</t>
  </si>
  <si>
    <t>Capitalized interest on borrowings</t>
  </si>
  <si>
    <t xml:space="preserve">   during construction:</t>
  </si>
  <si>
    <t xml:space="preserve">      Interest costs</t>
  </si>
  <si>
    <t xml:space="preserve">      Investment earnings on </t>
  </si>
  <si>
    <t xml:space="preserve">        borrowed funds</t>
  </si>
  <si>
    <t>Water and Sewer District  No.1 Capital Projects Fund</t>
  </si>
  <si>
    <t>Schedule of Revenues and Expenditures - Budget and Actual (Non - GAAP)</t>
  </si>
  <si>
    <t xml:space="preserve">Revenues - Water Project: </t>
  </si>
  <si>
    <t>Federal grant</t>
  </si>
  <si>
    <t>Revenues - Sewer Project:</t>
  </si>
  <si>
    <t>Expenditures - Water Project:</t>
  </si>
  <si>
    <t>Engineering</t>
  </si>
  <si>
    <t>Construction</t>
  </si>
  <si>
    <t>Expenditures - Sewer Project:</t>
  </si>
  <si>
    <t>Land</t>
  </si>
  <si>
    <t xml:space="preserve">Other financing sources </t>
  </si>
  <si>
    <t>Long-term debt issued</t>
  </si>
  <si>
    <t>BANS issued</t>
  </si>
  <si>
    <t xml:space="preserve">   sources</t>
  </si>
  <si>
    <t xml:space="preserve">   over (under) expenditures</t>
  </si>
  <si>
    <t>$</t>
  </si>
  <si>
    <t>Water and Sewer District Fund No. 2</t>
  </si>
  <si>
    <t xml:space="preserve">  over expenditures</t>
  </si>
  <si>
    <t>Reconciling item:</t>
  </si>
  <si>
    <t>(Increase) in net pension liability</t>
  </si>
  <si>
    <t xml:space="preserve"> Increase in deferred outflows of resources  - pensions </t>
  </si>
  <si>
    <t xml:space="preserve">(Increase) in deferred inflows of resources - pensions </t>
  </si>
  <si>
    <t xml:space="preserve">Capital contributions in Water and </t>
  </si>
  <si>
    <t>Sewer No. 2 Capital Project Fund</t>
  </si>
  <si>
    <t>Water and Sewer District No. 2 Capital Projects Fund</t>
  </si>
  <si>
    <t>Capital contribution</t>
  </si>
  <si>
    <t>Other financing sources</t>
  </si>
  <si>
    <t xml:space="preserve">   over expenditures</t>
  </si>
  <si>
    <t>Combining Statement of Fiduciary Net Position</t>
  </si>
  <si>
    <t>Pension Trust Funds</t>
  </si>
  <si>
    <t>Other Post-employment Benefits</t>
  </si>
  <si>
    <t>Assets</t>
  </si>
  <si>
    <t>Net position:</t>
  </si>
  <si>
    <t>Assets held in trust for pension benefits</t>
  </si>
  <si>
    <t>Combining Statement of Changes in Fiduciary Net Position</t>
  </si>
  <si>
    <t>Additions:</t>
  </si>
  <si>
    <t>Net appreciation (depreciation)</t>
  </si>
  <si>
    <t xml:space="preserve">  in fair value of investments</t>
  </si>
  <si>
    <t xml:space="preserve">   Net investment income</t>
  </si>
  <si>
    <t xml:space="preserve">   Total additions</t>
  </si>
  <si>
    <t>Deductions:</t>
  </si>
  <si>
    <t>Benefits</t>
  </si>
  <si>
    <t>Municipal Tax Fund</t>
  </si>
  <si>
    <t>Jail Inmate Pay Fund</t>
  </si>
  <si>
    <t>Total Custodial Funds</t>
  </si>
  <si>
    <r>
      <t xml:space="preserve">Note to Preparer:  </t>
    </r>
    <r>
      <rPr>
        <sz val="10"/>
        <color indexed="8"/>
        <rFont val="Arial"/>
        <family val="2"/>
      </rPr>
      <t>As a result of the implementation of GASB Statement No. 84 -</t>
    </r>
    <r>
      <rPr>
        <i/>
        <sz val="10"/>
        <color indexed="8"/>
        <rFont val="Arial"/>
        <family val="2"/>
      </rPr>
      <t xml:space="preserve"> Fiduciary Activities</t>
    </r>
    <r>
      <rPr>
        <sz val="10"/>
        <color indexed="8"/>
        <rFont val="Arial"/>
        <family val="2"/>
      </rPr>
      <t xml:space="preserve">, the Jail Inmate Pay Fund, formerly reported in the general fund, is now required to be reported as a custodial fund type. </t>
    </r>
    <r>
      <rPr>
        <sz val="10"/>
        <color indexed="8"/>
        <rFont val="Arial"/>
        <family val="2"/>
      </rPr>
      <t>A change in accounting principle should be reflected in the general fund to move the related fund balance to the Fiduciary Fund Statements.</t>
    </r>
  </si>
  <si>
    <r>
      <t xml:space="preserve">Note to Preparer:  </t>
    </r>
    <r>
      <rPr>
        <sz val="10"/>
        <color indexed="8"/>
        <rFont val="Arial"/>
        <family val="2"/>
      </rPr>
      <t>Ad valorem tax receivables other than vehicle property taxes should be recorded in the Municipal Tax Fund for each municipality for which the County bills and collects taxes at the time of the levy.  An estimate of the allowance for uncollectible taxes should also be recorded related to the Municipal Tax Fund.  Vehicle property taxes that are collected by the State of North Carolina and passed through the County should only be recorded when collected because the levies are considered an offer.  Receivables related to vehicle taxes should be recorded to the extent that the State collected the funds during the fiscal year but had not yet remitted them to the County.  Because the County is obligated to remit the taxes to the various municipalities only upon collection, no payable is recorded until the taxes are collected.  See the DST website for further information.</t>
    </r>
  </si>
  <si>
    <t>Ad valorem taxes for other governments</t>
  </si>
  <si>
    <t>Net position, beginning, as restated</t>
  </si>
  <si>
    <t>Discretely Presented Component Unit</t>
  </si>
  <si>
    <t>Supplemental Balance Sheet</t>
  </si>
  <si>
    <t>Accounts Receivables, net</t>
  </si>
  <si>
    <t xml:space="preserve">  Stabilization by State Statute</t>
  </si>
  <si>
    <t>Total liabilities and fund balances</t>
  </si>
  <si>
    <t>Amounts reported for the Carolina County Tourism Development Authority (Exhibit 1) are different because:</t>
  </si>
  <si>
    <t>Total Fund Balance, Tourism Development Authority</t>
  </si>
  <si>
    <t>Long-term liabilities used in governmental activities are not financial uses and therefore are not reported in the funds</t>
  </si>
  <si>
    <t>Deferred outflows of resources related to pensions are not reported in the funds</t>
  </si>
  <si>
    <t>Deferred inflows of resources related to pensions are not reported in the funds</t>
  </si>
  <si>
    <t>Other long-term liabilities (compensated absences) are not due and payable in the current period and therefore are not reported in the funds.</t>
  </si>
  <si>
    <t>Net position of the Tourism Development Authority</t>
  </si>
  <si>
    <t>Note: This is a discretely presented component unit that does not issue separate financial statements.</t>
  </si>
  <si>
    <t>Supplemental Statement of Revenues, Expenditures, and Changes in Fund Balance</t>
  </si>
  <si>
    <t>Occupancy taxes</t>
  </si>
  <si>
    <t>Grants</t>
  </si>
  <si>
    <t>Event expenditures</t>
  </si>
  <si>
    <t>Decrease in accrued vacation pay</t>
  </si>
  <si>
    <t xml:space="preserve">     Total reconciling items</t>
  </si>
  <si>
    <t xml:space="preserve">Supplemental Statement of Revenues, Expenditures and Changes in Fund Balance - </t>
  </si>
  <si>
    <t xml:space="preserve">Budget and Actual </t>
  </si>
  <si>
    <t xml:space="preserve">Revenues and Appropriated Fund Balance </t>
  </si>
  <si>
    <t>Over (Under) Expenditures</t>
  </si>
  <si>
    <t>Schedule of Ad Valorem Taxes Receivable</t>
  </si>
  <si>
    <t>Uncollected</t>
  </si>
  <si>
    <t>Beginning</t>
  </si>
  <si>
    <t>Collections</t>
  </si>
  <si>
    <t>Ending</t>
  </si>
  <si>
    <t>Fiscal Year</t>
  </si>
  <si>
    <t xml:space="preserve">  Balance</t>
  </si>
  <si>
    <t>Additions</t>
  </si>
  <si>
    <t>And Credits</t>
  </si>
  <si>
    <t>2020-2021</t>
  </si>
  <si>
    <t>(a)</t>
  </si>
  <si>
    <t>(b)</t>
  </si>
  <si>
    <t>(c)</t>
  </si>
  <si>
    <t>2019-2020</t>
  </si>
  <si>
    <t>2018-2019</t>
  </si>
  <si>
    <t>2017-2018</t>
  </si>
  <si>
    <t>2016-2017</t>
  </si>
  <si>
    <t>2015-2016</t>
  </si>
  <si>
    <t>2014-2015</t>
  </si>
  <si>
    <t>2013-2014</t>
  </si>
  <si>
    <t>2012-2013</t>
  </si>
  <si>
    <t>2011-2012</t>
  </si>
  <si>
    <t>(d)</t>
  </si>
  <si>
    <t>Less:  allowance for uncollectible accounts:</t>
  </si>
  <si>
    <t xml:space="preserve">    General Fund</t>
  </si>
  <si>
    <t>Ad valorem taxes receivable - net:</t>
  </si>
  <si>
    <t>Reconciliation with revenues:</t>
  </si>
  <si>
    <t>Ad valorem taxes - General Fund</t>
  </si>
  <si>
    <t>Penalties collected on ad valorem taxes - Fines &amp; Forfeitures Fund</t>
  </si>
  <si>
    <t xml:space="preserve">Collections </t>
  </si>
  <si>
    <t xml:space="preserve">    Reconciling items:</t>
  </si>
  <si>
    <t xml:space="preserve">        Interest Collected</t>
  </si>
  <si>
    <t xml:space="preserve">        Rebates, releases and discounts</t>
  </si>
  <si>
    <t xml:space="preserve">        Taxes written off </t>
  </si>
  <si>
    <t xml:space="preserve">            Total reconciling items</t>
  </si>
  <si>
    <t>Total collections and credits</t>
  </si>
  <si>
    <r>
      <t xml:space="preserve">Note to preparer:  </t>
    </r>
    <r>
      <rPr>
        <sz val="10"/>
        <color indexed="8"/>
        <rFont val="Arial"/>
        <family val="2"/>
      </rPr>
      <t>The lowercase letters next to certain amounts on the Analysis of Current Tax Levy and in the above schedule show the relationships of taxes levied, taxes collected, and uncollected taxes on both schedules.</t>
    </r>
  </si>
  <si>
    <t xml:space="preserve">The interest collected shown on the above reconciliation of revenues should agree with the interest amounts reported in the General Fund's detailed Schedule of Revenues, Expenditures, and Changes in Fund Balances - Budget to Actual. </t>
  </si>
  <si>
    <r>
      <t>For budget purposes interest, discovery/"late listing" penalties, service fees, advertising fees and other costs are not principal tax and should be excluded from the collection percentage calculation.  Please refer to Budgets and Tax Collection Percentage (</t>
    </r>
    <r>
      <rPr>
        <u/>
        <sz val="10"/>
        <color indexed="8"/>
        <rFont val="Arial"/>
        <family val="2"/>
      </rPr>
      <t>http://canons.sog.unc.edu/?p=6483</t>
    </r>
    <r>
      <rPr>
        <sz val="10"/>
        <color indexed="8"/>
        <rFont val="Arial"/>
        <family val="2"/>
      </rPr>
      <t>) and Budgeting Under "Tag &amp;Tax Together" (https://canons.sog.unc.edu/budgeting-under-tag-tax-together/ )</t>
    </r>
    <r>
      <rPr>
        <sz val="11"/>
        <color indexed="8"/>
        <rFont val="Arial"/>
        <family val="2"/>
      </rPr>
      <t xml:space="preserve"> </t>
    </r>
    <r>
      <rPr>
        <sz val="10"/>
        <color indexed="8"/>
        <rFont val="Arial"/>
        <family val="2"/>
      </rPr>
      <t xml:space="preserve">by Chris McLaughlin from the School of Government at UNC Chapel-Hill for more information on tax collection percentages.  </t>
    </r>
  </si>
  <si>
    <t>Analysis of Current Tax Levy</t>
  </si>
  <si>
    <t>County - wide Levy</t>
  </si>
  <si>
    <t>Total Levy</t>
  </si>
  <si>
    <t>Property</t>
  </si>
  <si>
    <t>excluding</t>
  </si>
  <si>
    <t>County - wide</t>
  </si>
  <si>
    <t>Registered</t>
  </si>
  <si>
    <t>Amount</t>
  </si>
  <si>
    <t>Motor</t>
  </si>
  <si>
    <t>Valuation</t>
  </si>
  <si>
    <t>Rate</t>
  </si>
  <si>
    <t>of Levy</t>
  </si>
  <si>
    <t>Vehicles</t>
  </si>
  <si>
    <t>Original levy:</t>
  </si>
  <si>
    <t>Property taxed at current</t>
  </si>
  <si>
    <t xml:space="preserve">  year's rate</t>
  </si>
  <si>
    <t>Penalties</t>
  </si>
  <si>
    <t>Discoveries:</t>
  </si>
  <si>
    <t>Current year taxes</t>
  </si>
  <si>
    <t>Prior year taxes</t>
  </si>
  <si>
    <t>Releases</t>
  </si>
  <si>
    <t>Total property valuation</t>
  </si>
  <si>
    <t>Net levy</t>
  </si>
  <si>
    <t>Current year's taxes collected</t>
  </si>
  <si>
    <t>Current levy collection percentage</t>
  </si>
  <si>
    <t>* Amounts paid to the State by the taxpayer but not remitted to the county should be counted as collected for purposes of this schedule and not included in "Unpaid (by taxpayer)" amount.</t>
  </si>
  <si>
    <r>
      <t xml:space="preserve">Note to preparer: </t>
    </r>
    <r>
      <rPr>
        <sz val="10"/>
        <color indexed="8"/>
        <rFont val="Arial"/>
        <family val="2"/>
      </rPr>
      <t xml:space="preserve">See note on the Schedule of Ad Valorem Taxes Receivable.   The lower case letters (a), (b), and (c) next to certain amounts on both schedules show the relationships of the taxes levied, taxes collected and uncollected taxes.  </t>
    </r>
  </si>
  <si>
    <r>
      <t xml:space="preserve">The property valuations, tax rate, and levy amounts above </t>
    </r>
    <r>
      <rPr>
        <b/>
        <sz val="10"/>
        <color indexed="8"/>
        <rFont val="ARIAL"/>
        <family val="2"/>
      </rPr>
      <t xml:space="preserve">should be Unit-Wide; </t>
    </r>
    <r>
      <rPr>
        <sz val="10"/>
        <color indexed="8"/>
        <rFont val="Arial"/>
        <family val="2"/>
      </rPr>
      <t xml:space="preserve">additional taxes  levied for fire protection districts or special service districts </t>
    </r>
    <r>
      <rPr>
        <b/>
        <sz val="10"/>
        <color indexed="8"/>
        <rFont val="ARIAL"/>
        <family val="2"/>
      </rPr>
      <t xml:space="preserve">should not be included.  </t>
    </r>
    <r>
      <rPr>
        <sz val="10"/>
        <color indexed="8"/>
        <rFont val="Arial"/>
        <family val="2"/>
      </rPr>
      <t xml:space="preserve"> For further  discussion of this issue, see Section 65 of the State Treasurer's Policies Manual, Principles Used in the Preparation of the Illustrative  Financial Statements. </t>
    </r>
  </si>
  <si>
    <r>
      <t>For budget purposes interest, discovery/"late listing" penalties, service fees, advertising fees and other costs are not principal tax and should be excluded form the collection percentage calculation.  Please refer to Budgets and Tax Collection Percentage (</t>
    </r>
    <r>
      <rPr>
        <u/>
        <sz val="10"/>
        <color indexed="8"/>
        <rFont val="Arial"/>
        <family val="2"/>
      </rPr>
      <t xml:space="preserve"> http://canons.sog.unc.edu/?p=6483 </t>
    </r>
    <r>
      <rPr>
        <sz val="10"/>
        <color indexed="8"/>
        <rFont val="Arial"/>
        <family val="2"/>
      </rPr>
      <t xml:space="preserve">) by Chris McLaughlin from the School of Government at UNC Chapel-Hill for more information on tax collection percentages.  </t>
    </r>
  </si>
  <si>
    <r>
      <rPr>
        <b/>
        <sz val="10"/>
        <rFont val="Arial"/>
        <family val="2"/>
      </rPr>
      <t>Note to preparer</t>
    </r>
    <r>
      <rPr>
        <sz val="10"/>
        <rFont val="Arial"/>
        <family val="2"/>
      </rPr>
      <t xml:space="preserve">: Current year's taxes collected for motor vehicles should </t>
    </r>
    <r>
      <rPr>
        <b/>
        <sz val="10"/>
        <rFont val="Arial"/>
        <family val="2"/>
      </rPr>
      <t>not</t>
    </r>
    <r>
      <rPr>
        <sz val="10"/>
        <rFont val="Arial"/>
        <family val="2"/>
      </rPr>
      <t xml:space="preserve"> be presented net of any administrative fees charges by the State.  The number appearing in this schedule for current year's taxes collected should be the gross revenues collected.  </t>
    </r>
  </si>
  <si>
    <t>Secondary Market Disclosures:</t>
  </si>
  <si>
    <t>Assessed Valuation:</t>
  </si>
  <si>
    <t xml:space="preserve">Assessment Ratio¹    </t>
  </si>
  <si>
    <t>Real Property</t>
  </si>
  <si>
    <t>Personal Property</t>
  </si>
  <si>
    <t>Public Service Companies²</t>
  </si>
  <si>
    <t>Total Assessed Valuation</t>
  </si>
  <si>
    <t>Tax Rate per $100</t>
  </si>
  <si>
    <t>Levy (includes discoveries, releases and abatements)³</t>
  </si>
  <si>
    <t xml:space="preserve">In addition to the County-wide rate, the following table lists the levies by the County on behalf of fire protection districts for the fiscal year ended June 30:
</t>
  </si>
  <si>
    <t>Fire Protection Districts</t>
  </si>
  <si>
    <r>
      <t>¹</t>
    </r>
    <r>
      <rPr>
        <sz val="6"/>
        <rFont val="Arial"/>
        <family val="2"/>
      </rPr>
      <t xml:space="preserve"> </t>
    </r>
    <r>
      <rPr>
        <sz val="7"/>
        <rFont val="Arial"/>
        <family val="2"/>
      </rPr>
      <t>Percentage of appraised value has been established by statute.</t>
    </r>
  </si>
  <si>
    <r>
      <t xml:space="preserve">² </t>
    </r>
    <r>
      <rPr>
        <sz val="7"/>
        <rFont val="Arial"/>
        <family val="2"/>
      </rPr>
      <t>Valuation of railroads, telephone companies and other utilities as determined by the North Carolina Property Tax Commission.</t>
    </r>
  </si>
  <si>
    <r>
      <t xml:space="preserve">³ </t>
    </r>
    <r>
      <rPr>
        <sz val="7"/>
        <rFont val="Arial"/>
        <family val="2"/>
      </rPr>
      <t>The levy includes interest and penalties.</t>
    </r>
  </si>
  <si>
    <r>
      <t xml:space="preserve">Note to Preparer: </t>
    </r>
    <r>
      <rPr>
        <sz val="9"/>
        <rFont val="Arial"/>
        <family val="2"/>
      </rPr>
      <t xml:space="preserve"> The additional secondary market disclosures are presented for units which must submit secondary market disclosures under SEC Rule 15c2-12.  Units which are not required to make these disclosures may prefer to present only the information on this first page of this schedule.</t>
    </r>
  </si>
  <si>
    <t>Ten Largest Taxpayers</t>
  </si>
  <si>
    <t>Assessed</t>
  </si>
  <si>
    <t>Total Assessed</t>
  </si>
  <si>
    <t>Taxpayer</t>
  </si>
  <si>
    <t>Type of Business</t>
  </si>
  <si>
    <t>Tar Heel Power Company</t>
  </si>
  <si>
    <t>Utility</t>
  </si>
  <si>
    <t>Tobacco Processors, Inc.</t>
  </si>
  <si>
    <t>Agricultural Processor</t>
  </si>
  <si>
    <t>County Telephone Company</t>
  </si>
  <si>
    <t>Heavy Machines, Inc.</t>
  </si>
  <si>
    <t>Manufacturing</t>
  </si>
  <si>
    <t>Carolina Savings Association</t>
  </si>
  <si>
    <t>Financial Service</t>
  </si>
  <si>
    <t>Western, Inc.</t>
  </si>
  <si>
    <t>Electronic Manufacturing</t>
  </si>
  <si>
    <t>Piedmont Real Estate</t>
  </si>
  <si>
    <t>Commercial Real Estate</t>
  </si>
  <si>
    <t>Data, Inc.</t>
  </si>
  <si>
    <t>North Carolina Associates</t>
  </si>
  <si>
    <t>Property Management</t>
  </si>
  <si>
    <t>Mountain Corporation</t>
  </si>
  <si>
    <r>
      <t>Note to Preparer:</t>
    </r>
    <r>
      <rPr>
        <sz val="9"/>
        <rFont val="Arial"/>
        <family val="2"/>
      </rPr>
      <t xml:space="preserve">  The additional secondary market disclosures are presented for units which must submit secondary market disclosures under SEC Rule 15c2-12.  Units which are not required to make these disclosures may prefer to present only the information on this first page of this schedule.</t>
    </r>
  </si>
  <si>
    <t>Emergency Telephone System Unspent Balance</t>
  </si>
  <si>
    <t xml:space="preserve">PSAP Reconciliation </t>
  </si>
  <si>
    <t>Amounts reported on the Emergency Telephone System Fund budget to actual (35-J-131) are different from the PSAP Revenue-Expenditure Report because:</t>
  </si>
  <si>
    <t>Net Change in Fund Balance, reported on Budget to Actual</t>
  </si>
  <si>
    <t>A portion of 911 Revenue received not reported on budget to actual</t>
  </si>
  <si>
    <t>Interest reported in Northwest Capital Projects Fund</t>
  </si>
  <si>
    <t>Eligible 911 expenditures reported in Northwest Capital Projects Fund</t>
  </si>
  <si>
    <t xml:space="preserve">   Ineligible 911 expenditures reported in Emergency Telephone System Fund</t>
  </si>
  <si>
    <t>Beginning Balance, PSAP Revenue-Expenditure Report***</t>
  </si>
  <si>
    <t>Ending Balance, PSAP Revenue-Expenditure Report***</t>
  </si>
  <si>
    <t>***Amounts should tie to PSAP Revenue-Expenditure Report.  In this example, Carolina County transferred money out of the Emergency Telephone System Fund to a Capital Project Fund.   If your unit of government reports any ineligible and/or partial expenditure claims listed on the Emergency Telephone System Fund Budget to Actual report (included in the audit report) please use this form to explain those expenditures.</t>
  </si>
  <si>
    <r>
      <t xml:space="preserve">Note to Preparer:  </t>
    </r>
    <r>
      <rPr>
        <sz val="10"/>
        <color indexed="8"/>
        <rFont val="Arial"/>
        <family val="2"/>
      </rPr>
      <t xml:space="preserve">The above schedule  can be submitted as supplemental information in the audit report or as a separate schedule not included in the report.  Information provided in this schedule is provided to the State 911 board to  assist in expenditure tracking.  The schedule above should reconcile the  amounts listed on the Budget to Actual report (page 35-J-131) to the PSAP Revenue-Expenditure Report submitted to the  State 911 board.  </t>
    </r>
  </si>
  <si>
    <r>
      <t>Note to Preparer:</t>
    </r>
    <r>
      <rPr>
        <sz val="10"/>
        <color indexed="8"/>
        <rFont val="Arial"/>
        <family val="2"/>
      </rPr>
      <t xml:space="preserve">  In 2008, the State assumed the responsibility for charging and administering the 911 funds under the new State 911 Board.  Session Law 2007-383 became effective January 1, 2008.  Any unspent Local land telephone 911 fees should have been transferred into the General Fund for any lawful purpose during the 2007-2008 fiscal year.  See Memoranda #2011-7, 2010-14, 1105, and 1091 for additional information.  It is recommended that any reimbursement for ineligible expenditures made in the prior fiscal year should be presented as a transfer into the Emergency Telephone System Fund.  </t>
    </r>
  </si>
  <si>
    <t>GASB 34 CALCULATION OF MAJOR FUNDS</t>
  </si>
  <si>
    <t xml:space="preserve">Note: Revenue includes operating and nonoperating but not other financing sources. Amounts should be taken from the fund statements instead of the government-wide. </t>
  </si>
  <si>
    <r>
      <t>Computes "</t>
    </r>
    <r>
      <rPr>
        <b/>
        <sz val="8"/>
        <rFont val="Arial"/>
        <family val="2"/>
      </rPr>
      <t>X</t>
    </r>
    <r>
      <rPr>
        <sz val="8"/>
        <rFont val="Arial"/>
        <family val="2"/>
      </rPr>
      <t>" if Meets</t>
    </r>
  </si>
  <si>
    <r>
      <t>Computes "</t>
    </r>
    <r>
      <rPr>
        <b/>
        <sz val="8"/>
        <rFont val="Arial"/>
        <family val="2"/>
      </rPr>
      <t>MAJOR</t>
    </r>
    <r>
      <rPr>
        <sz val="8"/>
        <rFont val="Arial"/>
        <family val="2"/>
      </rPr>
      <t>" if Fund is Major</t>
    </r>
  </si>
  <si>
    <r>
      <t>If a "Category" Has an "</t>
    </r>
    <r>
      <rPr>
        <b/>
        <sz val="8"/>
        <rFont val="Arial"/>
        <family val="2"/>
      </rPr>
      <t>X</t>
    </r>
    <r>
      <rPr>
        <sz val="8"/>
        <rFont val="Arial"/>
        <family val="2"/>
      </rPr>
      <t>" in Both</t>
    </r>
  </si>
  <si>
    <t>Type of Fund</t>
  </si>
  <si>
    <t>Assets and Deferred Outflows</t>
  </si>
  <si>
    <t>10% Rule</t>
  </si>
  <si>
    <t>5% Rule</t>
  </si>
  <si>
    <t>Liabilities and Deferred Inflows</t>
  </si>
  <si>
    <t>Revenue</t>
  </si>
  <si>
    <t>Expenditures/Expenses</t>
  </si>
  <si>
    <t>Columns, Then Fund is a Major Fund</t>
  </si>
  <si>
    <t>General Fund (consolidated)</t>
  </si>
  <si>
    <t>N/A</t>
  </si>
  <si>
    <t>YES, ALWAYS MAJOR</t>
  </si>
  <si>
    <t>Special Revenue Funds:</t>
  </si>
  <si>
    <t>Capital Projects Funds:</t>
  </si>
  <si>
    <t>Northwest Park Capital Projects Fund</t>
  </si>
  <si>
    <t>School Capital Projects Fund (consolidated)</t>
  </si>
  <si>
    <t>Total Governmental Funds</t>
  </si>
  <si>
    <t>10 % of Total Governmental Funds</t>
  </si>
  <si>
    <t>Enterprise Funds:</t>
  </si>
  <si>
    <t>Water and Sewer District- No. 1</t>
  </si>
  <si>
    <t>Water and Sewer District- No. 2</t>
  </si>
  <si>
    <t>Total Enterprise Funds</t>
  </si>
  <si>
    <t>10% of Total Enterprise Funds</t>
  </si>
  <si>
    <t>Total Governmental &amp; Enterprise Funds</t>
  </si>
  <si>
    <t>5% of Total Governmental &amp; Enterprise Funds</t>
  </si>
  <si>
    <t>Budgeted Expenditures</t>
  </si>
  <si>
    <t>8% FB Policy</t>
  </si>
  <si>
    <t>Working Capital/ FB Policy</t>
  </si>
  <si>
    <t>Total Fund Balance</t>
  </si>
  <si>
    <t>Stab SS</t>
  </si>
  <si>
    <t>Approp FB 2019</t>
  </si>
  <si>
    <t>LEO</t>
  </si>
  <si>
    <t>Working Capital/ FB</t>
  </si>
  <si>
    <t>Remaining FB</t>
  </si>
  <si>
    <t>Beaufort County</t>
  </si>
  <si>
    <t>Louisburg ABC Board</t>
  </si>
  <si>
    <t>Granville County Hospital</t>
  </si>
  <si>
    <t>ARP</t>
  </si>
  <si>
    <t>Transfer Out - Landfill Fund</t>
  </si>
  <si>
    <t xml:space="preserve">ARP </t>
  </si>
  <si>
    <t xml:space="preserve">          ARP </t>
  </si>
  <si>
    <t>Opioid</t>
  </si>
  <si>
    <t>General Government</t>
  </si>
  <si>
    <t>Authorization</t>
  </si>
  <si>
    <t>From Inception and for the Fiscal Year Ended June 30, 2022</t>
  </si>
  <si>
    <t>American Rescue Plan Fund</t>
  </si>
  <si>
    <r>
      <t xml:space="preserve">Note to preparer: </t>
    </r>
    <r>
      <rPr>
        <sz val="11"/>
        <rFont val="Arial"/>
        <family val="2"/>
      </rPr>
      <t xml:space="preserve">The RSI schedules presented in the updated fiscal year-end 2022 illustrative statements were not changed from the amounts presented in the prior fiscal year other than to add an additional year of data. Since both the pension and OPEB GASB statements were implemented and updated in the Illustrated statements at least two years ago, financial statement preparers should have now had experience with them. LGC Staff is reverting to our historical practice of only changing amounts in the illustrative statements that are the result of any new accounting and reporting changes required for the FYE 2022.  Conversion workbooks were updated to include the current fiscal year- end Pension and OPEB data. The pension data used in development of the updated conversion workbooks was from the LGERS, ROD &amp; TSERS JE Templates that are all available on the NC DST Financial Statement Resources listed by each Unit Type under Pension Resources. </t>
    </r>
  </si>
  <si>
    <r>
      <t xml:space="preserve">Note to preparer: </t>
    </r>
    <r>
      <rPr>
        <sz val="10"/>
        <rFont val="Arial"/>
        <family val="2"/>
      </rPr>
      <t xml:space="preserve">The RSI schedules presented in the updated fiscal year-end 2022 illustrative statements were not changed from the amounts presented in the prior fiscal year other than to add an additional year of data. Since both the pension and OPEB GASB statements were implemented and updated in the Illustrated statements at least two years ago, financial statement preparers should have now had experience with them. LGC Staff is reverting to our historical practice of only changing amounts in the illustrative statements that are the result of any new accounting and reporting changes required for the FYE 2022.  Conversion workbooks were updated to include the current fiscal year- end Pension and OPEB data. The pension data used in development of the updated conversion workbooks was from the LGERS, ROD &amp; TSERS JE Templates that are all available on the NC DST Financial Statement Resources listed by each Unit Type under Pension Resources. </t>
    </r>
  </si>
  <si>
    <t>Project Funds:</t>
  </si>
  <si>
    <t xml:space="preserve">Note to preparer:  The Grant and Project Ordinance allowed in § 159-13.2 will require a technical correction to allow for the Opioid Fund to be accounted for with a project ordinance since the funds are not from the federal or state level.  The correction is pending at the date of publication. </t>
  </si>
  <si>
    <t>Unearned revenues</t>
  </si>
  <si>
    <t>ARP Funds</t>
  </si>
  <si>
    <t>2021-2022</t>
  </si>
  <si>
    <t>Uncollected taxes at June 30, 2022*</t>
  </si>
  <si>
    <t>RECOMMENDED MAJOR</t>
  </si>
  <si>
    <t xml:space="preserve">Financial Highlights </t>
  </si>
  <si>
    <t>GWSTmtAct 68 cell H45</t>
  </si>
  <si>
    <t>GWNetPOS68 Cell D55</t>
  </si>
  <si>
    <r>
      <t> </t>
    </r>
    <r>
      <rPr>
        <sz val="10"/>
        <rFont val="Arial"/>
        <family val="2"/>
      </rPr>
      <t>GWNetPOS68 Cell D55</t>
    </r>
  </si>
  <si>
    <r>
      <t> </t>
    </r>
    <r>
      <rPr>
        <sz val="10"/>
        <rFont val="Arial"/>
        <family val="2"/>
      </rPr>
      <t>GWSTmtAct 68 cell H45</t>
    </r>
  </si>
  <si>
    <r>
      <t> </t>
    </r>
    <r>
      <rPr>
        <sz val="10"/>
        <rFont val="Arial"/>
        <family val="2"/>
      </rPr>
      <t>Rev, exp, chgs in fb Cell D55</t>
    </r>
  </si>
  <si>
    <r>
      <t> </t>
    </r>
    <r>
      <rPr>
        <sz val="10"/>
        <rFont val="Arial"/>
        <family val="2"/>
      </rPr>
      <t>Rev, exp, chgs in fb Cell D50</t>
    </r>
  </si>
  <si>
    <r>
      <t> </t>
    </r>
    <r>
      <rPr>
        <sz val="10"/>
        <rFont val="Arial"/>
        <family val="2"/>
      </rPr>
      <t>Balance Sheet Cell D48</t>
    </r>
  </si>
  <si>
    <r>
      <rPr>
        <sz val="7"/>
        <rFont val="Arial"/>
        <family val="2"/>
      </rPr>
      <t xml:space="preserve"> </t>
    </r>
    <r>
      <rPr>
        <sz val="11"/>
        <rFont val="Arial"/>
        <family val="2"/>
      </rPr>
      <t>The assets and deferred outflows of resources of Carolina County exceeded its liabilities and deferred inflows of resources at the close of the fiscal year by</t>
    </r>
  </si>
  <si>
    <t xml:space="preserve">The government’s total net position increased by </t>
  </si>
  <si>
    <t xml:space="preserve"> , after a net increase in fund balance of </t>
  </si>
  <si>
    <t>As of the close of the current fiscal year, Carolina County’s governmental funds reported combined ending fund balances of</t>
  </si>
  <si>
    <t xml:space="preserve"> Approximately XX.X% of this total amount,</t>
  </si>
  <si>
    <t xml:space="preserve">or $X,XXX,XXX is restricted or non-spendable.  </t>
  </si>
  <si>
    <t xml:space="preserve">or X.XX% of total general fund expenditures and transfers out for the fiscal year. </t>
  </si>
  <si>
    <r>
      <rPr>
        <sz val="7"/>
        <rFont val="Arial"/>
        <family val="2"/>
      </rPr>
      <t xml:space="preserve"> </t>
    </r>
    <r>
      <rPr>
        <sz val="11"/>
        <rFont val="Arial"/>
        <family val="2"/>
      </rPr>
      <t>At the end of the current fiscal year, unassigned fund balance for the General Fund was $X,XXX,XXX</t>
    </r>
  </si>
  <si>
    <t>=+'Balance Sheet'!D35+'Balance Sheet'!D36+'Balance Sheet'!D37+'Balance Sheet'!D38+'Balance Sheet'!D39+'Balance Sheet'!D42+'Balance Sheet'!D32+'Balance Sheet'!D33</t>
  </si>
  <si>
    <r>
      <t> </t>
    </r>
    <r>
      <rPr>
        <sz val="10"/>
        <rFont val="Arial"/>
        <family val="2"/>
      </rPr>
      <t>Balance Sheet Cell D50</t>
    </r>
  </si>
  <si>
    <t>=+'Balance Sheet'!D50/('Rev, exp, chgs in fb'!D37-'Rev, exp, chgs in fb'!D42)</t>
  </si>
  <si>
    <r>
      <t>  </t>
    </r>
    <r>
      <rPr>
        <sz val="10"/>
        <rFont val="Times New Roman"/>
        <family val="1"/>
      </rPr>
      <t>GWStmtAct 68 cell H51, confirm after trying everything out</t>
    </r>
  </si>
  <si>
    <t>An additional portion of Carolina County’s net position $6,843,773</t>
  </si>
  <si>
    <r>
      <t>As noted earlier, net position may serve over time as one useful indicator of a government’s financial condition.  The County’s assets and deferred outflows of resources exceeded its liabilities and deferred inflows of resources by $XX,XXX,XXX</t>
    </r>
    <r>
      <rPr>
        <sz val="8"/>
        <rFont val="Times New Roman"/>
        <family val="1"/>
      </rPr>
      <t> </t>
    </r>
    <r>
      <rPr>
        <sz val="11"/>
        <rFont val="Century Schoolbook"/>
        <family val="1"/>
      </rPr>
      <t xml:space="preserve"> </t>
    </r>
  </si>
  <si>
    <t xml:space="preserve">One of the largest portions $XX,XXX,XXX reflects the County’s net investment in capital assets (e.g., land, buildings, machinery, and equipment).  </t>
  </si>
  <si>
    <t>The County’s net position increased by $XXX,XXX</t>
  </si>
  <si>
    <t>Unassigned ARP Expenditures</t>
  </si>
  <si>
    <t>Other financing sources(uses)</t>
  </si>
  <si>
    <t>Transfer Out - Water and Sewer District No.1</t>
  </si>
  <si>
    <t>Transfer Out - Water and Sewer District No.2</t>
  </si>
  <si>
    <t>Coronavirus State Local Fiscal Recovery Funds CFR 21.027 (ARPA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</si>
</sst>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0000_);_(* \(#,##0.0000\);_(* &quot;-&quot;??_);_(@_)"/>
    <numFmt numFmtId="167" formatCode="General_)"/>
    <numFmt numFmtId="168" formatCode="mmmm\ d\,\ yyyy"/>
    <numFmt numFmtId="169" formatCode="0.0000"/>
    <numFmt numFmtId="170" formatCode="_(* #,##0.00000_);_(* \(#,##0.00000\);_(* &quot;-&quot;_);_(@_)"/>
    <numFmt numFmtId="171" formatCode="_(* #,##0_);_(&quot;$&quot;* \(#,##0\);_(&quot;$&quot;* &quot;-&quot;??_);_(@_)"/>
    <numFmt numFmtId="172" formatCode="0.000%"/>
    <numFmt numFmtId="173" formatCode="#,##0.00%;\(#,#\ #0.00%\)"/>
    <numFmt numFmtId="174" formatCode="#,##0.0"/>
    <numFmt numFmtId="175" formatCode="_(&quot;$&quot;* #,##0.0000_);_(&quot;$&quot;* \(#,##0.0000\);_(&quot;$&quot;* &quot;-&quot;??_);_(@_)"/>
    <numFmt numFmtId="176" formatCode="_(* #,##0.0000000_);_(* \(#,##0.0000000\);_(* &quot;-&quot;??_);_(@_)"/>
    <numFmt numFmtId="177" formatCode="0.0000%"/>
    <numFmt numFmtId="178" formatCode="_(* #,##0.0000000_);_(* \(#,##0.0000000\);_(* &quot;-&quot;???????_);_(@_)"/>
    <numFmt numFmtId="179" formatCode="_(* #,##0.0_);_(* \(#,##0.0\);_(* &quot;-&quot;??_);_(@_)"/>
    <numFmt numFmtId="180" formatCode="_(&quot;$&quot;* #,##0.000_);_(&quot;$&quot;* \(#,##0.000\);_(&quot;$&quot;* &quot;-&quot;??_);_(@_)"/>
    <numFmt numFmtId="181" formatCode="0.0%"/>
  </numFmts>
  <fonts count="44" x14ac:knownFonts="1">
    <font>
      <sz val="10"/>
      <name val="Arial"/>
    </font>
    <font>
      <sz val="10"/>
      <name val="Arial"/>
      <family val="2"/>
    </font>
    <font>
      <b/>
      <sz val="10"/>
      <name val="Arial"/>
      <family val="2"/>
    </font>
    <font>
      <sz val="10"/>
      <name val="Arial"/>
      <family val="2"/>
    </font>
    <font>
      <i/>
      <sz val="10"/>
      <name val="Arial"/>
      <family val="2"/>
    </font>
    <font>
      <sz val="8"/>
      <name val="Arial"/>
      <family val="2"/>
    </font>
    <font>
      <b/>
      <sz val="8"/>
      <name val="Arial"/>
      <family val="2"/>
    </font>
    <font>
      <u/>
      <sz val="8"/>
      <name val="Arial"/>
      <family val="2"/>
    </font>
    <font>
      <sz val="9"/>
      <name val="Century Schoolbook"/>
      <family val="1"/>
    </font>
    <font>
      <sz val="9"/>
      <name val="Arial"/>
      <family val="2"/>
    </font>
    <font>
      <sz val="10"/>
      <name val="Tms Rmn"/>
    </font>
    <font>
      <sz val="10"/>
      <name val="Courier"/>
      <family val="3"/>
    </font>
    <font>
      <sz val="10"/>
      <name val="Times New Roman"/>
      <family val="1"/>
    </font>
    <font>
      <sz val="10"/>
      <name val="Arial"/>
      <family val="2"/>
    </font>
    <font>
      <b/>
      <sz val="9"/>
      <name val="Arial"/>
      <family val="2"/>
    </font>
    <font>
      <b/>
      <sz val="11"/>
      <name val="Arial"/>
      <family val="2"/>
    </font>
    <font>
      <sz val="10"/>
      <color indexed="8"/>
      <name val="Arial"/>
      <family val="2"/>
    </font>
    <font>
      <sz val="11"/>
      <color indexed="8"/>
      <name val="Arial"/>
      <family val="2"/>
    </font>
    <font>
      <b/>
      <sz val="10"/>
      <color indexed="8"/>
      <name val="ARIAL"/>
      <family val="2"/>
    </font>
    <font>
      <sz val="10"/>
      <color indexed="9"/>
      <name val="Arial"/>
      <family val="2"/>
    </font>
    <font>
      <b/>
      <u/>
      <sz val="10"/>
      <name val="Arial"/>
      <family val="2"/>
    </font>
    <font>
      <u/>
      <sz val="10"/>
      <name val="Arial"/>
      <family val="2"/>
    </font>
    <font>
      <u/>
      <sz val="10"/>
      <color indexed="8"/>
      <name val="Arial"/>
      <family val="2"/>
    </font>
    <font>
      <b/>
      <u/>
      <sz val="9"/>
      <name val="Arial"/>
      <family val="2"/>
    </font>
    <font>
      <sz val="6"/>
      <name val="Arial"/>
      <family val="2"/>
    </font>
    <font>
      <sz val="7"/>
      <name val="Arial"/>
      <family val="2"/>
    </font>
    <font>
      <sz val="9"/>
      <color indexed="81"/>
      <name val="Tahoma"/>
      <family val="2"/>
    </font>
    <font>
      <b/>
      <sz val="9"/>
      <color indexed="81"/>
      <name val="Tahoma"/>
      <family val="2"/>
    </font>
    <font>
      <i/>
      <u/>
      <sz val="9"/>
      <name val="Arial"/>
      <family val="2"/>
    </font>
    <font>
      <sz val="12"/>
      <name val="Arial"/>
      <family val="2"/>
    </font>
    <font>
      <sz val="11"/>
      <name val="Arial"/>
      <family val="2"/>
    </font>
    <font>
      <i/>
      <sz val="10"/>
      <color indexed="8"/>
      <name val="Arial"/>
      <family val="2"/>
    </font>
    <font>
      <sz val="10"/>
      <color rgb="FFFF0000"/>
      <name val="Arial"/>
      <family val="2"/>
    </font>
    <font>
      <sz val="10"/>
      <color rgb="FF000000"/>
      <name val="Arial"/>
      <family val="2"/>
    </font>
    <font>
      <sz val="10"/>
      <color theme="1"/>
      <name val="Arial"/>
      <family val="2"/>
    </font>
    <font>
      <b/>
      <sz val="10"/>
      <color theme="1"/>
      <name val="Arial"/>
      <family val="2"/>
    </font>
    <font>
      <b/>
      <sz val="10"/>
      <color rgb="FF000000"/>
      <name val="Arial"/>
      <family val="2"/>
    </font>
    <font>
      <sz val="10"/>
      <color theme="0"/>
      <name val="Arial"/>
      <family val="2"/>
    </font>
    <font>
      <b/>
      <sz val="12"/>
      <color theme="1"/>
      <name val="Arial"/>
      <family val="2"/>
    </font>
    <font>
      <b/>
      <sz val="11"/>
      <color rgb="FF000000"/>
      <name val="Arial"/>
      <family val="2"/>
    </font>
    <font>
      <sz val="12"/>
      <name val="Times New Roman"/>
      <family val="1"/>
    </font>
    <font>
      <sz val="11"/>
      <name val="Century Schoolbook"/>
      <family val="1"/>
    </font>
    <font>
      <sz val="8"/>
      <name val="Times New Roman"/>
      <family val="1"/>
    </font>
    <font>
      <sz val="8"/>
      <name val="Arial"/>
      <family val="2"/>
    </font>
  </fonts>
  <fills count="5">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rgb="FF92D050"/>
        <bgColor indexed="64"/>
      </patternFill>
    </fill>
  </fills>
  <borders count="41">
    <border>
      <left/>
      <right/>
      <top/>
      <bottom/>
      <diagonal/>
    </border>
    <border>
      <left/>
      <right/>
      <top style="thin">
        <color indexed="64"/>
      </top>
      <bottom style="thin">
        <color indexed="64"/>
      </bottom>
      <diagonal/>
    </border>
    <border>
      <left/>
      <right/>
      <top/>
      <bottom style="thin">
        <color indexed="64"/>
      </bottom>
      <diagonal/>
    </border>
    <border>
      <left/>
      <right/>
      <top/>
      <bottom style="thin">
        <color indexed="8"/>
      </bottom>
      <diagonal/>
    </border>
    <border>
      <left/>
      <right/>
      <top/>
      <bottom style="double">
        <color indexed="64"/>
      </bottom>
      <diagonal/>
    </border>
    <border>
      <left/>
      <right/>
      <top/>
      <bottom style="medium">
        <color indexed="8"/>
      </bottom>
      <diagonal/>
    </border>
    <border>
      <left/>
      <right/>
      <top/>
      <bottom style="double">
        <color indexed="8"/>
      </bottom>
      <diagonal/>
    </border>
    <border>
      <left/>
      <right/>
      <top style="thin">
        <color indexed="64"/>
      </top>
      <bottom style="double">
        <color indexed="64"/>
      </bottom>
      <diagonal/>
    </border>
    <border>
      <left/>
      <right/>
      <top style="thin">
        <color indexed="64"/>
      </top>
      <bottom/>
      <diagonal/>
    </border>
    <border>
      <left/>
      <right/>
      <top/>
      <bottom style="medium">
        <color indexed="64"/>
      </bottom>
      <diagonal/>
    </border>
    <border>
      <left/>
      <right/>
      <top style="thin">
        <color indexed="64"/>
      </top>
      <bottom style="thin">
        <color indexed="8"/>
      </bottom>
      <diagonal/>
    </border>
    <border>
      <left/>
      <right/>
      <top style="medium">
        <color indexed="8"/>
      </top>
      <bottom/>
      <diagonal/>
    </border>
    <border>
      <left/>
      <right/>
      <top style="thin">
        <color indexed="8"/>
      </top>
      <bottom style="thin">
        <color indexed="64"/>
      </bottom>
      <diagonal/>
    </border>
    <border>
      <left/>
      <right/>
      <top/>
      <bottom style="thick">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bottom style="thin">
        <color rgb="FF000000"/>
      </bottom>
      <diagonal/>
    </border>
  </borders>
  <cellStyleXfs count="40">
    <xf numFmtId="0" fontId="0" fillId="0" borderId="0"/>
    <xf numFmtId="43" fontId="1" fillId="0" borderId="0" applyFont="0" applyFill="0" applyBorder="0" applyAlignment="0" applyProtection="0"/>
    <xf numFmtId="41" fontId="1" fillId="0" borderId="0" applyFont="0" applyFill="0" applyBorder="0" applyAlignment="0" applyProtection="0"/>
    <xf numFmtId="41" fontId="3" fillId="0" borderId="0" applyFont="0" applyFill="0" applyBorder="0" applyAlignment="0" applyProtection="0"/>
    <xf numFmtId="41" fontId="1" fillId="0" borderId="0" applyFont="0" applyFill="0" applyBorder="0" applyAlignment="0" applyProtection="0"/>
    <xf numFmtId="43" fontId="1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2" fontId="3" fillId="0" borderId="0" applyFont="0" applyFill="0" applyBorder="0" applyAlignment="0" applyProtection="0"/>
    <xf numFmtId="42" fontId="1"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0" fontId="3" fillId="0" borderId="0"/>
    <xf numFmtId="0" fontId="1" fillId="0" borderId="0"/>
    <xf numFmtId="167" fontId="10" fillId="0" borderId="0"/>
    <xf numFmtId="167" fontId="10" fillId="0" borderId="0"/>
    <xf numFmtId="0" fontId="12" fillId="0" borderId="0"/>
    <xf numFmtId="167" fontId="10" fillId="0" borderId="0"/>
    <xf numFmtId="167" fontId="11" fillId="0" borderId="0"/>
    <xf numFmtId="167" fontId="10" fillId="0" borderId="0"/>
    <xf numFmtId="0" fontId="1" fillId="0" borderId="0"/>
    <xf numFmtId="167" fontId="10" fillId="0" borderId="0"/>
    <xf numFmtId="9" fontId="1" fillId="0" borderId="0" applyFont="0" applyFill="0" applyBorder="0" applyAlignment="0" applyProtection="0"/>
  </cellStyleXfs>
  <cellXfs count="1132">
    <xf numFmtId="0" fontId="0" fillId="0" borderId="0" xfId="0"/>
    <xf numFmtId="0" fontId="2" fillId="0" borderId="1" xfId="0" applyFont="1" applyFill="1" applyBorder="1" applyAlignment="1">
      <alignment horizontal="center" wrapText="1"/>
    </xf>
    <xf numFmtId="165" fontId="0" fillId="0" borderId="0" xfId="1" applyNumberFormat="1" applyFont="1" applyFill="1" applyBorder="1"/>
    <xf numFmtId="165" fontId="8" fillId="0" borderId="0" xfId="1" applyNumberFormat="1" applyFont="1" applyFill="1"/>
    <xf numFmtId="0" fontId="0" fillId="0" borderId="0" xfId="0" applyFill="1" applyAlignment="1">
      <alignment horizontal="left" indent="1"/>
    </xf>
    <xf numFmtId="165" fontId="0" fillId="0" borderId="0" xfId="1" applyNumberFormat="1" applyFont="1" applyFill="1"/>
    <xf numFmtId="165" fontId="0" fillId="0" borderId="2" xfId="1" applyNumberFormat="1" applyFont="1" applyFill="1" applyBorder="1"/>
    <xf numFmtId="0" fontId="0" fillId="0" borderId="0" xfId="0" applyFill="1"/>
    <xf numFmtId="0" fontId="8" fillId="0" borderId="0" xfId="0" applyFont="1" applyFill="1"/>
    <xf numFmtId="165" fontId="8" fillId="0" borderId="0" xfId="1" applyNumberFormat="1" applyFont="1" applyFill="1" applyBorder="1"/>
    <xf numFmtId="37" fontId="5" fillId="0" borderId="0" xfId="0" applyNumberFormat="1" applyFont="1" applyFill="1" applyAlignment="1" applyProtection="1">
      <alignment horizontal="left" indent="1"/>
      <protection locked="0"/>
    </xf>
    <xf numFmtId="37" fontId="5" fillId="0" borderId="0" xfId="0" applyNumberFormat="1" applyFont="1" applyFill="1"/>
    <xf numFmtId="164" fontId="0" fillId="0" borderId="0" xfId="15" applyNumberFormat="1" applyFont="1" applyFill="1"/>
    <xf numFmtId="42" fontId="0" fillId="0" borderId="4" xfId="0" applyNumberFormat="1" applyFill="1" applyBorder="1"/>
    <xf numFmtId="42" fontId="0" fillId="0" borderId="0" xfId="0" applyNumberFormat="1" applyFill="1"/>
    <xf numFmtId="41" fontId="0" fillId="0" borderId="0" xfId="0" applyNumberFormat="1" applyFill="1"/>
    <xf numFmtId="41" fontId="0" fillId="0" borderId="0" xfId="0" applyNumberFormat="1" applyFill="1" applyBorder="1"/>
    <xf numFmtId="41" fontId="0" fillId="0" borderId="2" xfId="0" applyNumberFormat="1" applyFill="1" applyBorder="1"/>
    <xf numFmtId="37" fontId="5" fillId="0" borderId="0" xfId="0" quotePrefix="1" applyNumberFormat="1" applyFont="1" applyFill="1" applyAlignment="1">
      <alignment horizontal="left"/>
    </xf>
    <xf numFmtId="37" fontId="5" fillId="0" borderId="0" xfId="0" applyNumberFormat="1" applyFont="1" applyFill="1" applyBorder="1" applyAlignment="1">
      <alignment horizontal="center"/>
    </xf>
    <xf numFmtId="37" fontId="5" fillId="0" borderId="0" xfId="0" applyNumberFormat="1" applyFont="1" applyFill="1" applyAlignment="1">
      <alignment horizontal="center"/>
    </xf>
    <xf numFmtId="37" fontId="5" fillId="0" borderId="0" xfId="0" quotePrefix="1" applyNumberFormat="1" applyFont="1" applyFill="1" applyAlignment="1">
      <alignment horizontal="center"/>
    </xf>
    <xf numFmtId="37" fontId="7" fillId="0" borderId="0" xfId="0" applyNumberFormat="1" applyFont="1" applyFill="1" applyAlignment="1">
      <alignment horizontal="center"/>
    </xf>
    <xf numFmtId="37" fontId="7" fillId="0" borderId="0" xfId="0" quotePrefix="1" applyNumberFormat="1" applyFont="1" applyFill="1" applyAlignment="1">
      <alignment horizontal="center"/>
    </xf>
    <xf numFmtId="37" fontId="6" fillId="0" borderId="0" xfId="0" quotePrefix="1" applyNumberFormat="1" applyFont="1" applyFill="1" applyAlignment="1">
      <alignment horizontal="center"/>
    </xf>
    <xf numFmtId="37" fontId="5" fillId="0" borderId="0" xfId="0" applyNumberFormat="1" applyFont="1" applyFill="1" applyAlignment="1">
      <alignment horizontal="left" indent="1"/>
    </xf>
    <xf numFmtId="37" fontId="5" fillId="0" borderId="0" xfId="0" applyNumberFormat="1" applyFont="1" applyFill="1" applyAlignment="1">
      <alignment horizontal="left"/>
    </xf>
    <xf numFmtId="37" fontId="5" fillId="0" borderId="0" xfId="0" quotePrefix="1" applyNumberFormat="1" applyFont="1" applyFill="1" applyAlignment="1">
      <alignment horizontal="left" indent="1"/>
    </xf>
    <xf numFmtId="37" fontId="5" fillId="0" borderId="0" xfId="0" applyNumberFormat="1" applyFont="1" applyFill="1" applyAlignment="1">
      <alignment horizontal="left" indent="2"/>
    </xf>
    <xf numFmtId="0" fontId="9" fillId="0" borderId="0" xfId="0" applyFont="1" applyFill="1"/>
    <xf numFmtId="0" fontId="8" fillId="0" borderId="0" xfId="0" applyFont="1" applyFill="1" applyAlignment="1">
      <alignment horizontal="left"/>
    </xf>
    <xf numFmtId="0" fontId="0" fillId="0" borderId="0" xfId="0" applyFill="1" applyAlignment="1">
      <alignment horizontal="right"/>
    </xf>
    <xf numFmtId="0" fontId="0" fillId="0" borderId="0" xfId="0" applyFill="1" applyBorder="1"/>
    <xf numFmtId="0" fontId="0" fillId="0" borderId="0" xfId="0" applyFill="1" applyAlignment="1"/>
    <xf numFmtId="0" fontId="2" fillId="0" borderId="0" xfId="0" applyFont="1" applyFill="1" applyAlignment="1">
      <alignment horizontal="centerContinuous"/>
    </xf>
    <xf numFmtId="0" fontId="3" fillId="0" borderId="0" xfId="0" applyFont="1" applyFill="1"/>
    <xf numFmtId="0" fontId="3" fillId="0" borderId="0" xfId="0" applyFont="1" applyFill="1" applyBorder="1"/>
    <xf numFmtId="0" fontId="0" fillId="0" borderId="0" xfId="0" applyFill="1" applyAlignment="1">
      <alignment horizontal="centerContinuous"/>
    </xf>
    <xf numFmtId="0" fontId="2" fillId="0" borderId="0" xfId="0" applyFont="1" applyFill="1"/>
    <xf numFmtId="0" fontId="2" fillId="0" borderId="2" xfId="0" applyFont="1" applyFill="1" applyBorder="1" applyAlignment="1">
      <alignment horizontal="centerContinuous"/>
    </xf>
    <xf numFmtId="0" fontId="2" fillId="0" borderId="0"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Alignment="1">
      <alignment horizontal="left"/>
    </xf>
    <xf numFmtId="165" fontId="0" fillId="0" borderId="0" xfId="0" applyNumberFormat="1" applyFill="1"/>
    <xf numFmtId="0" fontId="0" fillId="0" borderId="2" xfId="0" applyFill="1" applyBorder="1" applyAlignment="1">
      <alignment horizontal="centerContinuous"/>
    </xf>
    <xf numFmtId="164" fontId="0" fillId="0" borderId="0" xfId="15" applyNumberFormat="1" applyFont="1" applyFill="1" applyBorder="1"/>
    <xf numFmtId="165" fontId="0" fillId="0" borderId="1" xfId="1" applyNumberFormat="1" applyFont="1" applyFill="1" applyBorder="1"/>
    <xf numFmtId="0" fontId="0" fillId="0" borderId="0" xfId="0" applyFill="1" applyAlignment="1">
      <alignment horizontal="left" indent="2"/>
    </xf>
    <xf numFmtId="164" fontId="0" fillId="0" borderId="7" xfId="15" applyNumberFormat="1" applyFont="1" applyFill="1" applyBorder="1"/>
    <xf numFmtId="0" fontId="2" fillId="0" borderId="0" xfId="0" quotePrefix="1" applyFont="1" applyFill="1" applyAlignment="1">
      <alignment horizontal="center"/>
    </xf>
    <xf numFmtId="0" fontId="0" fillId="0" borderId="0" xfId="0" applyFill="1" applyAlignment="1">
      <alignment horizontal="left" indent="3"/>
    </xf>
    <xf numFmtId="165" fontId="2" fillId="0" borderId="0" xfId="1" applyNumberFormat="1" applyFont="1" applyFill="1" applyAlignment="1">
      <alignment horizontal="centerContinuous"/>
    </xf>
    <xf numFmtId="165" fontId="8" fillId="0" borderId="0" xfId="1" applyNumberFormat="1" applyFont="1" applyFill="1" applyAlignment="1">
      <alignment horizontal="right"/>
    </xf>
    <xf numFmtId="0" fontId="2" fillId="0" borderId="0" xfId="0" applyFont="1" applyFill="1" applyAlignment="1"/>
    <xf numFmtId="0" fontId="0" fillId="0" borderId="2" xfId="0" applyFill="1" applyBorder="1"/>
    <xf numFmtId="0" fontId="2" fillId="0" borderId="2" xfId="0" applyFont="1" applyFill="1" applyBorder="1" applyAlignment="1">
      <alignment horizontal="left"/>
    </xf>
    <xf numFmtId="41" fontId="0" fillId="0" borderId="0" xfId="15" applyNumberFormat="1" applyFont="1" applyFill="1"/>
    <xf numFmtId="164" fontId="0" fillId="0" borderId="0" xfId="0" applyNumberFormat="1" applyFill="1"/>
    <xf numFmtId="165" fontId="0" fillId="0" borderId="2" xfId="0" applyNumberFormat="1" applyFill="1" applyBorder="1"/>
    <xf numFmtId="0" fontId="4" fillId="0" borderId="0" xfId="0" applyFont="1" applyFill="1"/>
    <xf numFmtId="0" fontId="3" fillId="0" borderId="0" xfId="0" applyFont="1" applyFill="1" applyAlignment="1">
      <alignment wrapText="1"/>
    </xf>
    <xf numFmtId="42" fontId="0" fillId="0" borderId="2" xfId="0" applyNumberFormat="1" applyFill="1" applyBorder="1"/>
    <xf numFmtId="37" fontId="6" fillId="0" borderId="0" xfId="0" applyNumberFormat="1" applyFont="1" applyAlignment="1">
      <alignment horizontal="center"/>
    </xf>
    <xf numFmtId="165" fontId="5" fillId="0" borderId="0" xfId="1" applyNumberFormat="1" applyFont="1" applyFill="1"/>
    <xf numFmtId="165" fontId="5" fillId="0" borderId="0" xfId="1" quotePrefix="1" applyNumberFormat="1" applyFont="1" applyFill="1" applyAlignment="1">
      <alignment horizontal="center"/>
    </xf>
    <xf numFmtId="165" fontId="6" fillId="0" borderId="0" xfId="1" applyNumberFormat="1" applyFont="1" applyAlignment="1">
      <alignment horizontal="center"/>
    </xf>
    <xf numFmtId="165" fontId="5" fillId="0" borderId="7" xfId="1" applyNumberFormat="1" applyFont="1" applyFill="1" applyBorder="1"/>
    <xf numFmtId="165" fontId="5" fillId="0" borderId="4" xfId="1" applyNumberFormat="1" applyFont="1" applyFill="1" applyBorder="1"/>
    <xf numFmtId="165" fontId="5" fillId="0" borderId="0" xfId="1" applyNumberFormat="1" applyFont="1" applyFill="1" applyProtection="1">
      <protection locked="0"/>
    </xf>
    <xf numFmtId="165" fontId="2" fillId="0" borderId="0" xfId="5" applyNumberFormat="1" applyFont="1" applyFill="1" applyAlignment="1">
      <alignment horizontal="center"/>
    </xf>
    <xf numFmtId="165" fontId="2" fillId="0" borderId="0" xfId="5" applyNumberFormat="1" applyFont="1" applyFill="1" applyAlignment="1">
      <alignment wrapText="1"/>
    </xf>
    <xf numFmtId="0" fontId="3" fillId="0" borderId="0" xfId="29" applyFill="1"/>
    <xf numFmtId="0" fontId="3" fillId="0" borderId="0" xfId="29" applyFill="1" applyAlignment="1">
      <alignment horizontal="left"/>
    </xf>
    <xf numFmtId="0" fontId="8" fillId="0" borderId="0" xfId="29" applyFont="1" applyFill="1"/>
    <xf numFmtId="0" fontId="0" fillId="0" borderId="9" xfId="0" applyFill="1" applyBorder="1"/>
    <xf numFmtId="0" fontId="3" fillId="0" borderId="0" xfId="29" applyFont="1" applyFill="1"/>
    <xf numFmtId="3" fontId="0" fillId="0" borderId="0" xfId="0" applyNumberFormat="1"/>
    <xf numFmtId="0" fontId="0" fillId="2" borderId="2" xfId="0" applyFill="1" applyBorder="1"/>
    <xf numFmtId="3" fontId="0" fillId="2" borderId="2" xfId="0" applyNumberFormat="1" applyFill="1" applyBorder="1"/>
    <xf numFmtId="0" fontId="0" fillId="0" borderId="2" xfId="0" applyBorder="1"/>
    <xf numFmtId="3" fontId="0" fillId="0" borderId="2" xfId="0" applyNumberFormat="1" applyBorder="1"/>
    <xf numFmtId="0" fontId="3" fillId="0" borderId="0" xfId="0" applyFont="1"/>
    <xf numFmtId="165" fontId="2" fillId="0" borderId="0" xfId="1" applyNumberFormat="1" applyFont="1" applyFill="1" applyBorder="1" applyAlignment="1">
      <alignment horizontal="centerContinuous"/>
    </xf>
    <xf numFmtId="165" fontId="3" fillId="0" borderId="0" xfId="5" applyNumberFormat="1" applyFont="1" applyFill="1"/>
    <xf numFmtId="165" fontId="0" fillId="0" borderId="0" xfId="6" applyNumberFormat="1" applyFont="1" applyFill="1"/>
    <xf numFmtId="165" fontId="8" fillId="0" borderId="0" xfId="6" applyNumberFormat="1" applyFont="1" applyFill="1" applyAlignment="1">
      <alignment horizontal="right"/>
    </xf>
    <xf numFmtId="41" fontId="3" fillId="0" borderId="0" xfId="29" applyNumberFormat="1" applyFill="1"/>
    <xf numFmtId="0" fontId="8" fillId="0" borderId="0" xfId="29" applyFont="1" applyFill="1" applyAlignment="1">
      <alignment horizontal="left"/>
    </xf>
    <xf numFmtId="165" fontId="8" fillId="0" borderId="0" xfId="6" applyNumberFormat="1" applyFont="1" applyFill="1"/>
    <xf numFmtId="165" fontId="8" fillId="0" borderId="0" xfId="6" applyNumberFormat="1" applyFont="1" applyFill="1" applyBorder="1"/>
    <xf numFmtId="37" fontId="3" fillId="0" borderId="1" xfId="29" applyNumberFormat="1" applyFill="1" applyBorder="1"/>
    <xf numFmtId="0" fontId="32" fillId="0" borderId="0" xfId="0" applyFont="1" applyFill="1"/>
    <xf numFmtId="37" fontId="7" fillId="0" borderId="0" xfId="0" applyNumberFormat="1" applyFont="1" applyFill="1" applyAlignment="1">
      <alignment horizontal="center" wrapText="1"/>
    </xf>
    <xf numFmtId="42" fontId="3" fillId="0" borderId="0" xfId="29" applyNumberFormat="1" applyFill="1"/>
    <xf numFmtId="0" fontId="9" fillId="0" borderId="5" xfId="0" applyFont="1" applyFill="1" applyBorder="1"/>
    <xf numFmtId="0" fontId="9" fillId="0" borderId="5" xfId="0" applyFont="1" applyFill="1" applyBorder="1" applyAlignment="1"/>
    <xf numFmtId="165" fontId="2" fillId="0" borderId="0" xfId="9" applyNumberFormat="1" applyFont="1" applyFill="1" applyAlignment="1">
      <alignment horizontal="centerContinuous"/>
    </xf>
    <xf numFmtId="0" fontId="3" fillId="0" borderId="0" xfId="29" applyFont="1" applyFill="1" applyBorder="1"/>
    <xf numFmtId="165" fontId="2" fillId="0" borderId="0" xfId="6" applyNumberFormat="1" applyFont="1" applyFill="1" applyAlignment="1">
      <alignment horizontal="centerContinuous"/>
    </xf>
    <xf numFmtId="165" fontId="2" fillId="0" borderId="0" xfId="6" applyNumberFormat="1" applyFont="1" applyFill="1" applyBorder="1" applyAlignment="1">
      <alignment horizontal="centerContinuous"/>
    </xf>
    <xf numFmtId="0" fontId="2" fillId="0" borderId="0" xfId="29" applyFont="1" applyFill="1"/>
    <xf numFmtId="0" fontId="32" fillId="0" borderId="0" xfId="29" applyFont="1" applyFill="1"/>
    <xf numFmtId="0" fontId="0" fillId="0" borderId="0" xfId="0" applyFill="1" applyAlignment="1">
      <alignment horizontal="left"/>
    </xf>
    <xf numFmtId="0" fontId="0" fillId="0" borderId="0" xfId="0" applyAlignment="1">
      <alignment wrapText="1"/>
    </xf>
    <xf numFmtId="0" fontId="9" fillId="0" borderId="0" xfId="0" applyFont="1" applyFill="1" applyAlignment="1">
      <alignment horizontal="left"/>
    </xf>
    <xf numFmtId="0" fontId="9" fillId="0" borderId="0" xfId="0" applyFont="1" applyFill="1" applyBorder="1"/>
    <xf numFmtId="0" fontId="9" fillId="0" borderId="2" xfId="0" applyFont="1" applyFill="1" applyBorder="1" applyAlignment="1">
      <alignment horizontal="centerContinuous"/>
    </xf>
    <xf numFmtId="0" fontId="14" fillId="0" borderId="2" xfId="0" applyFont="1" applyFill="1" applyBorder="1" applyAlignment="1">
      <alignment horizontal="centerContinuous"/>
    </xf>
    <xf numFmtId="0" fontId="14" fillId="0" borderId="2" xfId="0" applyFont="1" applyFill="1" applyBorder="1" applyAlignment="1">
      <alignment horizontal="center" wrapText="1"/>
    </xf>
    <xf numFmtId="165" fontId="14" fillId="0" borderId="0" xfId="5" applyNumberFormat="1" applyFont="1" applyFill="1" applyBorder="1" applyAlignment="1">
      <alignment horizontal="center" wrapText="1"/>
    </xf>
    <xf numFmtId="0" fontId="14" fillId="0" borderId="0" xfId="0" applyFont="1" applyFill="1"/>
    <xf numFmtId="164" fontId="9" fillId="0" borderId="0" xfId="19" applyNumberFormat="1" applyFont="1" applyFill="1"/>
    <xf numFmtId="165" fontId="9" fillId="0" borderId="0" xfId="5" applyNumberFormat="1" applyFont="1" applyFill="1"/>
    <xf numFmtId="165" fontId="9" fillId="0" borderId="0" xfId="5" applyNumberFormat="1" applyFont="1" applyFill="1" applyBorder="1"/>
    <xf numFmtId="165" fontId="9" fillId="0" borderId="2" xfId="5" applyNumberFormat="1" applyFont="1" applyFill="1" applyBorder="1"/>
    <xf numFmtId="164" fontId="9" fillId="0" borderId="7" xfId="19" applyNumberFormat="1" applyFont="1" applyFill="1" applyBorder="1"/>
    <xf numFmtId="0" fontId="9" fillId="0" borderId="0" xfId="0" applyFont="1" applyFill="1" applyAlignment="1">
      <alignment horizontal="left" wrapText="1" indent="1"/>
    </xf>
    <xf numFmtId="0" fontId="9" fillId="0" borderId="0" xfId="0" applyFont="1" applyFill="1" applyAlignment="1">
      <alignment horizontal="left" indent="1"/>
    </xf>
    <xf numFmtId="0" fontId="9" fillId="0" borderId="0" xfId="0" applyFont="1" applyFill="1" applyAlignment="1">
      <alignment horizontal="left" indent="2"/>
    </xf>
    <xf numFmtId="165" fontId="9" fillId="0" borderId="1" xfId="5" applyNumberFormat="1" applyFont="1" applyFill="1" applyBorder="1"/>
    <xf numFmtId="0" fontId="9" fillId="0" borderId="0" xfId="0" applyFont="1" applyFill="1" applyAlignment="1">
      <alignment horizontal="left" indent="3"/>
    </xf>
    <xf numFmtId="164" fontId="9" fillId="0" borderId="4" xfId="19" applyNumberFormat="1" applyFont="1" applyFill="1" applyBorder="1"/>
    <xf numFmtId="0" fontId="0" fillId="0" borderId="0" xfId="0" applyBorder="1" applyAlignment="1">
      <alignment vertical="top"/>
    </xf>
    <xf numFmtId="0" fontId="14" fillId="0" borderId="0" xfId="0" applyFont="1" applyFill="1" applyAlignment="1">
      <alignment wrapText="1"/>
    </xf>
    <xf numFmtId="0" fontId="9" fillId="0" borderId="0" xfId="0" applyFont="1" applyFill="1" applyBorder="1" applyAlignment="1">
      <alignment wrapText="1"/>
    </xf>
    <xf numFmtId="0" fontId="9" fillId="0" borderId="0" xfId="0" applyFont="1" applyFill="1" applyAlignment="1">
      <alignment horizontal="left" wrapText="1" indent="2"/>
    </xf>
    <xf numFmtId="0" fontId="9" fillId="0" borderId="0" xfId="0" applyFont="1" applyFill="1" applyAlignment="1">
      <alignment horizontal="left" wrapText="1" indent="3"/>
    </xf>
    <xf numFmtId="165" fontId="14" fillId="0" borderId="0" xfId="1" applyNumberFormat="1" applyFont="1" applyFill="1" applyAlignment="1">
      <alignment horizontal="centerContinuous"/>
    </xf>
    <xf numFmtId="165" fontId="9" fillId="0" borderId="0" xfId="1" applyNumberFormat="1" applyFont="1" applyFill="1" applyAlignment="1">
      <alignment horizontal="centerContinuous"/>
    </xf>
    <xf numFmtId="0" fontId="9" fillId="0" borderId="0" xfId="0" applyFont="1" applyFill="1" applyAlignment="1">
      <alignment horizontal="centerContinuous"/>
    </xf>
    <xf numFmtId="165" fontId="9" fillId="0" borderId="0" xfId="9" applyNumberFormat="1" applyFont="1" applyFill="1"/>
    <xf numFmtId="0" fontId="9" fillId="0" borderId="0" xfId="0" applyFont="1" applyFill="1" applyAlignment="1">
      <alignment horizontal="center"/>
    </xf>
    <xf numFmtId="165" fontId="9" fillId="0" borderId="0" xfId="1" applyNumberFormat="1" applyFont="1" applyFill="1" applyBorder="1"/>
    <xf numFmtId="165" fontId="9" fillId="0" borderId="0" xfId="9" applyNumberFormat="1" applyFont="1" applyFill="1" applyAlignment="1">
      <alignment horizontal="center"/>
    </xf>
    <xf numFmtId="0" fontId="9" fillId="0" borderId="0" xfId="0" applyFont="1" applyFill="1" applyBorder="1" applyAlignment="1">
      <alignment horizontal="center"/>
    </xf>
    <xf numFmtId="165" fontId="9" fillId="0" borderId="3" xfId="9" applyNumberFormat="1" applyFont="1" applyFill="1" applyBorder="1" applyAlignment="1">
      <alignment horizontal="center"/>
    </xf>
    <xf numFmtId="0" fontId="9" fillId="0" borderId="3" xfId="0" applyFont="1" applyFill="1" applyBorder="1" applyAlignment="1">
      <alignment horizontal="center"/>
    </xf>
    <xf numFmtId="165" fontId="9" fillId="0" borderId="0" xfId="1" applyNumberFormat="1" applyFont="1" applyFill="1" applyBorder="1" applyAlignment="1">
      <alignment horizontal="center"/>
    </xf>
    <xf numFmtId="165" fontId="9" fillId="0" borderId="0" xfId="1" applyNumberFormat="1" applyFont="1" applyFill="1" applyBorder="1" applyAlignment="1">
      <alignment horizontal="left"/>
    </xf>
    <xf numFmtId="165" fontId="9" fillId="0" borderId="0" xfId="9" applyNumberFormat="1" applyFont="1" applyFill="1" applyProtection="1"/>
    <xf numFmtId="37" fontId="9" fillId="0" borderId="0" xfId="0" applyNumberFormat="1" applyFont="1" applyFill="1" applyProtection="1"/>
    <xf numFmtId="42" fontId="9" fillId="0" borderId="0" xfId="17" applyFont="1" applyFill="1" applyAlignment="1">
      <alignment horizontal="left"/>
    </xf>
    <xf numFmtId="165" fontId="9" fillId="0" borderId="0" xfId="9" applyNumberFormat="1" applyFont="1" applyFill="1" applyBorder="1" applyProtection="1"/>
    <xf numFmtId="165" fontId="9" fillId="0" borderId="0" xfId="9" applyNumberFormat="1" applyFont="1" applyFill="1" applyBorder="1" applyAlignment="1" applyProtection="1">
      <alignment horizontal="left"/>
    </xf>
    <xf numFmtId="165" fontId="9" fillId="0" borderId="0" xfId="1" applyNumberFormat="1" applyFont="1" applyFill="1" applyBorder="1" applyProtection="1"/>
    <xf numFmtId="37" fontId="9" fillId="0" borderId="0" xfId="0" applyNumberFormat="1" applyFont="1" applyFill="1" applyBorder="1" applyProtection="1"/>
    <xf numFmtId="165" fontId="9" fillId="0" borderId="1" xfId="9" applyNumberFormat="1" applyFont="1" applyFill="1" applyBorder="1" applyProtection="1"/>
    <xf numFmtId="165" fontId="9" fillId="0" borderId="0" xfId="9" applyNumberFormat="1" applyFont="1" applyFill="1" applyAlignment="1" applyProtection="1">
      <alignment horizontal="left"/>
    </xf>
    <xf numFmtId="42" fontId="9" fillId="0" borderId="0" xfId="16" applyFont="1" applyFill="1" applyBorder="1" applyAlignment="1">
      <alignment horizontal="left"/>
    </xf>
    <xf numFmtId="165" fontId="9" fillId="0" borderId="0" xfId="1" applyNumberFormat="1" applyFont="1" applyFill="1" applyBorder="1" applyAlignment="1" applyProtection="1">
      <alignment horizontal="left"/>
    </xf>
    <xf numFmtId="41" fontId="9" fillId="0" borderId="0" xfId="3" applyFont="1" applyFill="1" applyBorder="1" applyProtection="1"/>
    <xf numFmtId="41" fontId="9" fillId="0" borderId="0" xfId="2" applyFont="1" applyFill="1" applyBorder="1" applyProtection="1"/>
    <xf numFmtId="41" fontId="9" fillId="0" borderId="1" xfId="3" applyFont="1" applyFill="1" applyBorder="1"/>
    <xf numFmtId="41" fontId="9" fillId="0" borderId="8" xfId="3" applyFont="1" applyFill="1" applyBorder="1"/>
    <xf numFmtId="41" fontId="9" fillId="0" borderId="1" xfId="3" applyFont="1" applyFill="1" applyBorder="1" applyProtection="1"/>
    <xf numFmtId="41" fontId="9" fillId="0" borderId="0" xfId="3" applyFont="1" applyFill="1"/>
    <xf numFmtId="164" fontId="9" fillId="0" borderId="2" xfId="23" applyNumberFormat="1" applyFont="1" applyFill="1" applyBorder="1" applyProtection="1"/>
    <xf numFmtId="41" fontId="9" fillId="0" borderId="2" xfId="3" applyFont="1" applyFill="1" applyBorder="1" applyProtection="1"/>
    <xf numFmtId="41" fontId="9" fillId="0" borderId="0" xfId="0" applyNumberFormat="1" applyFont="1" applyFill="1"/>
    <xf numFmtId="41" fontId="9" fillId="0" borderId="0" xfId="3" applyFont="1" applyFill="1" applyBorder="1"/>
    <xf numFmtId="41" fontId="9" fillId="0" borderId="2" xfId="3" applyFont="1" applyFill="1" applyBorder="1"/>
    <xf numFmtId="164" fontId="9" fillId="0" borderId="4" xfId="23" applyNumberFormat="1" applyFont="1" applyFill="1" applyBorder="1"/>
    <xf numFmtId="42" fontId="9" fillId="0" borderId="0" xfId="17" applyFont="1" applyFill="1" applyAlignment="1">
      <alignment horizontal="center"/>
    </xf>
    <xf numFmtId="42" fontId="9" fillId="0" borderId="7" xfId="17" applyFont="1" applyFill="1" applyBorder="1"/>
    <xf numFmtId="165" fontId="9" fillId="0" borderId="5" xfId="1" applyNumberFormat="1" applyFont="1" applyFill="1" applyBorder="1"/>
    <xf numFmtId="165" fontId="9" fillId="0" borderId="0" xfId="1" applyNumberFormat="1" applyFont="1" applyFill="1"/>
    <xf numFmtId="165" fontId="9" fillId="0" borderId="0" xfId="1" applyNumberFormat="1" applyFont="1" applyFill="1" applyAlignment="1">
      <alignment horizontal="center"/>
    </xf>
    <xf numFmtId="165" fontId="9" fillId="0" borderId="0" xfId="1" applyNumberFormat="1" applyFont="1" applyFill="1" applyAlignment="1">
      <alignment horizontal="left"/>
    </xf>
    <xf numFmtId="165" fontId="9" fillId="0" borderId="3" xfId="1" applyNumberFormat="1" applyFont="1" applyFill="1" applyBorder="1" applyAlignment="1">
      <alignment horizontal="center"/>
    </xf>
    <xf numFmtId="165" fontId="9" fillId="0" borderId="0" xfId="1" applyNumberFormat="1" applyFont="1" applyFill="1" applyProtection="1"/>
    <xf numFmtId="164" fontId="9" fillId="0" borderId="0" xfId="1" applyNumberFormat="1" applyFont="1" applyFill="1" applyProtection="1"/>
    <xf numFmtId="164" fontId="9" fillId="0" borderId="0" xfId="0" applyNumberFormat="1" applyFont="1" applyFill="1" applyProtection="1"/>
    <xf numFmtId="165" fontId="9" fillId="0" borderId="2" xfId="1" applyNumberFormat="1" applyFont="1" applyFill="1" applyBorder="1" applyProtection="1"/>
    <xf numFmtId="37" fontId="9" fillId="0" borderId="2" xfId="0" applyNumberFormat="1" applyFont="1" applyFill="1" applyBorder="1" applyProtection="1"/>
    <xf numFmtId="165" fontId="9" fillId="0" borderId="3" xfId="1" applyNumberFormat="1" applyFont="1" applyFill="1" applyBorder="1" applyProtection="1"/>
    <xf numFmtId="37" fontId="9" fillId="0" borderId="3" xfId="0" applyNumberFormat="1" applyFont="1" applyFill="1" applyBorder="1" applyProtection="1"/>
    <xf numFmtId="165" fontId="9" fillId="0" borderId="0" xfId="1" applyNumberFormat="1" applyFont="1" applyFill="1" applyAlignment="1" applyProtection="1">
      <alignment horizontal="right"/>
    </xf>
    <xf numFmtId="165" fontId="9" fillId="0" borderId="3" xfId="1" applyNumberFormat="1" applyFont="1" applyFill="1" applyBorder="1" applyAlignment="1" applyProtection="1">
      <alignment horizontal="right"/>
    </xf>
    <xf numFmtId="164" fontId="9" fillId="0" borderId="6" xfId="1" applyNumberFormat="1" applyFont="1" applyFill="1" applyBorder="1" applyAlignment="1" applyProtection="1">
      <alignment horizontal="right"/>
    </xf>
    <xf numFmtId="164" fontId="9" fillId="0" borderId="6" xfId="0" applyNumberFormat="1" applyFont="1" applyFill="1" applyBorder="1" applyProtection="1"/>
    <xf numFmtId="0" fontId="9" fillId="0" borderId="0" xfId="29" applyFont="1" applyFill="1" applyAlignment="1">
      <alignment horizontal="center"/>
    </xf>
    <xf numFmtId="0" fontId="9" fillId="0" borderId="0" xfId="29" applyFont="1" applyFill="1"/>
    <xf numFmtId="0" fontId="9" fillId="0" borderId="2" xfId="29" applyFont="1" applyFill="1" applyBorder="1" applyAlignment="1"/>
    <xf numFmtId="0" fontId="9" fillId="0" borderId="3" xfId="29" applyFont="1" applyFill="1" applyBorder="1" applyAlignment="1">
      <alignment horizontal="center"/>
    </xf>
    <xf numFmtId="0" fontId="14" fillId="0" borderId="0" xfId="29" applyFont="1" applyFill="1"/>
    <xf numFmtId="42" fontId="9" fillId="0" borderId="0" xfId="23" applyNumberFormat="1" applyFont="1" applyFill="1"/>
    <xf numFmtId="42" fontId="9" fillId="0" borderId="0" xfId="29" applyNumberFormat="1" applyFont="1" applyFill="1"/>
    <xf numFmtId="41" fontId="9" fillId="0" borderId="0" xfId="9" applyNumberFormat="1" applyFont="1" applyFill="1"/>
    <xf numFmtId="41" fontId="9" fillId="0" borderId="2" xfId="9" applyNumberFormat="1" applyFont="1" applyFill="1" applyBorder="1"/>
    <xf numFmtId="41" fontId="9" fillId="0" borderId="0" xfId="29" applyNumberFormat="1" applyFont="1" applyFill="1"/>
    <xf numFmtId="41" fontId="9" fillId="0" borderId="2" xfId="29" applyNumberFormat="1" applyFont="1" applyFill="1" applyBorder="1"/>
    <xf numFmtId="43" fontId="9" fillId="0" borderId="2" xfId="9" applyFont="1" applyFill="1" applyBorder="1"/>
    <xf numFmtId="164" fontId="9" fillId="0" borderId="0" xfId="23" applyNumberFormat="1" applyFont="1" applyFill="1" applyBorder="1"/>
    <xf numFmtId="0" fontId="9" fillId="0" borderId="0" xfId="29" applyFont="1" applyFill="1" applyAlignment="1"/>
    <xf numFmtId="165" fontId="9" fillId="0" borderId="7" xfId="9" applyNumberFormat="1" applyFont="1" applyFill="1" applyBorder="1"/>
    <xf numFmtId="41" fontId="9" fillId="0" borderId="0" xfId="15" applyNumberFormat="1" applyFont="1" applyFill="1"/>
    <xf numFmtId="41" fontId="9" fillId="0" borderId="1" xfId="23" applyNumberFormat="1" applyFont="1" applyFill="1" applyBorder="1"/>
    <xf numFmtId="41" fontId="9" fillId="0" borderId="1" xfId="29" applyNumberFormat="1" applyFont="1" applyFill="1" applyBorder="1"/>
    <xf numFmtId="44" fontId="9" fillId="0" borderId="4" xfId="23" applyFont="1" applyFill="1" applyBorder="1"/>
    <xf numFmtId="165" fontId="9" fillId="0" borderId="2" xfId="9" applyNumberFormat="1" applyFont="1" applyFill="1" applyBorder="1" applyAlignment="1">
      <alignment horizontal="center"/>
    </xf>
    <xf numFmtId="165" fontId="9" fillId="0" borderId="5" xfId="9" applyNumberFormat="1" applyFont="1" applyFill="1" applyBorder="1"/>
    <xf numFmtId="0" fontId="9" fillId="0" borderId="5" xfId="29" applyFont="1" applyFill="1" applyBorder="1"/>
    <xf numFmtId="43" fontId="9" fillId="0" borderId="5" xfId="9" applyFont="1" applyFill="1" applyBorder="1"/>
    <xf numFmtId="165" fontId="9" fillId="0" borderId="11" xfId="9" applyNumberFormat="1" applyFont="1" applyFill="1" applyBorder="1"/>
    <xf numFmtId="0" fontId="9" fillId="0" borderId="11" xfId="29" applyFont="1" applyFill="1" applyBorder="1"/>
    <xf numFmtId="43" fontId="9" fillId="0" borderId="11" xfId="9" applyFont="1" applyFill="1" applyBorder="1"/>
    <xf numFmtId="43" fontId="9" fillId="0" borderId="2" xfId="9" applyFont="1" applyFill="1" applyBorder="1" applyAlignment="1">
      <alignment horizontal="center"/>
    </xf>
    <xf numFmtId="43" fontId="9" fillId="0" borderId="0" xfId="9" applyFont="1" applyFill="1"/>
    <xf numFmtId="37" fontId="9" fillId="0" borderId="0" xfId="29" applyNumberFormat="1" applyFont="1" applyFill="1" applyAlignment="1" applyProtection="1">
      <alignment horizontal="left"/>
    </xf>
    <xf numFmtId="42" fontId="9" fillId="0" borderId="2" xfId="17" applyFont="1" applyFill="1" applyBorder="1"/>
    <xf numFmtId="42" fontId="9" fillId="0" borderId="0" xfId="17" applyFont="1" applyFill="1" applyAlignment="1" applyProtection="1">
      <alignment horizontal="left"/>
    </xf>
    <xf numFmtId="42" fontId="9" fillId="0" borderId="0" xfId="17" applyFont="1" applyFill="1"/>
    <xf numFmtId="42" fontId="9" fillId="0" borderId="4" xfId="17" applyFont="1" applyFill="1" applyBorder="1"/>
    <xf numFmtId="37" fontId="9" fillId="0" borderId="0" xfId="29" applyNumberFormat="1" applyFont="1" applyFill="1"/>
    <xf numFmtId="37" fontId="9" fillId="0" borderId="2" xfId="29" applyNumberFormat="1" applyFont="1" applyFill="1" applyBorder="1"/>
    <xf numFmtId="44" fontId="9" fillId="0" borderId="0" xfId="23" applyFont="1" applyFill="1"/>
    <xf numFmtId="0" fontId="14" fillId="0" borderId="0" xfId="0" applyFont="1" applyFill="1" applyAlignment="1">
      <alignment horizontal="centerContinuous"/>
    </xf>
    <xf numFmtId="164" fontId="9" fillId="0" borderId="0" xfId="1" applyNumberFormat="1" applyFont="1" applyFill="1" applyAlignment="1" applyProtection="1">
      <alignment horizontal="right"/>
    </xf>
    <xf numFmtId="165" fontId="9" fillId="0" borderId="0" xfId="1" applyNumberFormat="1" applyFont="1" applyFill="1" applyBorder="1" applyAlignment="1" applyProtection="1">
      <alignment horizontal="right"/>
    </xf>
    <xf numFmtId="165" fontId="9" fillId="0" borderId="2" xfId="1" applyNumberFormat="1" applyFont="1" applyFill="1" applyBorder="1" applyAlignment="1" applyProtection="1">
      <alignment horizontal="right"/>
    </xf>
    <xf numFmtId="164" fontId="9" fillId="0" borderId="1" xfId="15" applyNumberFormat="1" applyFont="1" applyFill="1" applyBorder="1" applyProtection="1"/>
    <xf numFmtId="165" fontId="9" fillId="0" borderId="12" xfId="1" applyNumberFormat="1" applyFont="1" applyFill="1" applyBorder="1" applyProtection="1"/>
    <xf numFmtId="0" fontId="14" fillId="0" borderId="0" xfId="0" applyFont="1" applyFill="1" applyAlignment="1">
      <alignment horizontal="left"/>
    </xf>
    <xf numFmtId="165" fontId="9" fillId="0" borderId="3" xfId="1" applyNumberFormat="1" applyFont="1" applyFill="1" applyBorder="1" applyAlignment="1">
      <alignment horizontal="right"/>
    </xf>
    <xf numFmtId="164" fontId="9" fillId="0" borderId="4" xfId="1" applyNumberFormat="1" applyFont="1" applyFill="1" applyBorder="1" applyProtection="1"/>
    <xf numFmtId="167" fontId="14" fillId="0" borderId="0" xfId="36" applyFont="1" applyFill="1" applyAlignment="1">
      <alignment horizontal="left"/>
    </xf>
    <xf numFmtId="167" fontId="9" fillId="0" borderId="0" xfId="36" applyFont="1" applyFill="1"/>
    <xf numFmtId="37" fontId="9" fillId="0" borderId="0" xfId="36" applyNumberFormat="1" applyFont="1" applyFill="1" applyProtection="1"/>
    <xf numFmtId="167" fontId="9" fillId="0" borderId="0" xfId="36" applyFont="1" applyFill="1" applyAlignment="1">
      <alignment horizontal="left"/>
    </xf>
    <xf numFmtId="37" fontId="9" fillId="0" borderId="0" xfId="36" applyNumberFormat="1" applyFont="1" applyFill="1" applyBorder="1" applyProtection="1"/>
    <xf numFmtId="37" fontId="9" fillId="0" borderId="1" xfId="36" applyNumberFormat="1" applyFont="1" applyFill="1" applyBorder="1" applyProtection="1"/>
    <xf numFmtId="167" fontId="9" fillId="0" borderId="13" xfId="35" applyFont="1" applyFill="1" applyBorder="1"/>
    <xf numFmtId="167" fontId="9" fillId="0" borderId="0" xfId="35" applyFont="1" applyFill="1"/>
    <xf numFmtId="167" fontId="9" fillId="0" borderId="0" xfId="35" applyFont="1" applyFill="1" applyAlignment="1">
      <alignment horizontal="center"/>
    </xf>
    <xf numFmtId="167" fontId="9" fillId="0" borderId="0" xfId="35" applyFont="1" applyFill="1" applyAlignment="1">
      <alignment horizontal="left"/>
    </xf>
    <xf numFmtId="42" fontId="9" fillId="0" borderId="0" xfId="35" applyNumberFormat="1" applyFont="1" applyFill="1" applyProtection="1"/>
    <xf numFmtId="42" fontId="9" fillId="0" borderId="0" xfId="35" applyNumberFormat="1" applyFont="1" applyFill="1" applyAlignment="1" applyProtection="1">
      <alignment horizontal="right"/>
    </xf>
    <xf numFmtId="42" fontId="9" fillId="0" borderId="0" xfId="35" applyNumberFormat="1" applyFont="1" applyFill="1"/>
    <xf numFmtId="41" fontId="9" fillId="0" borderId="0" xfId="35" applyNumberFormat="1" applyFont="1" applyFill="1"/>
    <xf numFmtId="41" fontId="9" fillId="0" borderId="0" xfId="35" applyNumberFormat="1" applyFont="1" applyFill="1" applyProtection="1"/>
    <xf numFmtId="41" fontId="9" fillId="0" borderId="0" xfId="35" applyNumberFormat="1" applyFont="1" applyFill="1" applyAlignment="1" applyProtection="1">
      <alignment horizontal="right"/>
    </xf>
    <xf numFmtId="41" fontId="9" fillId="0" borderId="0" xfId="35" applyNumberFormat="1" applyFont="1" applyFill="1" applyAlignment="1">
      <alignment horizontal="right"/>
    </xf>
    <xf numFmtId="41" fontId="9" fillId="0" borderId="1" xfId="35" applyNumberFormat="1" applyFont="1" applyFill="1" applyBorder="1" applyProtection="1"/>
    <xf numFmtId="42" fontId="9" fillId="0" borderId="4" xfId="35" applyNumberFormat="1" applyFont="1" applyFill="1" applyBorder="1" applyAlignment="1" applyProtection="1">
      <alignment horizontal="right"/>
    </xf>
    <xf numFmtId="167" fontId="14" fillId="0" borderId="0" xfId="36" applyFont="1" applyFill="1" applyAlignment="1">
      <alignment horizontal="centerContinuous"/>
    </xf>
    <xf numFmtId="167" fontId="9" fillId="0" borderId="0" xfId="36" applyFont="1" applyFill="1" applyAlignment="1">
      <alignment horizontal="centerContinuous"/>
    </xf>
    <xf numFmtId="167" fontId="9" fillId="0" borderId="9" xfId="36" applyFont="1" applyFill="1" applyBorder="1" applyAlignment="1">
      <alignment horizontal="centerContinuous"/>
    </xf>
    <xf numFmtId="167" fontId="9" fillId="0" borderId="0" xfId="36" applyFont="1" applyFill="1" applyAlignment="1">
      <alignment horizontal="center"/>
    </xf>
    <xf numFmtId="167" fontId="9" fillId="0" borderId="3" xfId="36" applyFont="1" applyFill="1" applyBorder="1" applyAlignment="1">
      <alignment horizontal="center"/>
    </xf>
    <xf numFmtId="42" fontId="9" fillId="0" borderId="0" xfId="15" applyNumberFormat="1" applyFont="1" applyFill="1" applyAlignment="1" applyProtection="1">
      <alignment horizontal="right"/>
    </xf>
    <xf numFmtId="42" fontId="9" fillId="0" borderId="0" xfId="15" applyNumberFormat="1" applyFont="1" applyFill="1" applyProtection="1"/>
    <xf numFmtId="41" fontId="9" fillId="0" borderId="3" xfId="1" applyNumberFormat="1" applyFont="1" applyFill="1" applyBorder="1" applyAlignment="1" applyProtection="1">
      <alignment horizontal="right"/>
    </xf>
    <xf numFmtId="41" fontId="9" fillId="0" borderId="0" xfId="36" applyNumberFormat="1" applyFont="1" applyFill="1" applyProtection="1"/>
    <xf numFmtId="41" fontId="9" fillId="0" borderId="3" xfId="36" applyNumberFormat="1" applyFont="1" applyFill="1" applyBorder="1" applyProtection="1"/>
    <xf numFmtId="164" fontId="9" fillId="0" borderId="3" xfId="15" applyNumberFormat="1" applyFont="1" applyFill="1" applyBorder="1" applyProtection="1"/>
    <xf numFmtId="41" fontId="9" fillId="0" borderId="0" xfId="36" applyNumberFormat="1" applyFont="1" applyFill="1"/>
    <xf numFmtId="41" fontId="9" fillId="0" borderId="0" xfId="36" applyNumberFormat="1" applyFont="1" applyFill="1" applyAlignment="1" applyProtection="1">
      <alignment horizontal="right"/>
    </xf>
    <xf numFmtId="41" fontId="9" fillId="0" borderId="3" xfId="36" applyNumberFormat="1" applyFont="1" applyFill="1" applyBorder="1" applyAlignment="1" applyProtection="1">
      <alignment horizontal="right"/>
    </xf>
    <xf numFmtId="165" fontId="9" fillId="0" borderId="0" xfId="0" applyNumberFormat="1" applyFont="1" applyFill="1" applyAlignment="1">
      <alignment horizontal="right"/>
    </xf>
    <xf numFmtId="41" fontId="9" fillId="0" borderId="0" xfId="36" applyNumberFormat="1" applyFont="1" applyFill="1" applyBorder="1" applyProtection="1"/>
    <xf numFmtId="41" fontId="9" fillId="0" borderId="0" xfId="36" applyNumberFormat="1" applyFont="1" applyFill="1" applyBorder="1" applyAlignment="1" applyProtection="1">
      <alignment horizontal="right"/>
    </xf>
    <xf numFmtId="41" fontId="9" fillId="0" borderId="1" xfId="36" applyNumberFormat="1" applyFont="1" applyFill="1" applyBorder="1" applyProtection="1"/>
    <xf numFmtId="0" fontId="9" fillId="0" borderId="0" xfId="36" applyNumberFormat="1" applyFont="1" applyFill="1" applyBorder="1" applyProtection="1"/>
    <xf numFmtId="41" fontId="9" fillId="0" borderId="2" xfId="36" applyNumberFormat="1" applyFont="1" applyFill="1" applyBorder="1" applyProtection="1"/>
    <xf numFmtId="41" fontId="9" fillId="0" borderId="0" xfId="0" applyNumberFormat="1" applyFont="1" applyFill="1" applyAlignment="1">
      <alignment horizontal="right"/>
    </xf>
    <xf numFmtId="41" fontId="9" fillId="0" borderId="4" xfId="15" applyNumberFormat="1" applyFont="1" applyFill="1" applyBorder="1" applyProtection="1"/>
    <xf numFmtId="41" fontId="9" fillId="0" borderId="0" xfId="15" applyNumberFormat="1" applyFont="1" applyFill="1" applyBorder="1" applyProtection="1"/>
    <xf numFmtId="41" fontId="9" fillId="0" borderId="6" xfId="15" applyNumberFormat="1" applyFont="1" applyFill="1" applyBorder="1" applyProtection="1"/>
    <xf numFmtId="41" fontId="9" fillId="0" borderId="0" xfId="36" applyNumberFormat="1" applyFont="1" applyFill="1" applyBorder="1"/>
    <xf numFmtId="41" fontId="9" fillId="0" borderId="2" xfId="15" applyNumberFormat="1" applyFont="1" applyFill="1" applyBorder="1" applyProtection="1"/>
    <xf numFmtId="42" fontId="9" fillId="0" borderId="6" xfId="15" applyNumberFormat="1" applyFont="1" applyFill="1" applyBorder="1" applyProtection="1"/>
    <xf numFmtId="167" fontId="14" fillId="0" borderId="0" xfId="34" applyFont="1" applyFill="1" applyAlignment="1">
      <alignment horizontal="centerContinuous"/>
    </xf>
    <xf numFmtId="167" fontId="9" fillId="0" borderId="0" xfId="34" applyFont="1" applyFill="1" applyAlignment="1">
      <alignment horizontal="centerContinuous"/>
    </xf>
    <xf numFmtId="167" fontId="9" fillId="0" borderId="5" xfId="34" applyFont="1" applyFill="1" applyBorder="1"/>
    <xf numFmtId="167" fontId="9" fillId="0" borderId="0" xfId="34" applyFont="1" applyFill="1"/>
    <xf numFmtId="167" fontId="9" fillId="0" borderId="0" xfId="34" applyFont="1" applyFill="1" applyAlignment="1">
      <alignment horizontal="center"/>
    </xf>
    <xf numFmtId="167" fontId="9" fillId="0" borderId="3" xfId="34" applyFont="1" applyFill="1" applyBorder="1" applyAlignment="1">
      <alignment horizontal="centerContinuous"/>
    </xf>
    <xf numFmtId="167" fontId="9" fillId="0" borderId="0" xfId="34" applyFont="1" applyFill="1" applyAlignment="1">
      <alignment horizontal="left"/>
    </xf>
    <xf numFmtId="167" fontId="9" fillId="0" borderId="3" xfId="34" applyFont="1" applyFill="1" applyBorder="1" applyAlignment="1">
      <alignment horizontal="center"/>
    </xf>
    <xf numFmtId="37" fontId="9" fillId="0" borderId="0" xfId="34" applyNumberFormat="1" applyFont="1" applyFill="1" applyProtection="1"/>
    <xf numFmtId="42" fontId="9" fillId="0" borderId="0" xfId="15" applyNumberFormat="1" applyFont="1" applyFill="1" applyAlignment="1">
      <alignment horizontal="left"/>
    </xf>
    <xf numFmtId="41" fontId="9" fillId="0" borderId="3" xfId="34" applyNumberFormat="1" applyFont="1" applyFill="1" applyBorder="1" applyProtection="1"/>
    <xf numFmtId="41" fontId="9" fillId="0" borderId="0" xfId="34" applyNumberFormat="1" applyFont="1" applyFill="1" applyProtection="1"/>
    <xf numFmtId="41" fontId="9" fillId="0" borderId="0" xfId="34" applyNumberFormat="1" applyFont="1" applyFill="1"/>
    <xf numFmtId="41" fontId="9" fillId="0" borderId="0" xfId="1" applyNumberFormat="1" applyFont="1" applyFill="1" applyAlignment="1" applyProtection="1">
      <alignment horizontal="right"/>
    </xf>
    <xf numFmtId="41" fontId="9" fillId="0" borderId="2" xfId="34" applyNumberFormat="1" applyFont="1" applyFill="1" applyBorder="1" applyProtection="1"/>
    <xf numFmtId="41" fontId="9" fillId="0" borderId="0" xfId="34" applyNumberFormat="1" applyFont="1" applyFill="1" applyBorder="1" applyProtection="1"/>
    <xf numFmtId="41" fontId="9" fillId="0" borderId="2" xfId="34" applyNumberFormat="1" applyFont="1" applyFill="1" applyBorder="1"/>
    <xf numFmtId="42" fontId="9" fillId="0" borderId="6" xfId="15" applyNumberFormat="1" applyFont="1" applyFill="1" applyBorder="1" applyAlignment="1">
      <alignment horizontal="right"/>
    </xf>
    <xf numFmtId="164" fontId="9" fillId="0" borderId="0" xfId="15" applyNumberFormat="1" applyFont="1" applyFill="1" applyProtection="1"/>
    <xf numFmtId="164" fontId="9" fillId="0" borderId="0" xfId="15" applyNumberFormat="1" applyFont="1" applyFill="1" applyAlignment="1" applyProtection="1">
      <alignment horizontal="right"/>
    </xf>
    <xf numFmtId="167" fontId="3" fillId="0" borderId="0" xfId="31" applyFont="1" applyFill="1"/>
    <xf numFmtId="41" fontId="3" fillId="0" borderId="0" xfId="31" applyNumberFormat="1" applyFont="1" applyFill="1"/>
    <xf numFmtId="167" fontId="3" fillId="0" borderId="0" xfId="31" applyFont="1" applyFill="1" applyAlignment="1">
      <alignment horizontal="center"/>
    </xf>
    <xf numFmtId="167" fontId="3" fillId="0" borderId="0" xfId="31" applyFont="1" applyFill="1" applyAlignment="1">
      <alignment horizontal="right"/>
    </xf>
    <xf numFmtId="10" fontId="19" fillId="0" borderId="0" xfId="31" applyNumberFormat="1" applyFont="1" applyFill="1" applyProtection="1"/>
    <xf numFmtId="167" fontId="20" fillId="0" borderId="0" xfId="31" applyFont="1" applyFill="1"/>
    <xf numFmtId="167" fontId="2" fillId="0" borderId="0" xfId="32" applyFont="1" applyFill="1" applyAlignment="1">
      <alignment horizontal="centerContinuous"/>
    </xf>
    <xf numFmtId="167" fontId="3" fillId="0" borderId="0" xfId="32" applyFont="1" applyFill="1"/>
    <xf numFmtId="168" fontId="2" fillId="0" borderId="0" xfId="32" applyNumberFormat="1" applyFont="1" applyFill="1" applyAlignment="1">
      <alignment horizontal="centerContinuous"/>
    </xf>
    <xf numFmtId="167" fontId="21" fillId="0" borderId="0" xfId="32" applyFont="1" applyFill="1" applyAlignment="1">
      <alignment horizontal="left"/>
    </xf>
    <xf numFmtId="167" fontId="14" fillId="0" borderId="0" xfId="38" applyFont="1" applyFill="1" applyBorder="1" applyAlignment="1">
      <alignment horizontal="left"/>
    </xf>
    <xf numFmtId="167" fontId="9" fillId="0" borderId="0" xfId="38" applyFont="1" applyFill="1" applyBorder="1"/>
    <xf numFmtId="167" fontId="9" fillId="0" borderId="0" xfId="38" applyFont="1" applyFill="1" applyBorder="1" applyAlignment="1">
      <alignment horizontal="center"/>
    </xf>
    <xf numFmtId="37" fontId="9" fillId="0" borderId="0" xfId="38" applyNumberFormat="1" applyFont="1" applyFill="1" applyBorder="1" applyProtection="1"/>
    <xf numFmtId="37" fontId="9" fillId="0" borderId="0" xfId="38" applyNumberFormat="1" applyFont="1" applyFill="1" applyBorder="1" applyAlignment="1" applyProtection="1">
      <alignment horizontal="center"/>
    </xf>
    <xf numFmtId="0" fontId="33" fillId="0" borderId="16" xfId="0" applyFont="1" applyBorder="1"/>
    <xf numFmtId="167" fontId="14" fillId="0" borderId="0" xfId="31" applyFont="1" applyFill="1"/>
    <xf numFmtId="167" fontId="9" fillId="0" borderId="0" xfId="31" applyFont="1" applyFill="1"/>
    <xf numFmtId="37" fontId="9" fillId="0" borderId="0" xfId="31" applyNumberFormat="1" applyFont="1" applyFill="1" applyProtection="1"/>
    <xf numFmtId="0" fontId="3" fillId="0" borderId="0" xfId="33" applyFont="1" applyFill="1"/>
    <xf numFmtId="167" fontId="14" fillId="0" borderId="0" xfId="31" applyFont="1" applyFill="1" applyAlignment="1">
      <alignment horizontal="centerContinuous"/>
    </xf>
    <xf numFmtId="167" fontId="9" fillId="0" borderId="0" xfId="31" applyFont="1" applyFill="1" applyAlignment="1">
      <alignment horizontal="centerContinuous"/>
    </xf>
    <xf numFmtId="167" fontId="9" fillId="0" borderId="5" xfId="31" applyFont="1" applyFill="1" applyBorder="1"/>
    <xf numFmtId="167" fontId="23" fillId="0" borderId="0" xfId="31" applyFont="1" applyFill="1"/>
    <xf numFmtId="167" fontId="9" fillId="0" borderId="0" xfId="31" applyFont="1" applyFill="1" applyBorder="1"/>
    <xf numFmtId="9" fontId="9" fillId="0" borderId="0" xfId="31" applyNumberFormat="1" applyFont="1" applyFill="1"/>
    <xf numFmtId="167" fontId="9" fillId="0" borderId="0" xfId="31" applyFont="1" applyFill="1" applyBorder="1" applyAlignment="1">
      <alignment horizontal="left"/>
    </xf>
    <xf numFmtId="42" fontId="9" fillId="0" borderId="0" xfId="31" applyNumberFormat="1" applyFont="1" applyFill="1" applyProtection="1"/>
    <xf numFmtId="37" fontId="9" fillId="0" borderId="2" xfId="31" applyNumberFormat="1" applyFont="1" applyFill="1" applyBorder="1" applyProtection="1"/>
    <xf numFmtId="42" fontId="9" fillId="0" borderId="0" xfId="31" applyNumberFormat="1" applyFont="1" applyFill="1" applyBorder="1" applyProtection="1"/>
    <xf numFmtId="0" fontId="14" fillId="0" borderId="0" xfId="37" applyFont="1" applyFill="1" applyAlignment="1">
      <alignment horizontal="centerContinuous"/>
    </xf>
    <xf numFmtId="0" fontId="9" fillId="0" borderId="0" xfId="37" applyFont="1" applyFill="1" applyAlignment="1">
      <alignment horizontal="centerContinuous"/>
    </xf>
    <xf numFmtId="0" fontId="9" fillId="0" borderId="9" xfId="37" applyFont="1" applyFill="1" applyBorder="1" applyAlignment="1">
      <alignment horizontal="centerContinuous"/>
    </xf>
    <xf numFmtId="167" fontId="9" fillId="0" borderId="9" xfId="31" applyFont="1" applyFill="1" applyBorder="1" applyAlignment="1">
      <alignment horizontal="centerContinuous"/>
    </xf>
    <xf numFmtId="0" fontId="14" fillId="0" borderId="0" xfId="37" applyFont="1" applyFill="1"/>
    <xf numFmtId="0" fontId="14" fillId="0" borderId="0" xfId="37" applyFont="1" applyFill="1" applyAlignment="1">
      <alignment horizontal="center"/>
    </xf>
    <xf numFmtId="0" fontId="14" fillId="0" borderId="2" xfId="37" applyFont="1" applyFill="1" applyBorder="1"/>
    <xf numFmtId="0" fontId="14" fillId="0" borderId="2" xfId="37" applyFont="1" applyFill="1" applyBorder="1" applyAlignment="1">
      <alignment horizontal="center"/>
    </xf>
    <xf numFmtId="167" fontId="9" fillId="0" borderId="2" xfId="31" applyFont="1" applyFill="1" applyBorder="1"/>
    <xf numFmtId="0" fontId="14" fillId="0" borderId="0" xfId="37" applyFont="1" applyFill="1" applyBorder="1"/>
    <xf numFmtId="0" fontId="14" fillId="0" borderId="0" xfId="37" applyFont="1" applyFill="1" applyBorder="1" applyAlignment="1">
      <alignment horizontal="center"/>
    </xf>
    <xf numFmtId="0" fontId="9" fillId="0" borderId="0" xfId="37" applyFont="1" applyFill="1"/>
    <xf numFmtId="42" fontId="9" fillId="0" borderId="0" xfId="1" applyNumberFormat="1" applyFont="1" applyFill="1"/>
    <xf numFmtId="10" fontId="9" fillId="0" borderId="0" xfId="37" applyNumberFormat="1" applyFont="1" applyFill="1" applyAlignment="1">
      <alignment horizontal="center"/>
    </xf>
    <xf numFmtId="165" fontId="9" fillId="0" borderId="2" xfId="1" applyNumberFormat="1" applyFont="1" applyFill="1" applyBorder="1"/>
    <xf numFmtId="0" fontId="9" fillId="0" borderId="0" xfId="37" applyFont="1" applyFill="1" applyAlignment="1">
      <alignment horizontal="left" indent="1"/>
    </xf>
    <xf numFmtId="42" fontId="9" fillId="0" borderId="4" xfId="1" applyNumberFormat="1" applyFont="1" applyFill="1" applyBorder="1"/>
    <xf numFmtId="37" fontId="9" fillId="0" borderId="0" xfId="31" applyNumberFormat="1" applyFont="1" applyFill="1" applyBorder="1" applyProtection="1"/>
    <xf numFmtId="169" fontId="9" fillId="0" borderId="0" xfId="37" applyNumberFormat="1" applyFont="1" applyFill="1" applyAlignment="1">
      <alignment horizontal="center"/>
    </xf>
    <xf numFmtId="2" fontId="9" fillId="0" borderId="0" xfId="37" applyNumberFormat="1" applyFont="1" applyFill="1" applyAlignment="1">
      <alignment horizontal="center"/>
    </xf>
    <xf numFmtId="164" fontId="3" fillId="0" borderId="4" xfId="29" applyNumberFormat="1" applyFill="1" applyBorder="1"/>
    <xf numFmtId="0" fontId="34" fillId="0" borderId="0" xfId="0" applyFont="1" applyBorder="1" applyAlignment="1">
      <alignment wrapText="1"/>
    </xf>
    <xf numFmtId="172" fontId="34" fillId="0" borderId="0" xfId="39" applyNumberFormat="1" applyFont="1" applyBorder="1"/>
    <xf numFmtId="164" fontId="34" fillId="0" borderId="0" xfId="15" applyNumberFormat="1" applyFont="1" applyFill="1" applyBorder="1"/>
    <xf numFmtId="164" fontId="34" fillId="0" borderId="0" xfId="15" applyNumberFormat="1" applyFont="1"/>
    <xf numFmtId="10" fontId="34" fillId="0" borderId="0" xfId="39" applyNumberFormat="1" applyFont="1"/>
    <xf numFmtId="0" fontId="34" fillId="0" borderId="0" xfId="0" applyFont="1"/>
    <xf numFmtId="165" fontId="34" fillId="0" borderId="2" xfId="1" applyNumberFormat="1" applyFont="1" applyBorder="1"/>
    <xf numFmtId="164" fontId="34" fillId="0" borderId="7" xfId="15" applyNumberFormat="1" applyFont="1" applyBorder="1"/>
    <xf numFmtId="0" fontId="35" fillId="0" borderId="2" xfId="0" applyFont="1" applyBorder="1" applyAlignment="1">
      <alignment horizontal="center"/>
    </xf>
    <xf numFmtId="0" fontId="35" fillId="0" borderId="0" xfId="0" applyFont="1"/>
    <xf numFmtId="0" fontId="34" fillId="0" borderId="0" xfId="0" applyFont="1" applyAlignment="1">
      <alignment wrapText="1"/>
    </xf>
    <xf numFmtId="0" fontId="34" fillId="0" borderId="0" xfId="0" applyFont="1" applyAlignment="1">
      <alignment vertical="top" wrapText="1"/>
    </xf>
    <xf numFmtId="0" fontId="34" fillId="0" borderId="0" xfId="0" applyFont="1" applyBorder="1"/>
    <xf numFmtId="0" fontId="34" fillId="0" borderId="0" xfId="0" applyFont="1" applyFill="1" applyBorder="1" applyAlignment="1">
      <alignment wrapText="1"/>
    </xf>
    <xf numFmtId="165" fontId="34" fillId="0" borderId="2" xfId="1" applyNumberFormat="1" applyFont="1" applyBorder="1" applyAlignment="1">
      <alignment vertical="center"/>
    </xf>
    <xf numFmtId="0" fontId="0" fillId="0" borderId="0" xfId="0" applyBorder="1" applyAlignment="1"/>
    <xf numFmtId="167" fontId="9" fillId="0" borderId="0" xfId="38" applyFont="1" applyFill="1" applyBorder="1" applyAlignment="1"/>
    <xf numFmtId="0" fontId="33" fillId="0" borderId="9" xfId="0" applyFont="1" applyBorder="1"/>
    <xf numFmtId="167" fontId="9" fillId="0" borderId="14" xfId="38" applyFont="1" applyFill="1" applyBorder="1" applyAlignment="1">
      <alignment horizontal="left"/>
    </xf>
    <xf numFmtId="167" fontId="9" fillId="0" borderId="15" xfId="38" applyFont="1" applyFill="1" applyBorder="1" applyAlignment="1"/>
    <xf numFmtId="167" fontId="9" fillId="0" borderId="9" xfId="38" applyFont="1" applyFill="1" applyBorder="1" applyAlignment="1"/>
    <xf numFmtId="167" fontId="9" fillId="0" borderId="17" xfId="38" applyFont="1" applyFill="1" applyBorder="1" applyAlignment="1"/>
    <xf numFmtId="167" fontId="9" fillId="0" borderId="0" xfId="36" applyFont="1" applyFill="1" applyBorder="1"/>
    <xf numFmtId="0" fontId="9" fillId="0" borderId="0" xfId="29" applyFont="1" applyFill="1" applyAlignment="1">
      <alignment horizontal="right"/>
    </xf>
    <xf numFmtId="165" fontId="9" fillId="0" borderId="1" xfId="1" applyNumberFormat="1" applyFont="1" applyFill="1" applyBorder="1" applyAlignment="1" applyProtection="1">
      <alignment horizontal="right"/>
    </xf>
    <xf numFmtId="0" fontId="0" fillId="0" borderId="0" xfId="0" applyFill="1" applyBorder="1" applyAlignment="1">
      <alignment horizontal="left"/>
    </xf>
    <xf numFmtId="0" fontId="0" fillId="0" borderId="0" xfId="0" applyFill="1" applyBorder="1" applyAlignment="1"/>
    <xf numFmtId="0" fontId="2" fillId="0" borderId="2" xfId="0" applyFont="1" applyBorder="1" applyAlignment="1">
      <alignment horizontal="center"/>
    </xf>
    <xf numFmtId="165" fontId="2" fillId="0" borderId="0" xfId="1" applyNumberFormat="1" applyFont="1" applyFill="1" applyAlignment="1">
      <alignment horizontal="right"/>
    </xf>
    <xf numFmtId="0" fontId="36" fillId="0" borderId="0" xfId="0" applyFont="1" applyFill="1" applyBorder="1" applyAlignment="1">
      <alignment horizontal="left" vertical="top"/>
    </xf>
    <xf numFmtId="0" fontId="2" fillId="0" borderId="0" xfId="0" applyFont="1" applyFill="1" applyAlignment="1">
      <alignment horizontal="left" indent="2"/>
    </xf>
    <xf numFmtId="0" fontId="2" fillId="0" borderId="0" xfId="0" applyFont="1" applyFill="1" applyAlignment="1">
      <alignment horizontal="left" indent="3"/>
    </xf>
    <xf numFmtId="0" fontId="2" fillId="0" borderId="0" xfId="0" applyFont="1" applyFill="1" applyAlignment="1">
      <alignment horizontal="left" wrapText="1"/>
    </xf>
    <xf numFmtId="41" fontId="0" fillId="0" borderId="0" xfId="0" applyNumberFormat="1"/>
    <xf numFmtId="10" fontId="0" fillId="0" borderId="0" xfId="39" applyNumberFormat="1" applyFont="1"/>
    <xf numFmtId="41" fontId="0" fillId="0" borderId="0" xfId="15" applyNumberFormat="1" applyFont="1"/>
    <xf numFmtId="42" fontId="0" fillId="0" borderId="0" xfId="0" applyNumberFormat="1" applyFill="1" applyBorder="1"/>
    <xf numFmtId="0" fontId="21" fillId="0" borderId="0" xfId="0" applyFont="1"/>
    <xf numFmtId="41" fontId="0" fillId="0" borderId="2" xfId="15" applyNumberFormat="1" applyFont="1" applyBorder="1"/>
    <xf numFmtId="0" fontId="2" fillId="0" borderId="0" xfId="0" applyFont="1"/>
    <xf numFmtId="170" fontId="0" fillId="0" borderId="0" xfId="0" applyNumberFormat="1"/>
    <xf numFmtId="43" fontId="0" fillId="0" borderId="0" xfId="0" applyNumberFormat="1"/>
    <xf numFmtId="42" fontId="0" fillId="0" borderId="7" xfId="0" applyNumberFormat="1" applyBorder="1"/>
    <xf numFmtId="164" fontId="0" fillId="0" borderId="0" xfId="15" applyNumberFormat="1" applyFont="1"/>
    <xf numFmtId="164" fontId="0" fillId="0" borderId="7" xfId="15" applyNumberFormat="1" applyFont="1" applyBorder="1"/>
    <xf numFmtId="165" fontId="9" fillId="0" borderId="0" xfId="0" applyNumberFormat="1" applyFont="1" applyFill="1" applyAlignment="1">
      <alignment horizontal="left"/>
    </xf>
    <xf numFmtId="41" fontId="0" fillId="0" borderId="0" xfId="15" applyNumberFormat="1" applyFont="1" applyBorder="1"/>
    <xf numFmtId="0" fontId="0" fillId="0" borderId="0" xfId="0" applyFill="1" applyBorder="1" applyAlignment="1">
      <alignment vertical="top"/>
    </xf>
    <xf numFmtId="164" fontId="9" fillId="0" borderId="0" xfId="15" applyNumberFormat="1" applyFont="1" applyFill="1" applyBorder="1" applyProtection="1"/>
    <xf numFmtId="41" fontId="0" fillId="0" borderId="1" xfId="0" applyNumberFormat="1" applyFill="1" applyBorder="1"/>
    <xf numFmtId="164" fontId="1" fillId="0" borderId="7" xfId="15" applyNumberFormat="1" applyFont="1" applyFill="1" applyBorder="1"/>
    <xf numFmtId="165" fontId="1" fillId="0" borderId="0" xfId="1" applyNumberFormat="1" applyFont="1" applyFill="1"/>
    <xf numFmtId="165" fontId="1" fillId="0" borderId="0" xfId="1" applyNumberFormat="1" applyFont="1" applyFill="1" applyBorder="1"/>
    <xf numFmtId="165" fontId="1" fillId="0" borderId="0" xfId="1" applyNumberFormat="1" applyFont="1" applyFill="1" applyAlignment="1">
      <alignment horizontal="right"/>
    </xf>
    <xf numFmtId="165" fontId="1" fillId="0" borderId="0" xfId="0" applyNumberFormat="1" applyFont="1" applyFill="1"/>
    <xf numFmtId="43" fontId="1" fillId="0" borderId="0" xfId="0" applyNumberFormat="1" applyFont="1" applyFill="1"/>
    <xf numFmtId="164" fontId="34" fillId="0" borderId="0" xfId="15" applyNumberFormat="1" applyFont="1" applyBorder="1" applyAlignment="1">
      <alignment wrapText="1"/>
    </xf>
    <xf numFmtId="10" fontId="1" fillId="0" borderId="0" xfId="1" applyNumberFormat="1" applyFont="1"/>
    <xf numFmtId="164" fontId="34" fillId="0" borderId="0" xfId="15" applyNumberFormat="1" applyFont="1" applyAlignment="1">
      <alignment wrapText="1"/>
    </xf>
    <xf numFmtId="10" fontId="34" fillId="0" borderId="0" xfId="0" applyNumberFormat="1" applyFont="1"/>
    <xf numFmtId="10" fontId="34" fillId="0" borderId="0" xfId="39" applyNumberFormat="1" applyFont="1" applyFill="1" applyBorder="1" applyAlignment="1">
      <alignment wrapText="1"/>
    </xf>
    <xf numFmtId="10" fontId="34" fillId="0" borderId="0" xfId="0" applyNumberFormat="1" applyFont="1" applyFill="1" applyBorder="1" applyAlignment="1">
      <alignment wrapText="1"/>
    </xf>
    <xf numFmtId="0" fontId="1" fillId="0" borderId="0" xfId="0" applyFont="1" applyFill="1"/>
    <xf numFmtId="0" fontId="1" fillId="0" borderId="0" xfId="0" applyFont="1" applyFill="1" applyAlignment="1"/>
    <xf numFmtId="165" fontId="1" fillId="0" borderId="0" xfId="1" applyNumberFormat="1" applyFont="1"/>
    <xf numFmtId="165" fontId="1" fillId="0" borderId="2" xfId="1" applyNumberFormat="1" applyFont="1" applyBorder="1"/>
    <xf numFmtId="164" fontId="1" fillId="0" borderId="0" xfId="15" applyNumberFormat="1" applyFont="1"/>
    <xf numFmtId="167" fontId="1" fillId="0" borderId="0" xfId="32" applyFont="1" applyFill="1"/>
    <xf numFmtId="165" fontId="0" fillId="0" borderId="0" xfId="1" applyNumberFormat="1" applyFont="1"/>
    <xf numFmtId="0" fontId="37" fillId="0" borderId="0" xfId="0" applyFont="1"/>
    <xf numFmtId="164" fontId="1" fillId="0" borderId="0" xfId="15" applyNumberFormat="1" applyFont="1" applyFill="1"/>
    <xf numFmtId="164" fontId="1" fillId="0" borderId="0" xfId="15" applyNumberFormat="1" applyFont="1" applyFill="1" applyBorder="1"/>
    <xf numFmtId="164" fontId="1" fillId="0" borderId="0" xfId="1" applyNumberFormat="1" applyFont="1" applyFill="1"/>
    <xf numFmtId="165" fontId="1" fillId="0" borderId="1" xfId="1" applyNumberFormat="1" applyFont="1" applyFill="1" applyBorder="1"/>
    <xf numFmtId="165" fontId="1" fillId="0" borderId="8" xfId="1" applyNumberFormat="1" applyFont="1" applyFill="1" applyBorder="1"/>
    <xf numFmtId="0" fontId="1" fillId="0" borderId="0" xfId="0" applyFont="1" applyFill="1" applyAlignment="1">
      <alignment horizontal="right"/>
    </xf>
    <xf numFmtId="3" fontId="1" fillId="0" borderId="0" xfId="0" applyNumberFormat="1" applyFont="1" applyFill="1"/>
    <xf numFmtId="41" fontId="1" fillId="0" borderId="0" xfId="0" applyNumberFormat="1" applyFont="1" applyFill="1"/>
    <xf numFmtId="165" fontId="1" fillId="0" borderId="0" xfId="0" applyNumberFormat="1" applyFont="1" applyFill="1" applyAlignment="1"/>
    <xf numFmtId="165" fontId="1" fillId="0" borderId="2" xfId="1" applyNumberFormat="1" applyFont="1" applyFill="1" applyBorder="1"/>
    <xf numFmtId="164" fontId="1" fillId="0" borderId="7" xfId="0" applyNumberFormat="1" applyFont="1" applyFill="1" applyBorder="1"/>
    <xf numFmtId="43" fontId="1" fillId="0" borderId="0" xfId="1" applyFont="1" applyFill="1"/>
    <xf numFmtId="41" fontId="1" fillId="0" borderId="0" xfId="1" applyNumberFormat="1" applyFont="1" applyFill="1"/>
    <xf numFmtId="42" fontId="1" fillId="0" borderId="0" xfId="0" applyNumberFormat="1" applyFont="1" applyFill="1"/>
    <xf numFmtId="41" fontId="1" fillId="0" borderId="2" xfId="1" applyNumberFormat="1" applyFont="1" applyFill="1" applyBorder="1"/>
    <xf numFmtId="41" fontId="1" fillId="0" borderId="2" xfId="0" applyNumberFormat="1" applyFont="1" applyFill="1" applyBorder="1"/>
    <xf numFmtId="0" fontId="1" fillId="0" borderId="0" xfId="0" applyFont="1" applyFill="1" applyAlignment="1">
      <alignment horizontal="left" indent="2"/>
    </xf>
    <xf numFmtId="0" fontId="1" fillId="0" borderId="0" xfId="0" applyFont="1" applyFill="1" applyAlignment="1">
      <alignment horizontal="left" indent="3"/>
    </xf>
    <xf numFmtId="164" fontId="1" fillId="0" borderId="0" xfId="0" applyNumberFormat="1" applyFont="1" applyFill="1"/>
    <xf numFmtId="41" fontId="1" fillId="0" borderId="1" xfId="1" applyNumberFormat="1" applyFont="1" applyFill="1" applyBorder="1"/>
    <xf numFmtId="175" fontId="1" fillId="0" borderId="0" xfId="0" applyNumberFormat="1" applyFont="1" applyFill="1"/>
    <xf numFmtId="166" fontId="1" fillId="0" borderId="0" xfId="0" applyNumberFormat="1" applyFont="1" applyFill="1"/>
    <xf numFmtId="0" fontId="1" fillId="0" borderId="2" xfId="0" applyFont="1" applyFill="1" applyBorder="1" applyAlignment="1">
      <alignment horizontal="centerContinuous"/>
    </xf>
    <xf numFmtId="0" fontId="1" fillId="0" borderId="0" xfId="0" applyFont="1" applyFill="1" applyBorder="1"/>
    <xf numFmtId="41" fontId="1" fillId="0" borderId="0" xfId="15" applyNumberFormat="1" applyFont="1" applyFill="1"/>
    <xf numFmtId="165" fontId="1" fillId="0" borderId="2" xfId="0" applyNumberFormat="1" applyFont="1" applyFill="1" applyBorder="1"/>
    <xf numFmtId="176" fontId="1" fillId="0" borderId="0" xfId="0" applyNumberFormat="1" applyFont="1" applyFill="1"/>
    <xf numFmtId="44" fontId="1" fillId="0" borderId="0" xfId="0" applyNumberFormat="1" applyFont="1" applyFill="1"/>
    <xf numFmtId="174" fontId="1" fillId="0" borderId="0" xfId="0" applyNumberFormat="1" applyFont="1" applyFill="1"/>
    <xf numFmtId="0" fontId="1" fillId="0" borderId="0" xfId="0" applyFont="1" applyFill="1" applyAlignment="1">
      <alignment horizontal="left" vertical="center" wrapText="1" indent="1"/>
    </xf>
    <xf numFmtId="0" fontId="1" fillId="0" borderId="0" xfId="0" applyFont="1" applyFill="1" applyAlignment="1">
      <alignment horizontal="left" wrapText="1" indent="2"/>
    </xf>
    <xf numFmtId="0" fontId="1" fillId="0" borderId="0" xfId="0" applyFont="1" applyFill="1" applyAlignment="1">
      <alignment horizontal="left" wrapText="1" indent="3"/>
    </xf>
    <xf numFmtId="164" fontId="1" fillId="0" borderId="0" xfId="15" applyNumberFormat="1" applyFont="1" applyFill="1" applyBorder="1" applyAlignment="1">
      <alignment horizontal="right"/>
    </xf>
    <xf numFmtId="0" fontId="1" fillId="0" borderId="0" xfId="0" applyFont="1" applyFill="1" applyAlignment="1">
      <alignment horizontal="centerContinuous"/>
    </xf>
    <xf numFmtId="42" fontId="1" fillId="0" borderId="4" xfId="0" applyNumberFormat="1" applyFont="1" applyFill="1" applyBorder="1"/>
    <xf numFmtId="0" fontId="1" fillId="0" borderId="0" xfId="0" applyFont="1" applyFill="1" applyAlignment="1">
      <alignment horizontal="left" wrapText="1" indent="4"/>
    </xf>
    <xf numFmtId="0" fontId="1" fillId="0" borderId="0" xfId="0" applyFont="1" applyFill="1" applyAlignment="1">
      <alignment horizontal="left" wrapText="1" indent="5"/>
    </xf>
    <xf numFmtId="179" fontId="1" fillId="0" borderId="0" xfId="1" applyNumberFormat="1" applyFont="1" applyFill="1"/>
    <xf numFmtId="43" fontId="1" fillId="0" borderId="0" xfId="1" applyNumberFormat="1" applyFont="1" applyFill="1"/>
    <xf numFmtId="0" fontId="1" fillId="0" borderId="0" xfId="0" applyFont="1" applyFill="1" applyBorder="1" applyAlignment="1">
      <alignment horizontal="centerContinuous"/>
    </xf>
    <xf numFmtId="165" fontId="1" fillId="0" borderId="2" xfId="1" applyNumberFormat="1" applyFont="1" applyFill="1" applyBorder="1" applyAlignment="1">
      <alignment horizontal="right"/>
    </xf>
    <xf numFmtId="165" fontId="1" fillId="0" borderId="3" xfId="1" applyNumberFormat="1" applyFont="1" applyFill="1" applyBorder="1"/>
    <xf numFmtId="164" fontId="1" fillId="0" borderId="7" xfId="1" applyNumberFormat="1" applyFont="1" applyFill="1" applyBorder="1"/>
    <xf numFmtId="164" fontId="1" fillId="0" borderId="0" xfId="1" applyNumberFormat="1" applyFont="1" applyFill="1" applyBorder="1"/>
    <xf numFmtId="0" fontId="1" fillId="0" borderId="0" xfId="0" applyFont="1" applyFill="1" applyBorder="1" applyAlignment="1">
      <alignment horizontal="left"/>
    </xf>
    <xf numFmtId="43" fontId="9" fillId="0" borderId="2" xfId="1" applyFont="1" applyFill="1" applyBorder="1"/>
    <xf numFmtId="43" fontId="9" fillId="0" borderId="0" xfId="1" applyFont="1" applyFill="1"/>
    <xf numFmtId="43" fontId="9" fillId="0" borderId="0" xfId="1" applyFont="1" applyFill="1" applyBorder="1"/>
    <xf numFmtId="1" fontId="1" fillId="0" borderId="0" xfId="0" applyNumberFormat="1" applyFont="1" applyFill="1"/>
    <xf numFmtId="41" fontId="1" fillId="0" borderId="0" xfId="0" applyNumberFormat="1" applyFont="1" applyFill="1" applyAlignment="1">
      <alignment horizontal="right"/>
    </xf>
    <xf numFmtId="10" fontId="1" fillId="0" borderId="0" xfId="39" applyNumberFormat="1" applyFont="1" applyFill="1"/>
    <xf numFmtId="172" fontId="1" fillId="0" borderId="0" xfId="39" applyNumberFormat="1" applyFont="1" applyFill="1"/>
    <xf numFmtId="43" fontId="1" fillId="0" borderId="0" xfId="1" applyFont="1" applyFill="1" applyBorder="1"/>
    <xf numFmtId="0" fontId="1" fillId="0" borderId="3" xfId="0" applyFont="1" applyFill="1" applyBorder="1" applyAlignment="1">
      <alignment horizontal="center"/>
    </xf>
    <xf numFmtId="37" fontId="1" fillId="0" borderId="0" xfId="0" applyNumberFormat="1" applyFont="1" applyFill="1" applyProtection="1"/>
    <xf numFmtId="164" fontId="1" fillId="0" borderId="0" xfId="5" applyNumberFormat="1" applyFont="1" applyFill="1" applyAlignment="1" applyProtection="1">
      <alignment horizontal="right"/>
    </xf>
    <xf numFmtId="164" fontId="1" fillId="0" borderId="0" xfId="0" applyNumberFormat="1" applyFont="1" applyFill="1" applyProtection="1"/>
    <xf numFmtId="164" fontId="1" fillId="0" borderId="0" xfId="5" applyNumberFormat="1" applyFont="1" applyFill="1" applyProtection="1"/>
    <xf numFmtId="165" fontId="1" fillId="0" borderId="3" xfId="5" applyNumberFormat="1" applyFont="1" applyFill="1" applyBorder="1" applyAlignment="1" applyProtection="1">
      <alignment horizontal="right"/>
    </xf>
    <xf numFmtId="165" fontId="1" fillId="0" borderId="3" xfId="5" applyNumberFormat="1" applyFont="1" applyFill="1" applyBorder="1" applyProtection="1"/>
    <xf numFmtId="164" fontId="1" fillId="0" borderId="3" xfId="19" applyNumberFormat="1" applyFont="1" applyFill="1" applyBorder="1" applyProtection="1"/>
    <xf numFmtId="165" fontId="1" fillId="0" borderId="0" xfId="5" applyNumberFormat="1" applyFont="1" applyFill="1" applyProtection="1"/>
    <xf numFmtId="165" fontId="1" fillId="0" borderId="0" xfId="5" applyNumberFormat="1" applyFont="1" applyFill="1" applyAlignment="1" applyProtection="1">
      <alignment horizontal="right"/>
    </xf>
    <xf numFmtId="165" fontId="1" fillId="0" borderId="1" xfId="5" applyNumberFormat="1" applyFont="1" applyFill="1" applyBorder="1" applyProtection="1"/>
    <xf numFmtId="165" fontId="1" fillId="0" borderId="0" xfId="5" applyNumberFormat="1" applyFont="1" applyFill="1"/>
    <xf numFmtId="165" fontId="1" fillId="0" borderId="2" xfId="5" applyNumberFormat="1" applyFont="1" applyFill="1" applyBorder="1" applyAlignment="1" applyProtection="1">
      <alignment horizontal="right"/>
    </xf>
    <xf numFmtId="165" fontId="1" fillId="0" borderId="2" xfId="5" applyNumberFormat="1" applyFont="1" applyFill="1" applyBorder="1" applyProtection="1"/>
    <xf numFmtId="165" fontId="1" fillId="0" borderId="0" xfId="5" applyNumberFormat="1" applyFont="1" applyFill="1" applyAlignment="1">
      <alignment horizontal="right"/>
    </xf>
    <xf numFmtId="165" fontId="1" fillId="0" borderId="0" xfId="5" applyNumberFormat="1" applyFont="1" applyFill="1" applyBorder="1" applyProtection="1"/>
    <xf numFmtId="37" fontId="1" fillId="0" borderId="0" xfId="0" applyNumberFormat="1" applyFont="1" applyFill="1" applyBorder="1" applyProtection="1"/>
    <xf numFmtId="165" fontId="1" fillId="0" borderId="0" xfId="5" applyNumberFormat="1" applyFont="1" applyFill="1" applyBorder="1" applyAlignment="1" applyProtection="1">
      <alignment horizontal="right"/>
    </xf>
    <xf numFmtId="0" fontId="1" fillId="0" borderId="0" xfId="0" applyFont="1" applyFill="1" applyAlignment="1">
      <alignment horizontal="fill"/>
    </xf>
    <xf numFmtId="0" fontId="1" fillId="0" borderId="0" xfId="0" applyFont="1"/>
    <xf numFmtId="0" fontId="1" fillId="0" borderId="40" xfId="0" applyFont="1" applyBorder="1" applyAlignment="1">
      <alignment horizontal="center"/>
    </xf>
    <xf numFmtId="165" fontId="1" fillId="0" borderId="0" xfId="5" applyNumberFormat="1" applyFont="1" applyFill="1" applyBorder="1"/>
    <xf numFmtId="165" fontId="1" fillId="0" borderId="12" xfId="5" applyNumberFormat="1" applyFont="1" applyFill="1" applyBorder="1" applyProtection="1"/>
    <xf numFmtId="165" fontId="1" fillId="0" borderId="0" xfId="5" applyNumberFormat="1" applyFont="1" applyFill="1" applyBorder="1" applyAlignment="1">
      <alignment horizontal="right"/>
    </xf>
    <xf numFmtId="0" fontId="1" fillId="0" borderId="0" xfId="0" applyFont="1" applyAlignment="1">
      <alignment horizontal="right"/>
    </xf>
    <xf numFmtId="165" fontId="1" fillId="0" borderId="2" xfId="5" applyNumberFormat="1" applyFont="1" applyFill="1" applyBorder="1" applyAlignment="1">
      <alignment horizontal="right"/>
    </xf>
    <xf numFmtId="165" fontId="1" fillId="0" borderId="3" xfId="5" applyNumberFormat="1" applyFont="1" applyFill="1" applyBorder="1" applyAlignment="1">
      <alignment horizontal="right"/>
    </xf>
    <xf numFmtId="165" fontId="1" fillId="0" borderId="8" xfId="5" applyNumberFormat="1" applyFont="1" applyFill="1" applyBorder="1" applyProtection="1"/>
    <xf numFmtId="164" fontId="1" fillId="0" borderId="4" xfId="19" applyNumberFormat="1" applyFont="1" applyFill="1" applyBorder="1" applyProtection="1"/>
    <xf numFmtId="164" fontId="1" fillId="0" borderId="6" xfId="5" applyNumberFormat="1" applyFont="1" applyFill="1" applyBorder="1" applyProtection="1"/>
    <xf numFmtId="180" fontId="1" fillId="0" borderId="0" xfId="0" applyNumberFormat="1" applyFont="1" applyFill="1"/>
    <xf numFmtId="164" fontId="1" fillId="0" borderId="0" xfId="5" applyNumberFormat="1" applyFont="1" applyFill="1" applyBorder="1" applyProtection="1"/>
    <xf numFmtId="0" fontId="1" fillId="0" borderId="0" xfId="0" applyFont="1" applyFill="1" applyBorder="1" applyAlignment="1">
      <alignment vertical="top"/>
    </xf>
    <xf numFmtId="165" fontId="0" fillId="0" borderId="0" xfId="0" applyNumberFormat="1"/>
    <xf numFmtId="165" fontId="1" fillId="0" borderId="2" xfId="1" applyNumberFormat="1" applyFont="1" applyBorder="1" applyAlignment="1">
      <alignment vertical="center"/>
    </xf>
    <xf numFmtId="44" fontId="9" fillId="0" borderId="4" xfId="15" applyFont="1" applyFill="1" applyBorder="1"/>
    <xf numFmtId="0" fontId="3" fillId="0" borderId="0" xfId="0" applyFont="1" applyBorder="1"/>
    <xf numFmtId="0" fontId="35" fillId="0" borderId="0" xfId="0" applyFont="1" applyBorder="1" applyAlignment="1">
      <alignment horizontal="center"/>
    </xf>
    <xf numFmtId="164" fontId="34" fillId="0" borderId="0" xfId="15" applyNumberFormat="1" applyFont="1" applyBorder="1"/>
    <xf numFmtId="165" fontId="34" fillId="0" borderId="0" xfId="1" applyNumberFormat="1" applyFont="1" applyBorder="1" applyAlignment="1">
      <alignment vertical="center"/>
    </xf>
    <xf numFmtId="0" fontId="9" fillId="0" borderId="0" xfId="0" applyFont="1" applyFill="1" applyBorder="1" applyAlignment="1">
      <alignment horizontal="centerContinuous"/>
    </xf>
    <xf numFmtId="165" fontId="9" fillId="0" borderId="0" xfId="9" applyNumberFormat="1" applyFont="1" applyFill="1" applyBorder="1"/>
    <xf numFmtId="42" fontId="9" fillId="0" borderId="0" xfId="17" applyFont="1" applyFill="1" applyBorder="1" applyAlignment="1">
      <alignment horizontal="center"/>
    </xf>
    <xf numFmtId="176" fontId="0" fillId="0" borderId="0" xfId="0" applyNumberFormat="1"/>
    <xf numFmtId="166" fontId="1" fillId="0" borderId="0" xfId="1" applyNumberFormat="1" applyFont="1" applyFill="1"/>
    <xf numFmtId="0" fontId="0" fillId="0" borderId="0" xfId="0" applyFill="1" applyBorder="1" applyAlignment="1">
      <alignment wrapText="1"/>
    </xf>
    <xf numFmtId="41" fontId="0" fillId="0" borderId="0" xfId="15" applyNumberFormat="1" applyFont="1" applyFill="1" applyBorder="1"/>
    <xf numFmtId="43" fontId="1" fillId="0" borderId="0" xfId="0" applyNumberFormat="1" applyFont="1" applyFill="1" applyAlignment="1">
      <alignment horizontal="right"/>
    </xf>
    <xf numFmtId="172" fontId="34" fillId="0" borderId="0" xfId="39" applyNumberFormat="1" applyFont="1" applyBorder="1" applyAlignment="1">
      <alignment wrapText="1"/>
    </xf>
    <xf numFmtId="164" fontId="0" fillId="0" borderId="0" xfId="0" applyNumberFormat="1" applyBorder="1" applyAlignment="1"/>
    <xf numFmtId="164" fontId="0" fillId="0" borderId="0" xfId="0" applyNumberFormat="1" applyFill="1" applyBorder="1" applyAlignment="1"/>
    <xf numFmtId="44" fontId="0" fillId="0" borderId="0" xfId="0" applyNumberFormat="1" applyFill="1" applyBorder="1" applyAlignment="1"/>
    <xf numFmtId="9" fontId="0" fillId="0" borderId="0" xfId="39" applyFont="1" applyFill="1" applyBorder="1" applyAlignment="1"/>
    <xf numFmtId="10" fontId="0" fillId="0" borderId="0" xfId="39" applyNumberFormat="1" applyFont="1" applyFill="1" applyBorder="1" applyAlignment="1">
      <alignment horizontal="left"/>
    </xf>
    <xf numFmtId="0" fontId="32" fillId="0" borderId="0" xfId="0" applyFont="1" applyFill="1" applyBorder="1" applyAlignment="1">
      <alignment horizontal="left"/>
    </xf>
    <xf numFmtId="9" fontId="0" fillId="0" borderId="0" xfId="39" applyFont="1"/>
    <xf numFmtId="164" fontId="2" fillId="0" borderId="0" xfId="0" applyNumberFormat="1" applyFont="1" applyFill="1" applyAlignment="1">
      <alignment horizontal="left" indent="2"/>
    </xf>
    <xf numFmtId="165" fontId="1" fillId="0" borderId="0" xfId="1" applyNumberFormat="1" applyFont="1" applyFill="1" applyAlignment="1">
      <alignment horizontal="left"/>
    </xf>
    <xf numFmtId="43" fontId="1" fillId="0" borderId="0" xfId="1" applyFont="1" applyFill="1" applyAlignment="1"/>
    <xf numFmtId="165" fontId="1" fillId="0" borderId="0" xfId="1" applyNumberFormat="1" applyFont="1" applyFill="1" applyAlignment="1"/>
    <xf numFmtId="165" fontId="1" fillId="0" borderId="0" xfId="1" applyNumberFormat="1" applyFont="1" applyFill="1" applyAlignment="1">
      <alignment wrapText="1"/>
    </xf>
    <xf numFmtId="165" fontId="2" fillId="0" borderId="0" xfId="1" applyNumberFormat="1" applyFont="1" applyFill="1" applyAlignment="1">
      <alignment horizontal="left" indent="2"/>
    </xf>
    <xf numFmtId="164" fontId="0" fillId="0" borderId="0" xfId="0" applyNumberFormat="1"/>
    <xf numFmtId="0" fontId="2" fillId="0" borderId="0" xfId="0" applyFont="1" applyFill="1" applyAlignment="1">
      <alignment horizontal="right" indent="2"/>
    </xf>
    <xf numFmtId="43" fontId="2" fillId="0" borderId="0" xfId="0" applyNumberFormat="1" applyFont="1" applyFill="1" applyAlignment="1">
      <alignment horizontal="left" indent="2"/>
    </xf>
    <xf numFmtId="41" fontId="1" fillId="0" borderId="0" xfId="15" applyNumberFormat="1" applyFont="1"/>
    <xf numFmtId="41" fontId="1" fillId="0" borderId="0" xfId="0" applyNumberFormat="1" applyFont="1"/>
    <xf numFmtId="41" fontId="1" fillId="0" borderId="2" xfId="0" applyNumberFormat="1" applyFont="1" applyBorder="1"/>
    <xf numFmtId="0" fontId="0" fillId="0" borderId="0" xfId="0" applyBorder="1"/>
    <xf numFmtId="0" fontId="2" fillId="0" borderId="0" xfId="0" applyFont="1" applyBorder="1" applyAlignment="1">
      <alignment horizontal="center"/>
    </xf>
    <xf numFmtId="0" fontId="2" fillId="0" borderId="0" xfId="0" applyFont="1" applyBorder="1"/>
    <xf numFmtId="0" fontId="21" fillId="0" borderId="0" xfId="0" applyFont="1" applyBorder="1"/>
    <xf numFmtId="165" fontId="1" fillId="0" borderId="0" xfId="1" applyNumberFormat="1" applyFont="1" applyBorder="1"/>
    <xf numFmtId="41" fontId="0" fillId="0" borderId="0" xfId="0" applyNumberFormat="1" applyBorder="1"/>
    <xf numFmtId="10" fontId="0" fillId="0" borderId="0" xfId="39" applyNumberFormat="1" applyFont="1" applyBorder="1"/>
    <xf numFmtId="0" fontId="1" fillId="0" borderId="0" xfId="0" applyFont="1" applyBorder="1"/>
    <xf numFmtId="43" fontId="0" fillId="0" borderId="0" xfId="0" applyNumberFormat="1" applyBorder="1"/>
    <xf numFmtId="0" fontId="1" fillId="0" borderId="0" xfId="0" applyFont="1" applyFill="1" applyBorder="1" applyAlignment="1">
      <alignment horizontal="left" vertical="top" wrapText="1"/>
    </xf>
    <xf numFmtId="42" fontId="1" fillId="0" borderId="0" xfId="0" applyNumberFormat="1" applyFont="1"/>
    <xf numFmtId="0" fontId="1" fillId="0" borderId="0" xfId="0" applyFont="1" applyAlignment="1">
      <alignment vertical="top"/>
    </xf>
    <xf numFmtId="172" fontId="0" fillId="0" borderId="0" xfId="39" applyNumberFormat="1" applyFont="1"/>
    <xf numFmtId="10" fontId="0" fillId="0" borderId="0" xfId="39" applyNumberFormat="1" applyFont="1" applyBorder="1" applyAlignment="1"/>
    <xf numFmtId="164" fontId="2" fillId="0" borderId="0" xfId="0" applyNumberFormat="1" applyFont="1"/>
    <xf numFmtId="0" fontId="1" fillId="0" borderId="0" xfId="0" applyFont="1" applyFill="1" applyAlignment="1">
      <alignment horizontal="left" vertical="top"/>
    </xf>
    <xf numFmtId="165" fontId="1" fillId="0" borderId="0" xfId="0" applyNumberFormat="1" applyFont="1" applyFill="1" applyBorder="1"/>
    <xf numFmtId="0" fontId="14" fillId="0" borderId="0" xfId="0" applyFont="1" applyFill="1" applyBorder="1" applyAlignment="1">
      <alignment horizontal="centerContinuous"/>
    </xf>
    <xf numFmtId="167" fontId="1" fillId="0" borderId="0" xfId="38" applyFont="1" applyFill="1" applyAlignment="1">
      <alignment horizontal="left"/>
    </xf>
    <xf numFmtId="165" fontId="9" fillId="0" borderId="1" xfId="1" applyNumberFormat="1" applyFont="1" applyFill="1" applyBorder="1"/>
    <xf numFmtId="0" fontId="14" fillId="0" borderId="0" xfId="0" applyFont="1" applyFill="1" applyBorder="1" applyAlignment="1">
      <alignment horizontal="center" wrapText="1"/>
    </xf>
    <xf numFmtId="164" fontId="9" fillId="0" borderId="0" xfId="19" applyNumberFormat="1" applyFont="1" applyFill="1" applyBorder="1"/>
    <xf numFmtId="0" fontId="9" fillId="0" borderId="0" xfId="0" applyFont="1" applyFill="1" applyAlignment="1"/>
    <xf numFmtId="165" fontId="0" fillId="0" borderId="0" xfId="1" applyNumberFormat="1" applyFont="1" applyFill="1" applyAlignment="1">
      <alignment horizontal="left"/>
    </xf>
    <xf numFmtId="41" fontId="1" fillId="0" borderId="0" xfId="31" applyNumberFormat="1" applyFont="1" applyFill="1"/>
    <xf numFmtId="0" fontId="1" fillId="0" borderId="0" xfId="33" applyFont="1" applyFill="1"/>
    <xf numFmtId="10" fontId="9" fillId="0" borderId="7" xfId="39" applyNumberFormat="1" applyFont="1" applyFill="1" applyBorder="1" applyAlignment="1">
      <alignment horizontal="center"/>
    </xf>
    <xf numFmtId="167" fontId="1" fillId="0" borderId="0" xfId="32" applyFont="1" applyFill="1" applyAlignment="1">
      <alignment horizontal="left"/>
    </xf>
    <xf numFmtId="0" fontId="1" fillId="0" borderId="0" xfId="0" applyFont="1" applyAlignment="1">
      <alignment vertical="top" wrapText="1"/>
    </xf>
    <xf numFmtId="164" fontId="9" fillId="0" borderId="2" xfId="1" applyNumberFormat="1" applyFont="1" applyFill="1" applyBorder="1" applyProtection="1"/>
    <xf numFmtId="164" fontId="9" fillId="0" borderId="2" xfId="0" applyNumberFormat="1" applyFont="1" applyFill="1" applyBorder="1" applyProtection="1"/>
    <xf numFmtId="43" fontId="9" fillId="0" borderId="0" xfId="1" applyFont="1" applyFill="1" applyBorder="1" applyProtection="1"/>
    <xf numFmtId="37" fontId="9" fillId="0" borderId="1" xfId="0" applyNumberFormat="1" applyFont="1" applyFill="1" applyBorder="1" applyProtection="1"/>
    <xf numFmtId="165" fontId="9" fillId="0" borderId="1" xfId="1" applyNumberFormat="1" applyFont="1" applyFill="1" applyBorder="1" applyProtection="1"/>
    <xf numFmtId="43" fontId="9" fillId="0" borderId="0" xfId="1" applyFont="1" applyFill="1" applyProtection="1"/>
    <xf numFmtId="43" fontId="9" fillId="0" borderId="3" xfId="1" applyFont="1" applyFill="1" applyBorder="1" applyProtection="1"/>
    <xf numFmtId="0" fontId="36" fillId="0" borderId="14" xfId="0" applyFont="1" applyBorder="1" applyAlignment="1">
      <alignment vertical="top"/>
    </xf>
    <xf numFmtId="0" fontId="36" fillId="0" borderId="0" xfId="0" applyFont="1" applyBorder="1" applyAlignment="1">
      <alignment vertical="top"/>
    </xf>
    <xf numFmtId="167" fontId="1" fillId="0" borderId="0" xfId="36" applyFont="1" applyFill="1" applyAlignment="1">
      <alignment horizontal="left"/>
    </xf>
    <xf numFmtId="167" fontId="2" fillId="0" borderId="0" xfId="36" applyFont="1" applyFill="1" applyAlignment="1">
      <alignment horizontal="left"/>
    </xf>
    <xf numFmtId="0" fontId="2" fillId="0" borderId="0" xfId="0" applyFont="1" applyAlignment="1">
      <alignment horizontal="right"/>
    </xf>
    <xf numFmtId="0" fontId="2" fillId="0" borderId="0" xfId="0" quotePrefix="1" applyFont="1" applyAlignment="1">
      <alignment horizontal="center"/>
    </xf>
    <xf numFmtId="164" fontId="1" fillId="0" borderId="0" xfId="0" applyNumberFormat="1" applyFont="1"/>
    <xf numFmtId="165" fontId="1" fillId="0" borderId="0" xfId="0" applyNumberFormat="1" applyFont="1"/>
    <xf numFmtId="0" fontId="8" fillId="0" borderId="0" xfId="0" applyFont="1" applyAlignment="1">
      <alignment horizontal="left"/>
    </xf>
    <xf numFmtId="0" fontId="8" fillId="0" borderId="0" xfId="0" applyFont="1"/>
    <xf numFmtId="0" fontId="1" fillId="0" borderId="0" xfId="0" applyFont="1" applyAlignment="1">
      <alignment horizontal="left" indent="1"/>
    </xf>
    <xf numFmtId="0" fontId="1" fillId="0" borderId="0" xfId="0" applyFont="1" applyAlignment="1">
      <alignment horizontal="left" wrapText="1" indent="1"/>
    </xf>
    <xf numFmtId="0" fontId="1" fillId="0" borderId="0" xfId="0" applyFont="1" applyAlignment="1">
      <alignment horizontal="left" indent="2"/>
    </xf>
    <xf numFmtId="0" fontId="2" fillId="0" borderId="0" xfId="0" applyFont="1" applyAlignment="1">
      <alignment horizontal="center" wrapText="1"/>
    </xf>
    <xf numFmtId="165" fontId="1" fillId="0" borderId="2" xfId="0" applyNumberFormat="1" applyFont="1" applyBorder="1"/>
    <xf numFmtId="0" fontId="2" fillId="0" borderId="0" xfId="0" applyFont="1" applyAlignment="1"/>
    <xf numFmtId="164" fontId="1" fillId="0" borderId="2" xfId="1" applyNumberFormat="1" applyFont="1" applyFill="1" applyBorder="1"/>
    <xf numFmtId="43" fontId="1" fillId="0" borderId="0" xfId="0" applyNumberFormat="1" applyFont="1"/>
    <xf numFmtId="0" fontId="1" fillId="0" borderId="0" xfId="0" applyFont="1" applyAlignment="1">
      <alignment horizontal="left" wrapText="1" indent="3"/>
    </xf>
    <xf numFmtId="0" fontId="2" fillId="0" borderId="0" xfId="0" applyFont="1" applyBorder="1" applyAlignment="1">
      <alignment horizontal="center" wrapText="1"/>
    </xf>
    <xf numFmtId="0" fontId="1" fillId="0" borderId="0" xfId="0" applyFont="1" applyAlignment="1">
      <alignment wrapText="1"/>
    </xf>
    <xf numFmtId="165" fontId="0" fillId="0" borderId="0" xfId="1" applyNumberFormat="1" applyFont="1" applyAlignment="1">
      <alignment wrapText="1"/>
    </xf>
    <xf numFmtId="164" fontId="1" fillId="0" borderId="0" xfId="15" applyNumberFormat="1" applyFont="1" applyAlignment="1"/>
    <xf numFmtId="164" fontId="1" fillId="0" borderId="7" xfId="15" applyNumberFormat="1" applyFont="1" applyBorder="1"/>
    <xf numFmtId="0" fontId="1" fillId="0" borderId="0" xfId="0" applyFont="1" applyAlignment="1"/>
    <xf numFmtId="41" fontId="1" fillId="0" borderId="0" xfId="1" applyNumberFormat="1" applyFont="1" applyFill="1" applyBorder="1"/>
    <xf numFmtId="0" fontId="35" fillId="0" borderId="2" xfId="0" applyFont="1" applyFill="1" applyBorder="1" applyAlignment="1">
      <alignment horizontal="center"/>
    </xf>
    <xf numFmtId="172" fontId="34" fillId="0" borderId="0" xfId="39" applyNumberFormat="1" applyFont="1" applyFill="1" applyBorder="1" applyAlignment="1">
      <alignment wrapText="1"/>
    </xf>
    <xf numFmtId="164" fontId="34" fillId="0" borderId="0" xfId="15" applyNumberFormat="1" applyFont="1" applyFill="1" applyBorder="1" applyAlignment="1">
      <alignment wrapText="1"/>
    </xf>
    <xf numFmtId="164" fontId="34" fillId="0" borderId="0" xfId="15" applyNumberFormat="1" applyFont="1" applyFill="1"/>
    <xf numFmtId="164" fontId="0" fillId="0" borderId="4" xfId="15" applyNumberFormat="1" applyFont="1" applyBorder="1"/>
    <xf numFmtId="164" fontId="1" fillId="0" borderId="3" xfId="1" applyNumberFormat="1" applyFont="1" applyFill="1" applyBorder="1"/>
    <xf numFmtId="164" fontId="1" fillId="0" borderId="6" xfId="1" applyNumberFormat="1" applyFont="1" applyFill="1" applyBorder="1"/>
    <xf numFmtId="164" fontId="9" fillId="0" borderId="6" xfId="2" applyNumberFormat="1" applyFont="1" applyFill="1" applyBorder="1" applyProtection="1"/>
    <xf numFmtId="167" fontId="9" fillId="0" borderId="0" xfId="0" applyNumberFormat="1" applyFont="1" applyFill="1"/>
    <xf numFmtId="167" fontId="9" fillId="0" borderId="0" xfId="0" applyNumberFormat="1" applyFont="1" applyFill="1" applyAlignment="1">
      <alignment horizontal="center"/>
    </xf>
    <xf numFmtId="167" fontId="9" fillId="0" borderId="40" xfId="0" applyNumberFormat="1" applyFont="1" applyFill="1" applyBorder="1" applyAlignment="1">
      <alignment horizontal="center"/>
    </xf>
    <xf numFmtId="0" fontId="9" fillId="0" borderId="40" xfId="0" applyFont="1" applyFill="1" applyBorder="1" applyAlignment="1">
      <alignment horizontal="center"/>
    </xf>
    <xf numFmtId="165" fontId="1" fillId="0" borderId="0" xfId="1" applyNumberFormat="1" applyFont="1" applyFill="1" applyBorder="1" applyAlignment="1">
      <alignment horizontal="center"/>
    </xf>
    <xf numFmtId="165" fontId="1" fillId="0" borderId="2" xfId="1" applyNumberFormat="1" applyFont="1" applyFill="1" applyBorder="1" applyAlignment="1">
      <alignment horizontal="center"/>
    </xf>
    <xf numFmtId="0" fontId="15" fillId="0" borderId="0" xfId="0" applyFont="1" applyFill="1" applyBorder="1" applyAlignment="1">
      <alignment vertical="center" wrapText="1"/>
    </xf>
    <xf numFmtId="0" fontId="1" fillId="0" borderId="0" xfId="0" applyFont="1" applyFill="1" applyBorder="1" applyAlignment="1"/>
    <xf numFmtId="166" fontId="1" fillId="0" borderId="0" xfId="1" applyNumberFormat="1" applyFont="1" applyFill="1" applyBorder="1" applyAlignment="1"/>
    <xf numFmtId="164" fontId="1" fillId="0" borderId="0" xfId="15" applyNumberFormat="1" applyFont="1" applyBorder="1"/>
    <xf numFmtId="177" fontId="1" fillId="0" borderId="0" xfId="39" applyNumberFormat="1" applyFont="1"/>
    <xf numFmtId="164" fontId="1" fillId="2" borderId="0" xfId="15" applyNumberFormat="1" applyFont="1" applyFill="1"/>
    <xf numFmtId="165" fontId="1" fillId="2" borderId="0" xfId="1" applyNumberFormat="1" applyFont="1" applyFill="1"/>
    <xf numFmtId="0" fontId="1" fillId="2" borderId="0" xfId="0" applyFont="1" applyFill="1" applyAlignment="1">
      <alignment wrapText="1"/>
    </xf>
    <xf numFmtId="165" fontId="1" fillId="2" borderId="2" xfId="1" applyNumberFormat="1" applyFont="1" applyFill="1" applyBorder="1"/>
    <xf numFmtId="165" fontId="1" fillId="2" borderId="0" xfId="1" applyNumberFormat="1" applyFont="1" applyFill="1" applyBorder="1"/>
    <xf numFmtId="165" fontId="1" fillId="2" borderId="0" xfId="0" applyNumberFormat="1" applyFont="1" applyFill="1"/>
    <xf numFmtId="165" fontId="1" fillId="2" borderId="1" xfId="1" applyNumberFormat="1" applyFont="1" applyFill="1" applyBorder="1"/>
    <xf numFmtId="41" fontId="1" fillId="2" borderId="0" xfId="0" applyNumberFormat="1" applyFont="1" applyFill="1"/>
    <xf numFmtId="41" fontId="1" fillId="2" borderId="2" xfId="0" applyNumberFormat="1" applyFont="1" applyFill="1" applyBorder="1"/>
    <xf numFmtId="164" fontId="1" fillId="2" borderId="0" xfId="1" applyNumberFormat="1" applyFont="1" applyFill="1"/>
    <xf numFmtId="41" fontId="1" fillId="2" borderId="2" xfId="1" applyNumberFormat="1" applyFont="1" applyFill="1" applyBorder="1"/>
    <xf numFmtId="165" fontId="1" fillId="2" borderId="0" xfId="5" applyNumberFormat="1" applyFont="1" applyFill="1" applyProtection="1"/>
    <xf numFmtId="165" fontId="1" fillId="2" borderId="3" xfId="5" applyNumberFormat="1" applyFont="1" applyFill="1" applyBorder="1" applyProtection="1"/>
    <xf numFmtId="165" fontId="1" fillId="2" borderId="0" xfId="5" applyNumberFormat="1" applyFont="1" applyFill="1" applyBorder="1" applyProtection="1"/>
    <xf numFmtId="165" fontId="9" fillId="2" borderId="0" xfId="5" applyNumberFormat="1" applyFont="1" applyFill="1"/>
    <xf numFmtId="164" fontId="34" fillId="0" borderId="0" xfId="39" applyNumberFormat="1" applyFont="1"/>
    <xf numFmtId="164" fontId="9" fillId="2" borderId="0" xfId="19" applyNumberFormat="1" applyFont="1" applyFill="1"/>
    <xf numFmtId="0" fontId="14" fillId="2" borderId="2" xfId="0" applyFont="1" applyFill="1" applyBorder="1" applyAlignment="1">
      <alignment horizontal="center" wrapText="1"/>
    </xf>
    <xf numFmtId="0" fontId="9" fillId="2" borderId="0" xfId="0" applyFont="1" applyFill="1" applyAlignment="1">
      <alignment horizontal="left" indent="1"/>
    </xf>
    <xf numFmtId="0" fontId="1" fillId="0" borderId="0" xfId="0" applyFont="1" applyFill="1" applyAlignment="1">
      <alignment horizontal="center"/>
    </xf>
    <xf numFmtId="0" fontId="2" fillId="0" borderId="2" xfId="0" applyFont="1" applyFill="1" applyBorder="1" applyAlignment="1">
      <alignment horizontal="center"/>
    </xf>
    <xf numFmtId="0" fontId="2" fillId="0" borderId="0" xfId="0" applyFont="1" applyFill="1" applyAlignment="1">
      <alignment horizontal="right"/>
    </xf>
    <xf numFmtId="0" fontId="2" fillId="0" borderId="0" xfId="0" applyFont="1" applyFill="1" applyAlignment="1">
      <alignment horizontal="center"/>
    </xf>
    <xf numFmtId="0" fontId="1" fillId="0" borderId="0" xfId="0" applyFont="1" applyFill="1" applyAlignment="1">
      <alignment horizontal="left"/>
    </xf>
    <xf numFmtId="0" fontId="1" fillId="0" borderId="0" xfId="0" applyFont="1" applyFill="1" applyAlignment="1">
      <alignment horizontal="left" wrapText="1" indent="1"/>
    </xf>
    <xf numFmtId="0" fontId="1" fillId="0" borderId="0" xfId="0" applyFont="1" applyFill="1" applyAlignment="1">
      <alignment horizontal="left" indent="1"/>
    </xf>
    <xf numFmtId="0" fontId="1" fillId="0" borderId="0" xfId="0" applyFont="1" applyFill="1" applyAlignment="1">
      <alignment horizontal="left" wrapText="1"/>
    </xf>
    <xf numFmtId="0" fontId="1" fillId="0" borderId="0" xfId="0" applyFont="1" applyFill="1" applyAlignment="1">
      <alignment wrapText="1"/>
    </xf>
    <xf numFmtId="0" fontId="1" fillId="0" borderId="0" xfId="0" applyFont="1" applyFill="1" applyAlignment="1">
      <alignment vertical="top" wrapText="1"/>
    </xf>
    <xf numFmtId="0" fontId="2"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wrapText="1"/>
    </xf>
    <xf numFmtId="0" fontId="2" fillId="0" borderId="0" xfId="29" applyFont="1" applyFill="1" applyAlignment="1">
      <alignment horizontal="center"/>
    </xf>
    <xf numFmtId="165" fontId="9" fillId="0" borderId="0" xfId="9" applyNumberFormat="1" applyFont="1" applyFill="1" applyAlignment="1">
      <alignment horizontal="left"/>
    </xf>
    <xf numFmtId="165" fontId="14" fillId="0" borderId="0" xfId="9" applyNumberFormat="1" applyFont="1" applyFill="1" applyBorder="1" applyAlignment="1">
      <alignment horizontal="center"/>
    </xf>
    <xf numFmtId="0" fontId="9" fillId="0" borderId="0" xfId="0" applyFont="1" applyFill="1" applyAlignment="1">
      <alignment wrapText="1"/>
    </xf>
    <xf numFmtId="0" fontId="9" fillId="0" borderId="2" xfId="29" applyFont="1" applyFill="1" applyBorder="1" applyAlignment="1">
      <alignment horizontal="center"/>
    </xf>
    <xf numFmtId="0" fontId="0" fillId="0" borderId="0" xfId="0" applyAlignment="1">
      <alignment vertical="top" wrapText="1"/>
    </xf>
    <xf numFmtId="167" fontId="9" fillId="0" borderId="2" xfId="35" applyFont="1" applyFill="1" applyBorder="1" applyAlignment="1">
      <alignment horizontal="center"/>
    </xf>
    <xf numFmtId="0" fontId="2" fillId="0" borderId="0" xfId="0" applyFont="1" applyFill="1" applyBorder="1" applyAlignment="1">
      <alignment horizontal="center" wrapText="1"/>
    </xf>
    <xf numFmtId="0" fontId="2" fillId="0" borderId="2" xfId="0" applyFont="1" applyFill="1" applyBorder="1" applyAlignment="1">
      <alignment horizontal="center" wrapText="1"/>
    </xf>
    <xf numFmtId="0" fontId="3" fillId="0" borderId="0" xfId="29" applyFill="1" applyAlignment="1">
      <alignment horizontal="left" wrapText="1" indent="1"/>
    </xf>
    <xf numFmtId="0" fontId="3" fillId="0" borderId="0" xfId="29" applyFill="1" applyAlignment="1">
      <alignment horizontal="left" indent="1"/>
    </xf>
    <xf numFmtId="0" fontId="3" fillId="0" borderId="0" xfId="29" applyFill="1" applyAlignment="1"/>
    <xf numFmtId="37" fontId="5" fillId="0" borderId="2" xfId="0" quotePrefix="1" applyNumberFormat="1" applyFont="1" applyFill="1" applyBorder="1" applyAlignment="1">
      <alignment horizontal="center"/>
    </xf>
    <xf numFmtId="165" fontId="1" fillId="0" borderId="0" xfId="1" applyNumberFormat="1" applyFont="1" applyFill="1" applyAlignment="1">
      <alignment horizontal="centerContinuous"/>
    </xf>
    <xf numFmtId="165" fontId="1" fillId="0" borderId="0" xfId="1" applyNumberFormat="1" applyFont="1" applyFill="1" applyAlignment="1">
      <alignment horizontal="center"/>
    </xf>
    <xf numFmtId="165" fontId="1" fillId="0" borderId="3" xfId="1" applyNumberFormat="1" applyFont="1" applyFill="1" applyBorder="1" applyAlignment="1">
      <alignment horizontal="center"/>
    </xf>
    <xf numFmtId="164" fontId="1" fillId="0" borderId="0" xfId="1" applyNumberFormat="1" applyFont="1" applyFill="1" applyProtection="1"/>
    <xf numFmtId="164" fontId="1" fillId="0" borderId="0" xfId="1" applyNumberFormat="1" applyFont="1" applyFill="1" applyBorder="1" applyProtection="1"/>
    <xf numFmtId="165" fontId="1" fillId="0" borderId="0" xfId="1" applyNumberFormat="1" applyFont="1" applyFill="1" applyProtection="1"/>
    <xf numFmtId="165" fontId="1" fillId="0" borderId="0" xfId="1" applyNumberFormat="1" applyFont="1" applyFill="1" applyBorder="1" applyProtection="1"/>
    <xf numFmtId="165" fontId="1" fillId="2" borderId="0" xfId="1" applyNumberFormat="1" applyFont="1" applyFill="1" applyProtection="1"/>
    <xf numFmtId="165" fontId="1" fillId="0" borderId="3" xfId="1" applyNumberFormat="1" applyFont="1" applyFill="1" applyBorder="1" applyProtection="1"/>
    <xf numFmtId="165" fontId="1" fillId="2" borderId="2" xfId="1" applyNumberFormat="1" applyFont="1" applyFill="1" applyBorder="1" applyProtection="1"/>
    <xf numFmtId="165" fontId="1" fillId="0" borderId="1" xfId="1" applyNumberFormat="1" applyFont="1" applyFill="1" applyBorder="1" applyProtection="1"/>
    <xf numFmtId="165" fontId="1" fillId="2" borderId="0" xfId="1" applyNumberFormat="1" applyFont="1" applyFill="1" applyBorder="1" applyProtection="1"/>
    <xf numFmtId="165" fontId="1" fillId="0" borderId="2" xfId="1" applyNumberFormat="1" applyFont="1" applyFill="1" applyBorder="1" applyProtection="1"/>
    <xf numFmtId="164" fontId="1" fillId="0" borderId="4" xfId="0" applyNumberFormat="1" applyFont="1" applyFill="1" applyBorder="1"/>
    <xf numFmtId="42" fontId="1" fillId="0" borderId="7" xfId="0" applyNumberFormat="1" applyFont="1" applyFill="1" applyBorder="1"/>
    <xf numFmtId="165" fontId="1" fillId="0" borderId="7" xfId="1" applyNumberFormat="1" applyFont="1" applyFill="1" applyBorder="1"/>
    <xf numFmtId="165" fontId="1" fillId="0" borderId="12" xfId="1" applyNumberFormat="1" applyFont="1" applyFill="1" applyBorder="1"/>
    <xf numFmtId="164" fontId="1" fillId="0" borderId="6" xfId="15" applyNumberFormat="1" applyFont="1" applyFill="1" applyBorder="1"/>
    <xf numFmtId="0" fontId="1" fillId="0" borderId="0" xfId="0" applyFont="1" applyBorder="1" applyAlignment="1">
      <alignment horizontal="center"/>
    </xf>
    <xf numFmtId="172" fontId="1" fillId="0" borderId="0" xfId="0" applyNumberFormat="1" applyFont="1"/>
    <xf numFmtId="9" fontId="1" fillId="0" borderId="0" xfId="39" applyFont="1"/>
    <xf numFmtId="173" fontId="1" fillId="0" borderId="0" xfId="0" applyNumberFormat="1" applyFont="1"/>
    <xf numFmtId="10" fontId="1" fillId="0" borderId="0" xfId="0" applyNumberFormat="1" applyFont="1"/>
    <xf numFmtId="0" fontId="1" fillId="0" borderId="0" xfId="0" applyFont="1" applyFill="1" applyBorder="1" applyAlignment="1">
      <alignment horizontal="center"/>
    </xf>
    <xf numFmtId="0" fontId="1" fillId="0" borderId="0" xfId="0" applyFont="1" applyAlignment="1">
      <alignment vertical="center"/>
    </xf>
    <xf numFmtId="43" fontId="1" fillId="0" borderId="0" xfId="1" applyFont="1"/>
    <xf numFmtId="173" fontId="1" fillId="0" borderId="0" xfId="0" applyNumberFormat="1" applyFont="1" applyFill="1"/>
    <xf numFmtId="41" fontId="1" fillId="0" borderId="0" xfId="15" applyNumberFormat="1" applyFont="1" applyBorder="1"/>
    <xf numFmtId="41" fontId="1" fillId="0" borderId="0" xfId="0" applyNumberFormat="1" applyFont="1" applyBorder="1"/>
    <xf numFmtId="165" fontId="1" fillId="0" borderId="0" xfId="9" applyNumberFormat="1" applyFont="1" applyFill="1" applyAlignment="1">
      <alignment horizontal="centerContinuous"/>
    </xf>
    <xf numFmtId="165" fontId="1" fillId="0" borderId="5" xfId="9" applyNumberFormat="1" applyFont="1" applyFill="1" applyBorder="1"/>
    <xf numFmtId="165" fontId="1" fillId="0" borderId="0" xfId="9" applyNumberFormat="1" applyFont="1" applyFill="1"/>
    <xf numFmtId="0" fontId="1" fillId="0" borderId="0" xfId="29" applyFont="1" applyFill="1" applyAlignment="1">
      <alignment horizontal="center"/>
    </xf>
    <xf numFmtId="165" fontId="1" fillId="0" borderId="0" xfId="9" applyNumberFormat="1" applyFont="1" applyFill="1" applyAlignment="1">
      <alignment horizontal="center"/>
    </xf>
    <xf numFmtId="165" fontId="1" fillId="0" borderId="0" xfId="9" applyNumberFormat="1" applyFont="1" applyFill="1" applyAlignment="1">
      <alignment horizontal="left"/>
    </xf>
    <xf numFmtId="165" fontId="1" fillId="0" borderId="3" xfId="9" applyNumberFormat="1" applyFont="1" applyFill="1" applyBorder="1" applyAlignment="1">
      <alignment horizontal="center"/>
    </xf>
    <xf numFmtId="0" fontId="1" fillId="0" borderId="3" xfId="29" applyFont="1" applyFill="1" applyBorder="1" applyAlignment="1">
      <alignment horizontal="center"/>
    </xf>
    <xf numFmtId="164" fontId="1" fillId="0" borderId="3" xfId="9" applyNumberFormat="1" applyFont="1" applyFill="1" applyBorder="1" applyProtection="1"/>
    <xf numFmtId="164" fontId="1" fillId="0" borderId="0" xfId="9" applyNumberFormat="1" applyFont="1" applyFill="1" applyProtection="1"/>
    <xf numFmtId="165" fontId="1" fillId="0" borderId="0" xfId="9" applyNumberFormat="1" applyFont="1" applyFill="1" applyProtection="1"/>
    <xf numFmtId="165" fontId="1" fillId="0" borderId="3" xfId="9" applyNumberFormat="1" applyFont="1" applyFill="1" applyBorder="1" applyProtection="1"/>
    <xf numFmtId="0" fontId="1" fillId="0" borderId="0" xfId="29" applyFont="1" applyFill="1"/>
    <xf numFmtId="165" fontId="1" fillId="0" borderId="0" xfId="29" applyNumberFormat="1" applyFont="1" applyFill="1"/>
    <xf numFmtId="165" fontId="1" fillId="0" borderId="3" xfId="9" applyNumberFormat="1" applyFont="1" applyFill="1" applyBorder="1" applyAlignment="1" applyProtection="1">
      <alignment horizontal="right"/>
    </xf>
    <xf numFmtId="164" fontId="1" fillId="0" borderId="6" xfId="9" applyNumberFormat="1" applyFont="1" applyFill="1" applyBorder="1" applyAlignment="1">
      <alignment horizontal="right"/>
    </xf>
    <xf numFmtId="164" fontId="1" fillId="0" borderId="6" xfId="9" applyNumberFormat="1" applyFont="1" applyFill="1" applyBorder="1" applyProtection="1"/>
    <xf numFmtId="0" fontId="1" fillId="0" borderId="0" xfId="0" applyFont="1" applyFill="1" applyAlignment="1">
      <alignment vertical="top"/>
    </xf>
    <xf numFmtId="0" fontId="1" fillId="0" borderId="0" xfId="29" applyFont="1" applyFill="1" applyAlignment="1">
      <alignment horizontal="centerContinuous"/>
    </xf>
    <xf numFmtId="0" fontId="1" fillId="0" borderId="0" xfId="29" applyFont="1" applyFill="1" applyBorder="1" applyAlignment="1">
      <alignment horizontal="centerContinuous"/>
    </xf>
    <xf numFmtId="0" fontId="1" fillId="0" borderId="0" xfId="29" applyFont="1" applyFill="1" applyBorder="1"/>
    <xf numFmtId="0" fontId="1" fillId="0" borderId="0" xfId="29" applyFont="1" applyFill="1" applyBorder="1" applyAlignment="1"/>
    <xf numFmtId="0" fontId="1" fillId="0" borderId="9" xfId="29" applyFont="1" applyFill="1" applyBorder="1"/>
    <xf numFmtId="0" fontId="1" fillId="0" borderId="9" xfId="29" applyFont="1" applyFill="1" applyBorder="1" applyAlignment="1">
      <alignment horizontal="center"/>
    </xf>
    <xf numFmtId="0" fontId="1" fillId="0" borderId="9" xfId="29" applyFont="1" applyFill="1" applyBorder="1" applyAlignment="1"/>
    <xf numFmtId="0" fontId="1" fillId="0" borderId="2" xfId="29" applyFont="1" applyFill="1" applyBorder="1" applyAlignment="1"/>
    <xf numFmtId="0" fontId="1" fillId="0" borderId="2" xfId="29" applyFont="1" applyFill="1" applyBorder="1" applyAlignment="1">
      <alignment horizontal="center"/>
    </xf>
    <xf numFmtId="164" fontId="1" fillId="0" borderId="0" xfId="20" applyNumberFormat="1" applyFont="1" applyFill="1"/>
    <xf numFmtId="164" fontId="1" fillId="0" borderId="0" xfId="20" applyNumberFormat="1" applyFont="1" applyFill="1" applyBorder="1"/>
    <xf numFmtId="165" fontId="1" fillId="0" borderId="2" xfId="6" applyNumberFormat="1" applyFont="1" applyFill="1" applyBorder="1"/>
    <xf numFmtId="165" fontId="1" fillId="0" borderId="0" xfId="6" applyNumberFormat="1" applyFont="1" applyFill="1" applyBorder="1"/>
    <xf numFmtId="43" fontId="1" fillId="0" borderId="2" xfId="1" applyFont="1" applyFill="1" applyBorder="1"/>
    <xf numFmtId="165" fontId="1" fillId="0" borderId="0" xfId="29" applyNumberFormat="1" applyFont="1" applyFill="1" applyBorder="1"/>
    <xf numFmtId="165" fontId="1" fillId="0" borderId="0" xfId="6" applyNumberFormat="1" applyFont="1" applyFill="1"/>
    <xf numFmtId="165" fontId="1" fillId="0" borderId="2" xfId="29" applyNumberFormat="1" applyFont="1" applyFill="1" applyBorder="1"/>
    <xf numFmtId="165" fontId="1" fillId="0" borderId="1" xfId="6" applyNumberFormat="1" applyFont="1" applyFill="1" applyBorder="1"/>
    <xf numFmtId="164" fontId="1" fillId="0" borderId="4" xfId="20" applyNumberFormat="1" applyFont="1" applyFill="1" applyBorder="1"/>
    <xf numFmtId="165" fontId="1" fillId="0" borderId="0" xfId="6" applyNumberFormat="1" applyFont="1" applyFill="1" applyAlignment="1">
      <alignment horizontal="left"/>
    </xf>
    <xf numFmtId="42" fontId="1" fillId="0" borderId="0" xfId="29" applyNumberFormat="1" applyFont="1" applyFill="1"/>
    <xf numFmtId="41" fontId="1" fillId="0" borderId="0" xfId="29" applyNumberFormat="1" applyFont="1" applyFill="1"/>
    <xf numFmtId="0" fontId="1" fillId="0" borderId="0" xfId="0" applyFont="1" applyBorder="1" applyAlignment="1">
      <alignment vertical="top" wrapText="1"/>
    </xf>
    <xf numFmtId="0" fontId="1" fillId="0" borderId="5" xfId="0" applyFont="1" applyFill="1" applyBorder="1"/>
    <xf numFmtId="42" fontId="1" fillId="0" borderId="2" xfId="1" applyNumberFormat="1" applyFont="1" applyFill="1" applyBorder="1"/>
    <xf numFmtId="165" fontId="1" fillId="0" borderId="10" xfId="1" applyNumberFormat="1" applyFont="1" applyFill="1" applyBorder="1"/>
    <xf numFmtId="165" fontId="1" fillId="0" borderId="6" xfId="1" applyNumberFormat="1" applyFont="1" applyFill="1" applyBorder="1"/>
    <xf numFmtId="164" fontId="1" fillId="0" borderId="0" xfId="0" applyNumberFormat="1" applyFont="1" applyFill="1" applyBorder="1"/>
    <xf numFmtId="167" fontId="1" fillId="0" borderId="0" xfId="32" applyFont="1" applyFill="1" applyAlignment="1">
      <alignment horizontal="centerContinuous"/>
    </xf>
    <xf numFmtId="167" fontId="1" fillId="0" borderId="5" xfId="32" applyFont="1" applyFill="1" applyBorder="1"/>
    <xf numFmtId="167" fontId="1" fillId="0" borderId="0" xfId="32" applyFont="1" applyFill="1" applyAlignment="1">
      <alignment horizontal="center"/>
    </xf>
    <xf numFmtId="167" fontId="1" fillId="0" borderId="3" xfId="32" applyFont="1" applyFill="1" applyBorder="1" applyAlignment="1">
      <alignment horizontal="left"/>
    </xf>
    <xf numFmtId="167" fontId="1" fillId="0" borderId="2" xfId="32" applyFont="1" applyFill="1" applyBorder="1" applyAlignment="1">
      <alignment horizontal="center"/>
    </xf>
    <xf numFmtId="167" fontId="1" fillId="0" borderId="3" xfId="32" applyFont="1" applyFill="1" applyBorder="1" applyAlignment="1">
      <alignment horizontal="center"/>
    </xf>
    <xf numFmtId="42" fontId="1" fillId="0" borderId="0" xfId="1" applyNumberFormat="1" applyFont="1" applyFill="1" applyAlignment="1" applyProtection="1">
      <alignment horizontal="right"/>
    </xf>
    <xf numFmtId="42" fontId="1" fillId="0" borderId="0" xfId="32" applyNumberFormat="1" applyFont="1" applyFill="1" applyProtection="1"/>
    <xf numFmtId="42" fontId="1" fillId="0" borderId="0" xfId="1" applyNumberFormat="1" applyFont="1" applyFill="1" applyProtection="1"/>
    <xf numFmtId="42" fontId="1" fillId="0" borderId="0" xfId="32" applyNumberFormat="1" applyFont="1" applyFill="1" applyAlignment="1" applyProtection="1">
      <alignment horizontal="left"/>
    </xf>
    <xf numFmtId="37" fontId="1" fillId="0" borderId="0" xfId="32" applyNumberFormat="1" applyFont="1" applyFill="1" applyAlignment="1" applyProtection="1">
      <alignment horizontal="left"/>
    </xf>
    <xf numFmtId="37" fontId="1" fillId="0" borderId="0" xfId="32" applyNumberFormat="1" applyFont="1" applyFill="1" applyProtection="1"/>
    <xf numFmtId="43" fontId="1" fillId="0" borderId="0" xfId="1" applyFont="1" applyFill="1" applyAlignment="1" applyProtection="1">
      <alignment horizontal="right"/>
    </xf>
    <xf numFmtId="37" fontId="1" fillId="0" borderId="3" xfId="32" applyNumberFormat="1" applyFont="1" applyFill="1" applyBorder="1" applyProtection="1"/>
    <xf numFmtId="43" fontId="1" fillId="0" borderId="2" xfId="1" applyFont="1" applyFill="1" applyBorder="1" applyAlignment="1" applyProtection="1">
      <alignment horizontal="right"/>
    </xf>
    <xf numFmtId="37" fontId="1" fillId="0" borderId="6" xfId="32" applyNumberFormat="1" applyFont="1" applyFill="1" applyBorder="1" applyProtection="1"/>
    <xf numFmtId="37" fontId="1" fillId="0" borderId="0" xfId="32" applyNumberFormat="1" applyFont="1" applyFill="1" applyBorder="1" applyProtection="1"/>
    <xf numFmtId="42" fontId="1" fillId="0" borderId="0" xfId="32" applyNumberFormat="1" applyFont="1" applyFill="1" applyBorder="1" applyProtection="1"/>
    <xf numFmtId="37" fontId="1" fillId="0" borderId="0" xfId="38" applyNumberFormat="1" applyFont="1" applyFill="1" applyProtection="1"/>
    <xf numFmtId="37" fontId="1" fillId="0" borderId="0" xfId="38" applyNumberFormat="1" applyFont="1" applyFill="1" applyAlignment="1" applyProtection="1">
      <alignment horizontal="center"/>
    </xf>
    <xf numFmtId="37" fontId="1" fillId="0" borderId="0" xfId="32" applyNumberFormat="1" applyFont="1" applyFill="1"/>
    <xf numFmtId="42" fontId="1" fillId="0" borderId="6" xfId="32" applyNumberFormat="1" applyFont="1" applyFill="1" applyBorder="1" applyProtection="1"/>
    <xf numFmtId="37" fontId="1" fillId="0" borderId="0" xfId="38" applyNumberFormat="1" applyFont="1" applyFill="1" applyBorder="1" applyProtection="1"/>
    <xf numFmtId="167" fontId="1" fillId="0" borderId="0" xfId="38" applyFont="1" applyFill="1" applyBorder="1" applyAlignment="1"/>
    <xf numFmtId="167" fontId="1" fillId="0" borderId="0" xfId="38" applyFont="1" applyFill="1" applyBorder="1"/>
    <xf numFmtId="167" fontId="1" fillId="0" borderId="0" xfId="38" applyFont="1" applyFill="1" applyBorder="1" applyAlignment="1">
      <alignment horizontal="center"/>
    </xf>
    <xf numFmtId="167" fontId="1" fillId="0" borderId="0" xfId="31" applyFont="1" applyFill="1"/>
    <xf numFmtId="167" fontId="1" fillId="0" borderId="5" xfId="31" applyFont="1" applyFill="1" applyBorder="1"/>
    <xf numFmtId="167" fontId="1" fillId="0" borderId="5" xfId="31" applyFont="1" applyFill="1" applyBorder="1" applyAlignment="1">
      <alignment horizontal="right"/>
    </xf>
    <xf numFmtId="167" fontId="1" fillId="0" borderId="0" xfId="31" applyFont="1" applyFill="1" applyAlignment="1">
      <alignment horizontal="center"/>
    </xf>
    <xf numFmtId="167" fontId="1" fillId="0" borderId="0" xfId="31" applyFont="1" applyFill="1" applyAlignment="1">
      <alignment horizontal="right"/>
    </xf>
    <xf numFmtId="167" fontId="1" fillId="0" borderId="0" xfId="31" applyFont="1" applyFill="1" applyBorder="1" applyAlignment="1">
      <alignment horizontal="center"/>
    </xf>
    <xf numFmtId="167" fontId="1" fillId="0" borderId="0" xfId="31" applyFont="1" applyFill="1" applyBorder="1"/>
    <xf numFmtId="167" fontId="1" fillId="0" borderId="3" xfId="31" applyFont="1" applyFill="1" applyBorder="1" applyAlignment="1">
      <alignment horizontal="centerContinuous"/>
    </xf>
    <xf numFmtId="167" fontId="1" fillId="0" borderId="3" xfId="31" applyFont="1" applyFill="1" applyBorder="1" applyAlignment="1">
      <alignment horizontal="right"/>
    </xf>
    <xf numFmtId="167" fontId="1" fillId="0" borderId="0" xfId="31" applyFont="1" applyFill="1" applyBorder="1" applyAlignment="1">
      <alignment horizontal="centerContinuous"/>
    </xf>
    <xf numFmtId="167" fontId="1" fillId="0" borderId="3" xfId="31" applyFont="1" applyFill="1" applyBorder="1" applyAlignment="1">
      <alignment horizontal="center"/>
    </xf>
    <xf numFmtId="167" fontId="1" fillId="0" borderId="2" xfId="31" applyFont="1" applyFill="1" applyBorder="1" applyAlignment="1">
      <alignment horizontal="center"/>
    </xf>
    <xf numFmtId="167" fontId="1" fillId="0" borderId="0" xfId="31" applyFont="1" applyFill="1" applyAlignment="1">
      <alignment horizontal="left"/>
    </xf>
    <xf numFmtId="42" fontId="1" fillId="0" borderId="0" xfId="31" applyNumberFormat="1" applyFont="1" applyFill="1" applyProtection="1"/>
    <xf numFmtId="42" fontId="1" fillId="0" borderId="0" xfId="31" applyNumberFormat="1" applyFont="1" applyFill="1"/>
    <xf numFmtId="43" fontId="1" fillId="0" borderId="0" xfId="31" applyNumberFormat="1" applyFont="1" applyFill="1" applyAlignment="1" applyProtection="1">
      <alignment horizontal="right"/>
    </xf>
    <xf numFmtId="42" fontId="1" fillId="0" borderId="0" xfId="1" applyNumberFormat="1" applyFont="1" applyFill="1"/>
    <xf numFmtId="42" fontId="1" fillId="0" borderId="0" xfId="2" applyNumberFormat="1" applyFont="1" applyFill="1" applyAlignment="1" applyProtection="1">
      <alignment horizontal="center"/>
    </xf>
    <xf numFmtId="42" fontId="1" fillId="0" borderId="0" xfId="2" applyNumberFormat="1" applyFont="1" applyFill="1"/>
    <xf numFmtId="37" fontId="1" fillId="0" borderId="3" xfId="31" applyNumberFormat="1" applyFont="1" applyFill="1" applyBorder="1" applyAlignment="1" applyProtection="1">
      <alignment horizontal="right"/>
    </xf>
    <xf numFmtId="43" fontId="1" fillId="0" borderId="0" xfId="31" applyNumberFormat="1" applyFont="1" applyFill="1" applyAlignment="1">
      <alignment horizontal="right"/>
    </xf>
    <xf numFmtId="37" fontId="1" fillId="0" borderId="3" xfId="31" applyNumberFormat="1" applyFont="1" applyFill="1" applyBorder="1" applyProtection="1"/>
    <xf numFmtId="37" fontId="1" fillId="0" borderId="0" xfId="31" applyNumberFormat="1" applyFont="1" applyFill="1" applyBorder="1" applyProtection="1"/>
    <xf numFmtId="41" fontId="1" fillId="0" borderId="2" xfId="2" applyFont="1" applyFill="1" applyBorder="1"/>
    <xf numFmtId="41" fontId="1" fillId="0" borderId="0" xfId="2" applyFont="1" applyFill="1" applyAlignment="1">
      <alignment horizontal="center"/>
    </xf>
    <xf numFmtId="37" fontId="1" fillId="0" borderId="0" xfId="31" applyNumberFormat="1" applyFont="1" applyFill="1" applyProtection="1"/>
    <xf numFmtId="41" fontId="1" fillId="0" borderId="0" xfId="2" applyFont="1" applyFill="1"/>
    <xf numFmtId="37" fontId="1" fillId="0" borderId="0" xfId="31" applyNumberFormat="1" applyFont="1" applyFill="1" applyAlignment="1" applyProtection="1">
      <alignment horizontal="right"/>
    </xf>
    <xf numFmtId="43" fontId="1" fillId="0" borderId="0" xfId="31" applyNumberFormat="1" applyFont="1" applyFill="1"/>
    <xf numFmtId="43" fontId="1" fillId="0" borderId="2" xfId="31" applyNumberFormat="1" applyFont="1" applyFill="1" applyBorder="1"/>
    <xf numFmtId="37" fontId="1" fillId="0" borderId="10" xfId="31" applyNumberFormat="1" applyFont="1" applyFill="1" applyBorder="1" applyProtection="1"/>
    <xf numFmtId="41" fontId="1" fillId="0" borderId="3" xfId="2" applyFont="1" applyFill="1" applyBorder="1" applyProtection="1"/>
    <xf numFmtId="42" fontId="1" fillId="0" borderId="6" xfId="31" applyNumberFormat="1" applyFont="1" applyFill="1" applyBorder="1" applyProtection="1"/>
    <xf numFmtId="165" fontId="1" fillId="0" borderId="2" xfId="2" applyNumberFormat="1" applyFont="1" applyFill="1" applyBorder="1"/>
    <xf numFmtId="10" fontId="1" fillId="0" borderId="4" xfId="31" applyNumberFormat="1" applyFont="1" applyFill="1" applyBorder="1" applyProtection="1"/>
    <xf numFmtId="10" fontId="1" fillId="0" borderId="0" xfId="31" applyNumberFormat="1" applyFont="1" applyFill="1" applyProtection="1"/>
    <xf numFmtId="167" fontId="1" fillId="0" borderId="14" xfId="31" applyFont="1" applyFill="1" applyBorder="1"/>
    <xf numFmtId="167" fontId="1" fillId="0" borderId="15" xfId="31" applyFont="1" applyFill="1" applyBorder="1"/>
    <xf numFmtId="167" fontId="1" fillId="0" borderId="0" xfId="31" applyFont="1" applyFill="1" applyBorder="1" applyAlignment="1">
      <alignment horizontal="right"/>
    </xf>
    <xf numFmtId="0" fontId="1" fillId="0" borderId="0" xfId="33" applyFont="1" applyFill="1" applyAlignment="1">
      <alignment horizontal="centerContinuous"/>
    </xf>
    <xf numFmtId="0" fontId="1" fillId="0" borderId="9" xfId="33" applyFont="1" applyFill="1" applyBorder="1" applyAlignment="1">
      <alignment horizontal="centerContinuous"/>
    </xf>
    <xf numFmtId="0" fontId="1" fillId="0" borderId="2" xfId="33" applyFont="1" applyFill="1" applyBorder="1"/>
    <xf numFmtId="10" fontId="1" fillId="0" borderId="0" xfId="33" applyNumberFormat="1" applyFont="1" applyFill="1"/>
    <xf numFmtId="42" fontId="1" fillId="0" borderId="0" xfId="33" applyNumberFormat="1" applyFont="1" applyFill="1"/>
    <xf numFmtId="0" fontId="1" fillId="0" borderId="0" xfId="0" applyFont="1" applyBorder="1" applyAlignment="1">
      <alignment vertical="center" wrapText="1"/>
    </xf>
    <xf numFmtId="10" fontId="1" fillId="0" borderId="0" xfId="15" applyNumberFormat="1" applyFont="1" applyFill="1" applyBorder="1"/>
    <xf numFmtId="0" fontId="1" fillId="0" borderId="0" xfId="0" applyFont="1" applyAlignment="1">
      <alignment horizontal="center"/>
    </xf>
    <xf numFmtId="0" fontId="1" fillId="0" borderId="0" xfId="29" applyFont="1" applyFill="1" applyAlignment="1">
      <alignment horizontal="center" wrapText="1"/>
    </xf>
    <xf numFmtId="164" fontId="1" fillId="0" borderId="2" xfId="20" applyNumberFormat="1" applyFont="1" applyFill="1" applyBorder="1"/>
    <xf numFmtId="0" fontId="1" fillId="0" borderId="0" xfId="0" applyFont="1" applyFill="1" applyAlignment="1">
      <alignment horizontal="left"/>
    </xf>
    <xf numFmtId="0" fontId="1" fillId="2" borderId="0" xfId="0" applyFont="1" applyFill="1"/>
    <xf numFmtId="0" fontId="1" fillId="2" borderId="0" xfId="0" applyFont="1" applyFill="1" applyAlignment="1"/>
    <xf numFmtId="0" fontId="1" fillId="2" borderId="0" xfId="0" applyFont="1" applyFill="1" applyAlignment="1">
      <alignment horizontal="left" indent="2"/>
    </xf>
    <xf numFmtId="41" fontId="1" fillId="2" borderId="0" xfId="15" applyNumberFormat="1" applyFont="1" applyFill="1"/>
    <xf numFmtId="0" fontId="9" fillId="0" borderId="0" xfId="0" applyFont="1" applyFill="1" applyAlignment="1">
      <alignment wrapText="1"/>
    </xf>
    <xf numFmtId="0" fontId="0" fillId="0" borderId="0" xfId="0" applyAlignment="1">
      <alignment wrapText="1"/>
    </xf>
    <xf numFmtId="0" fontId="1" fillId="2" borderId="0" xfId="0" applyFont="1" applyFill="1" applyAlignment="1">
      <alignment horizontal="left" wrapText="1" indent="1"/>
    </xf>
    <xf numFmtId="178" fontId="1" fillId="3" borderId="0" xfId="0" applyNumberFormat="1" applyFont="1" applyFill="1"/>
    <xf numFmtId="0" fontId="1" fillId="3" borderId="0" xfId="0" applyFont="1" applyFill="1"/>
    <xf numFmtId="165" fontId="1" fillId="3" borderId="0" xfId="1" applyNumberFormat="1" applyFont="1" applyFill="1" applyBorder="1"/>
    <xf numFmtId="166" fontId="1" fillId="3" borderId="0" xfId="0" applyNumberFormat="1" applyFont="1" applyFill="1"/>
    <xf numFmtId="0" fontId="15" fillId="0" borderId="0" xfId="0" applyFont="1" applyAlignment="1">
      <alignment vertical="center"/>
    </xf>
    <xf numFmtId="0" fontId="30" fillId="0" borderId="0" xfId="0" applyFont="1" applyAlignment="1">
      <alignment horizontal="justify" vertical="center"/>
    </xf>
    <xf numFmtId="0" fontId="5" fillId="0" borderId="0" xfId="0" applyFont="1" applyAlignment="1">
      <alignment vertical="center"/>
    </xf>
    <xf numFmtId="164" fontId="1" fillId="0" borderId="0" xfId="15" quotePrefix="1" applyNumberFormat="1" applyFont="1"/>
    <xf numFmtId="181" fontId="1" fillId="0" borderId="0" xfId="39" quotePrefix="1" applyNumberFormat="1" applyFont="1"/>
    <xf numFmtId="10" fontId="1" fillId="0" borderId="0" xfId="39" quotePrefix="1" applyNumberFormat="1" applyFont="1"/>
    <xf numFmtId="0" fontId="12" fillId="0" borderId="0" xfId="0" applyFont="1" applyAlignment="1">
      <alignment vertical="center" wrapText="1"/>
    </xf>
    <xf numFmtId="0" fontId="40" fillId="0" borderId="0" xfId="0" applyFont="1" applyAlignment="1">
      <alignment wrapText="1"/>
    </xf>
    <xf numFmtId="0" fontId="5" fillId="0" borderId="0" xfId="0" applyFont="1" applyAlignment="1">
      <alignment vertical="center" wrapText="1"/>
    </xf>
    <xf numFmtId="164" fontId="1" fillId="0" borderId="0" xfId="15" quotePrefix="1" applyNumberFormat="1" applyFont="1" applyAlignment="1">
      <alignment wrapText="1"/>
    </xf>
    <xf numFmtId="10" fontId="1" fillId="0" borderId="0" xfId="39" quotePrefix="1" applyNumberFormat="1" applyFont="1" applyAlignment="1">
      <alignment wrapText="1"/>
    </xf>
    <xf numFmtId="0" fontId="41" fillId="0" borderId="0" xfId="0" applyFont="1" applyAlignment="1">
      <alignment wrapText="1"/>
    </xf>
    <xf numFmtId="0" fontId="42" fillId="0" borderId="0" xfId="0" applyFont="1" applyAlignment="1">
      <alignment vertical="center" wrapText="1"/>
    </xf>
    <xf numFmtId="0" fontId="1" fillId="0" borderId="0" xfId="0" applyFont="1" applyFill="1" applyAlignment="1">
      <alignment horizontal="center"/>
    </xf>
    <xf numFmtId="0" fontId="2" fillId="0" borderId="0" xfId="0" applyFont="1" applyFill="1" applyAlignment="1">
      <alignment horizontal="center"/>
    </xf>
    <xf numFmtId="0" fontId="1" fillId="0" borderId="0" xfId="0" applyFont="1" applyFill="1" applyAlignment="1">
      <alignment horizontal="left" indent="1"/>
    </xf>
    <xf numFmtId="0" fontId="1" fillId="0" borderId="0" xfId="0" applyFont="1" applyFill="1" applyAlignment="1">
      <alignment horizontal="left"/>
    </xf>
    <xf numFmtId="0" fontId="2" fillId="0" borderId="2" xfId="0" applyFont="1" applyFill="1" applyBorder="1" applyAlignment="1">
      <alignment horizontal="center" wrapText="1"/>
    </xf>
    <xf numFmtId="165" fontId="3" fillId="0" borderId="0" xfId="0" applyNumberFormat="1" applyFont="1" applyFill="1"/>
    <xf numFmtId="165" fontId="1" fillId="0" borderId="1" xfId="29" applyNumberFormat="1" applyFont="1" applyFill="1" applyBorder="1"/>
    <xf numFmtId="9" fontId="1" fillId="0" borderId="0" xfId="39" applyFont="1" applyFill="1"/>
    <xf numFmtId="165" fontId="1" fillId="4" borderId="0" xfId="1" applyNumberFormat="1" applyFont="1" applyFill="1"/>
    <xf numFmtId="171" fontId="1" fillId="4" borderId="0" xfId="15" applyNumberFormat="1" applyFont="1" applyFill="1"/>
    <xf numFmtId="165" fontId="1" fillId="4" borderId="2" xfId="1" applyNumberFormat="1" applyFont="1" applyFill="1" applyBorder="1"/>
    <xf numFmtId="165" fontId="1" fillId="4" borderId="0" xfId="1" applyNumberFormat="1" applyFont="1" applyFill="1" applyProtection="1"/>
    <xf numFmtId="165" fontId="1" fillId="4" borderId="3" xfId="5" applyNumberFormat="1" applyFont="1" applyFill="1" applyBorder="1" applyProtection="1"/>
    <xf numFmtId="165" fontId="1" fillId="4" borderId="0" xfId="5" applyNumberFormat="1" applyFont="1" applyFill="1" applyProtection="1"/>
    <xf numFmtId="0" fontId="1" fillId="4" borderId="0" xfId="29" applyFont="1" applyFill="1" applyAlignment="1">
      <alignment horizontal="centerContinuous"/>
    </xf>
    <xf numFmtId="0" fontId="1" fillId="4" borderId="0" xfId="29" applyFont="1" applyFill="1" applyBorder="1" applyAlignment="1">
      <alignment horizontal="centerContinuous"/>
    </xf>
    <xf numFmtId="0" fontId="1" fillId="2" borderId="14" xfId="0" applyFont="1" applyFill="1" applyBorder="1" applyAlignment="1">
      <alignment horizontal="left" wrapText="1"/>
    </xf>
    <xf numFmtId="0" fontId="1" fillId="2" borderId="0" xfId="0" applyFont="1" applyFill="1" applyBorder="1" applyAlignment="1">
      <alignment horizontal="left" wrapText="1"/>
    </xf>
    <xf numFmtId="0" fontId="1" fillId="2" borderId="15" xfId="0" applyFont="1" applyFill="1" applyBorder="1" applyAlignment="1">
      <alignment horizontal="left" wrapText="1"/>
    </xf>
    <xf numFmtId="0" fontId="1" fillId="2" borderId="16" xfId="0" applyFont="1" applyFill="1" applyBorder="1" applyAlignment="1">
      <alignment horizontal="left" wrapText="1"/>
    </xf>
    <xf numFmtId="0" fontId="1" fillId="2" borderId="9" xfId="0" applyFont="1" applyFill="1" applyBorder="1" applyAlignment="1">
      <alignment horizontal="left" wrapText="1"/>
    </xf>
    <xf numFmtId="0" fontId="1" fillId="2" borderId="17" xfId="0" applyFont="1" applyFill="1" applyBorder="1" applyAlignment="1">
      <alignment horizontal="left" wrapText="1"/>
    </xf>
    <xf numFmtId="0" fontId="2" fillId="0" borderId="2" xfId="0" applyFont="1" applyFill="1" applyBorder="1" applyAlignment="1">
      <alignment horizontal="center"/>
    </xf>
    <xf numFmtId="0" fontId="2" fillId="0" borderId="0" xfId="0" applyFont="1" applyAlignment="1">
      <alignment horizontal="right"/>
    </xf>
    <xf numFmtId="0" fontId="2" fillId="0" borderId="0" xfId="0" applyFont="1" applyFill="1" applyAlignment="1">
      <alignment horizontal="center"/>
    </xf>
    <xf numFmtId="15" fontId="2" fillId="0" borderId="0" xfId="0" quotePrefix="1" applyNumberFormat="1" applyFont="1" applyFill="1" applyAlignment="1">
      <alignment horizontal="center"/>
    </xf>
    <xf numFmtId="0" fontId="1" fillId="0" borderId="18"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20" xfId="0" applyFont="1" applyFill="1" applyBorder="1" applyAlignment="1">
      <alignment horizontal="left" vertical="top" wrapText="1"/>
    </xf>
    <xf numFmtId="0" fontId="2" fillId="0" borderId="1" xfId="0" applyFont="1" applyFill="1" applyBorder="1" applyAlignment="1">
      <alignment horizontal="center"/>
    </xf>
    <xf numFmtId="0" fontId="2" fillId="0" borderId="18" xfId="0" applyFont="1" applyBorder="1" applyAlignment="1">
      <alignment horizontal="left" vertical="center" wrapText="1" readingOrder="1"/>
    </xf>
    <xf numFmtId="0" fontId="1" fillId="0" borderId="19" xfId="0" applyFont="1" applyBorder="1" applyAlignment="1">
      <alignment wrapText="1" readingOrder="1"/>
    </xf>
    <xf numFmtId="0" fontId="1" fillId="0" borderId="20" xfId="0" applyFont="1" applyBorder="1" applyAlignment="1">
      <alignment wrapText="1" readingOrder="1"/>
    </xf>
    <xf numFmtId="0" fontId="1" fillId="0" borderId="14" xfId="0" applyFont="1" applyBorder="1" applyAlignment="1">
      <alignment wrapText="1" readingOrder="1"/>
    </xf>
    <xf numFmtId="0" fontId="1" fillId="0" borderId="0" xfId="0" applyFont="1" applyBorder="1" applyAlignment="1">
      <alignment wrapText="1" readingOrder="1"/>
    </xf>
    <xf numFmtId="0" fontId="1" fillId="0" borderId="15" xfId="0" applyFont="1" applyBorder="1" applyAlignment="1">
      <alignment wrapText="1" readingOrder="1"/>
    </xf>
    <xf numFmtId="0" fontId="1" fillId="0" borderId="16" xfId="0" applyFont="1" applyBorder="1" applyAlignment="1">
      <alignment wrapText="1" readingOrder="1"/>
    </xf>
    <xf numFmtId="0" fontId="1" fillId="0" borderId="9" xfId="0" applyFont="1" applyBorder="1" applyAlignment="1">
      <alignment wrapText="1" readingOrder="1"/>
    </xf>
    <xf numFmtId="0" fontId="1" fillId="0" borderId="17" xfId="0" applyFont="1" applyBorder="1" applyAlignment="1">
      <alignment wrapText="1" readingOrder="1"/>
    </xf>
    <xf numFmtId="0" fontId="1" fillId="0" borderId="0" xfId="0" applyFont="1" applyFill="1" applyAlignment="1">
      <alignment horizontal="left" wrapText="1" indent="1"/>
    </xf>
    <xf numFmtId="0" fontId="1" fillId="0" borderId="0" xfId="0" applyFont="1" applyFill="1" applyAlignment="1">
      <alignment horizontal="left" vertical="top" wrapText="1" indent="1"/>
    </xf>
    <xf numFmtId="0" fontId="1" fillId="0" borderId="0" xfId="0" applyFont="1" applyFill="1" applyAlignment="1">
      <alignment horizontal="left" indent="1"/>
    </xf>
    <xf numFmtId="0" fontId="1" fillId="0" borderId="0" xfId="0" applyFont="1" applyFill="1" applyAlignment="1">
      <alignment horizontal="left" wrapText="1"/>
    </xf>
    <xf numFmtId="0" fontId="1" fillId="0" borderId="0" xfId="0" applyFont="1" applyFill="1" applyAlignment="1">
      <alignment horizontal="left"/>
    </xf>
    <xf numFmtId="0" fontId="1" fillId="0" borderId="0" xfId="0" applyFont="1" applyFill="1" applyAlignment="1">
      <alignment wrapText="1"/>
    </xf>
    <xf numFmtId="0" fontId="1" fillId="0" borderId="18" xfId="0" applyFont="1" applyFill="1" applyBorder="1" applyAlignment="1">
      <alignment wrapText="1"/>
    </xf>
    <xf numFmtId="0" fontId="1" fillId="0" borderId="19" xfId="0" applyFont="1" applyFill="1" applyBorder="1" applyAlignment="1">
      <alignment wrapText="1"/>
    </xf>
    <xf numFmtId="0" fontId="1" fillId="0" borderId="20" xfId="0" applyFont="1" applyFill="1" applyBorder="1" applyAlignment="1">
      <alignment wrapText="1"/>
    </xf>
    <xf numFmtId="0" fontId="1" fillId="0" borderId="14" xfId="0" applyFont="1" applyFill="1" applyBorder="1" applyAlignment="1">
      <alignment wrapText="1"/>
    </xf>
    <xf numFmtId="0" fontId="1" fillId="0" borderId="0" xfId="0" applyFont="1" applyFill="1" applyBorder="1" applyAlignment="1">
      <alignment wrapText="1"/>
    </xf>
    <xf numFmtId="0" fontId="1" fillId="0" borderId="15" xfId="0" applyFont="1" applyFill="1" applyBorder="1" applyAlignment="1">
      <alignment wrapText="1"/>
    </xf>
    <xf numFmtId="0" fontId="1" fillId="0" borderId="16" xfId="0" applyFont="1" applyFill="1" applyBorder="1" applyAlignment="1">
      <alignment wrapText="1"/>
    </xf>
    <xf numFmtId="0" fontId="1" fillId="0" borderId="9" xfId="0" applyFont="1" applyFill="1" applyBorder="1" applyAlignment="1">
      <alignment wrapText="1"/>
    </xf>
    <xf numFmtId="0" fontId="1" fillId="0" borderId="17" xfId="0" applyFont="1" applyFill="1" applyBorder="1" applyAlignment="1">
      <alignment wrapText="1"/>
    </xf>
    <xf numFmtId="0" fontId="1" fillId="0" borderId="18" xfId="0" applyFont="1" applyBorder="1" applyAlignment="1">
      <alignment horizontal="left" vertical="center" wrapText="1" readingOrder="1"/>
    </xf>
    <xf numFmtId="0" fontId="1" fillId="0" borderId="0" xfId="0" applyFont="1" applyFill="1" applyAlignment="1">
      <alignment horizontal="left" vertical="top" wrapText="1"/>
    </xf>
    <xf numFmtId="0" fontId="1" fillId="0" borderId="0" xfId="0" applyFont="1" applyFill="1" applyAlignment="1">
      <alignment vertical="top" wrapText="1"/>
    </xf>
    <xf numFmtId="0" fontId="2" fillId="0" borderId="0" xfId="0" applyFont="1" applyFill="1" applyAlignment="1">
      <alignment wrapText="1"/>
    </xf>
    <xf numFmtId="0" fontId="0" fillId="0" borderId="0" xfId="0" applyFill="1" applyAlignment="1">
      <alignment vertical="top" wrapText="1"/>
    </xf>
    <xf numFmtId="0" fontId="35" fillId="0" borderId="0" xfId="0" applyFont="1" applyAlignment="1">
      <alignment horizontal="center" wrapText="1"/>
    </xf>
    <xf numFmtId="0" fontId="15" fillId="2" borderId="2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5" fillId="2" borderId="22" xfId="0" applyFont="1" applyFill="1" applyBorder="1" applyAlignment="1">
      <alignment horizontal="left" vertical="center" wrapText="1"/>
    </xf>
    <xf numFmtId="0" fontId="1" fillId="0" borderId="0" xfId="0" applyFont="1" applyAlignment="1">
      <alignment horizontal="center"/>
    </xf>
    <xf numFmtId="0" fontId="15" fillId="0" borderId="23"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26" xfId="0" applyFont="1" applyFill="1" applyBorder="1" applyAlignment="1">
      <alignment horizontal="left" vertical="center" wrapText="1"/>
    </xf>
    <xf numFmtId="0" fontId="35" fillId="0" borderId="0" xfId="0" applyFont="1" applyAlignment="1">
      <alignment horizontal="center"/>
    </xf>
    <xf numFmtId="0" fontId="2" fillId="2" borderId="2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38" fillId="0" borderId="0" xfId="0" applyFont="1" applyAlignment="1">
      <alignment horizontal="center" wrapText="1"/>
    </xf>
    <xf numFmtId="0" fontId="29" fillId="0" borderId="0" xfId="0" applyFont="1" applyAlignment="1">
      <alignment horizontal="center"/>
    </xf>
    <xf numFmtId="0" fontId="2" fillId="0" borderId="23"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1" fillId="0" borderId="18" xfId="0" applyFont="1" applyFill="1" applyBorder="1" applyAlignment="1">
      <alignment vertical="center" wrapText="1"/>
    </xf>
    <xf numFmtId="0" fontId="1" fillId="0" borderId="19" xfId="0" applyFont="1" applyFill="1" applyBorder="1" applyAlignment="1">
      <alignment vertical="center" wrapText="1"/>
    </xf>
    <xf numFmtId="0" fontId="1" fillId="0" borderId="20" xfId="0" applyFont="1" applyFill="1" applyBorder="1" applyAlignment="1">
      <alignment vertical="center" wrapText="1"/>
    </xf>
    <xf numFmtId="0" fontId="1" fillId="0" borderId="14" xfId="0" applyFont="1" applyFill="1" applyBorder="1" applyAlignment="1">
      <alignment vertical="center" wrapText="1"/>
    </xf>
    <xf numFmtId="0" fontId="1" fillId="0" borderId="0" xfId="0" applyFont="1" applyFill="1" applyBorder="1" applyAlignment="1">
      <alignment vertical="center" wrapText="1"/>
    </xf>
    <xf numFmtId="0" fontId="1" fillId="0" borderId="15" xfId="0" applyFont="1" applyFill="1" applyBorder="1" applyAlignment="1">
      <alignment vertical="center" wrapText="1"/>
    </xf>
    <xf numFmtId="0" fontId="1" fillId="0" borderId="16" xfId="0" applyFont="1" applyFill="1" applyBorder="1" applyAlignment="1">
      <alignment vertical="center" wrapText="1"/>
    </xf>
    <xf numFmtId="0" fontId="1" fillId="0" borderId="9" xfId="0" applyFont="1" applyFill="1" applyBorder="1" applyAlignment="1">
      <alignment vertical="center" wrapText="1"/>
    </xf>
    <xf numFmtId="0" fontId="1" fillId="0" borderId="17" xfId="0" applyFont="1" applyFill="1" applyBorder="1" applyAlignment="1">
      <alignment vertical="center" wrapText="1"/>
    </xf>
    <xf numFmtId="0" fontId="0" fillId="0" borderId="0" xfId="0" applyAlignment="1">
      <alignment horizontal="left" vertical="top" wrapText="1"/>
    </xf>
    <xf numFmtId="165" fontId="2" fillId="0" borderId="0" xfId="1" applyNumberFormat="1" applyFont="1" applyFill="1" applyAlignment="1">
      <alignment horizontal="left" wrapText="1"/>
    </xf>
    <xf numFmtId="0" fontId="0" fillId="0" borderId="20" xfId="0" applyFill="1" applyBorder="1" applyAlignment="1">
      <alignment vertical="center" wrapText="1"/>
    </xf>
    <xf numFmtId="0" fontId="0" fillId="0" borderId="14" xfId="0" applyFill="1" applyBorder="1" applyAlignment="1">
      <alignment vertical="center" wrapText="1"/>
    </xf>
    <xf numFmtId="0" fontId="0" fillId="0" borderId="0" xfId="0" applyFill="1" applyBorder="1" applyAlignment="1">
      <alignment vertical="center" wrapText="1"/>
    </xf>
    <xf numFmtId="0" fontId="0" fillId="0" borderId="15" xfId="0" applyFill="1" applyBorder="1" applyAlignment="1">
      <alignment vertical="center" wrapText="1"/>
    </xf>
    <xf numFmtId="0" fontId="0" fillId="0" borderId="16" xfId="0" applyFill="1" applyBorder="1" applyAlignment="1">
      <alignment vertical="center" wrapText="1"/>
    </xf>
    <xf numFmtId="0" fontId="0" fillId="0" borderId="9" xfId="0" applyFill="1" applyBorder="1" applyAlignment="1">
      <alignment vertical="center" wrapText="1"/>
    </xf>
    <xf numFmtId="0" fontId="0" fillId="0" borderId="17" xfId="0" applyFill="1" applyBorder="1" applyAlignment="1">
      <alignment vertical="center" wrapText="1"/>
    </xf>
    <xf numFmtId="0" fontId="2" fillId="0" borderId="0" xfId="0" applyFont="1" applyFill="1" applyAlignment="1">
      <alignment horizontal="center" wrapText="1"/>
    </xf>
    <xf numFmtId="0" fontId="1" fillId="0" borderId="23"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25"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2" fillId="0" borderId="0" xfId="0" applyFont="1" applyAlignment="1">
      <alignment horizontal="center"/>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1" fillId="0" borderId="0" xfId="0" applyFont="1" applyAlignment="1">
      <alignment horizontal="left" vertical="top" wrapText="1"/>
    </xf>
    <xf numFmtId="0" fontId="1" fillId="0" borderId="0" xfId="0" applyFont="1" applyAlignment="1">
      <alignment wrapText="1"/>
    </xf>
    <xf numFmtId="0" fontId="0" fillId="0" borderId="0" xfId="0" applyAlignment="1">
      <alignment wrapText="1"/>
    </xf>
    <xf numFmtId="0" fontId="1" fillId="0" borderId="27" xfId="0" applyFont="1" applyFill="1" applyBorder="1" applyAlignment="1">
      <alignment horizontal="left" vertical="top" wrapText="1"/>
    </xf>
    <xf numFmtId="0" fontId="1" fillId="0" borderId="28" xfId="0" applyFont="1" applyFill="1" applyBorder="1" applyAlignment="1">
      <alignment horizontal="left" vertical="top" wrapText="1"/>
    </xf>
    <xf numFmtId="0" fontId="0" fillId="0" borderId="28" xfId="0" applyFill="1" applyBorder="1" applyAlignment="1">
      <alignment horizontal="left" vertical="top" wrapText="1"/>
    </xf>
    <xf numFmtId="0" fontId="0" fillId="0" borderId="29" xfId="0" applyFill="1" applyBorder="1" applyAlignment="1">
      <alignment horizontal="left" vertical="top" wrapText="1"/>
    </xf>
    <xf numFmtId="0" fontId="1" fillId="0" borderId="23" xfId="0" applyFont="1" applyFill="1" applyBorder="1" applyAlignment="1">
      <alignment horizontal="left" wrapText="1"/>
    </xf>
    <xf numFmtId="0" fontId="1" fillId="0" borderId="8" xfId="0" applyFont="1" applyFill="1" applyBorder="1" applyAlignment="1">
      <alignment horizontal="left" wrapText="1"/>
    </xf>
    <xf numFmtId="0" fontId="1" fillId="0" borderId="24" xfId="0" applyFont="1" applyFill="1" applyBorder="1" applyAlignment="1">
      <alignment horizontal="left" wrapText="1"/>
    </xf>
    <xf numFmtId="0" fontId="1" fillId="0" borderId="25" xfId="0" applyFont="1" applyFill="1" applyBorder="1" applyAlignment="1">
      <alignment horizontal="left" wrapText="1"/>
    </xf>
    <xf numFmtId="0" fontId="1" fillId="0" borderId="2" xfId="0" applyFont="1" applyFill="1" applyBorder="1" applyAlignment="1">
      <alignment horizontal="left" wrapText="1"/>
    </xf>
    <xf numFmtId="0" fontId="1" fillId="0" borderId="26" xfId="0" applyFont="1" applyFill="1" applyBorder="1" applyAlignment="1">
      <alignment horizontal="left" wrapText="1"/>
    </xf>
    <xf numFmtId="0" fontId="1" fillId="0" borderId="19" xfId="0" applyFont="1" applyFill="1" applyBorder="1" applyAlignment="1">
      <alignment vertical="top" wrapText="1"/>
    </xf>
    <xf numFmtId="0" fontId="1" fillId="0" borderId="20" xfId="0" applyFont="1" applyFill="1" applyBorder="1" applyAlignment="1">
      <alignment vertical="top" wrapText="1"/>
    </xf>
    <xf numFmtId="0" fontId="1" fillId="0" borderId="16" xfId="0" applyFont="1" applyFill="1" applyBorder="1" applyAlignment="1">
      <alignment vertical="top" wrapText="1"/>
    </xf>
    <xf numFmtId="0" fontId="1" fillId="0" borderId="9" xfId="0" applyFont="1" applyFill="1" applyBorder="1" applyAlignment="1">
      <alignment vertical="top" wrapText="1"/>
    </xf>
    <xf numFmtId="0" fontId="1" fillId="0" borderId="17" xfId="0" applyFont="1" applyFill="1" applyBorder="1" applyAlignment="1">
      <alignment vertical="top" wrapText="1"/>
    </xf>
    <xf numFmtId="0" fontId="2" fillId="0" borderId="0" xfId="29" applyFont="1" applyFill="1" applyAlignment="1">
      <alignment horizontal="center"/>
    </xf>
    <xf numFmtId="0" fontId="1" fillId="0" borderId="18" xfId="29" applyFont="1" applyFill="1" applyBorder="1" applyAlignment="1">
      <alignment horizontal="justify" vertical="top" wrapText="1"/>
    </xf>
    <xf numFmtId="0" fontId="0" fillId="0" borderId="19" xfId="0" applyBorder="1" applyAlignment="1">
      <alignment horizontal="justify" vertical="top" wrapText="1"/>
    </xf>
    <xf numFmtId="0" fontId="0" fillId="0" borderId="20" xfId="0" applyBorder="1" applyAlignment="1">
      <alignment horizontal="justify" vertical="top" wrapText="1"/>
    </xf>
    <xf numFmtId="0" fontId="0" fillId="0" borderId="14" xfId="0" applyBorder="1" applyAlignment="1">
      <alignment horizontal="justify" vertical="top" wrapText="1"/>
    </xf>
    <xf numFmtId="0" fontId="0" fillId="0" borderId="0" xfId="0" applyBorder="1" applyAlignment="1">
      <alignment horizontal="justify" vertical="top" wrapText="1"/>
    </xf>
    <xf numFmtId="0" fontId="0" fillId="0" borderId="15" xfId="0" applyBorder="1" applyAlignment="1">
      <alignment horizontal="justify" vertical="top" wrapText="1"/>
    </xf>
    <xf numFmtId="0" fontId="0" fillId="0" borderId="16" xfId="0" applyBorder="1" applyAlignment="1">
      <alignment horizontal="justify" vertical="top" wrapText="1"/>
    </xf>
    <xf numFmtId="0" fontId="0" fillId="0" borderId="9" xfId="0" applyBorder="1" applyAlignment="1">
      <alignment horizontal="justify" vertical="top" wrapText="1"/>
    </xf>
    <xf numFmtId="0" fontId="0" fillId="0" borderId="17" xfId="0" applyBorder="1" applyAlignment="1">
      <alignment horizontal="justify" vertical="top" wrapText="1"/>
    </xf>
    <xf numFmtId="0" fontId="36" fillId="0" borderId="21" xfId="0" applyFont="1" applyBorder="1" applyAlignment="1">
      <alignment horizontal="left" vertical="center" wrapText="1"/>
    </xf>
    <xf numFmtId="0" fontId="36" fillId="0" borderId="1" xfId="0" applyFont="1" applyBorder="1" applyAlignment="1">
      <alignment horizontal="left" vertical="center" wrapText="1"/>
    </xf>
    <xf numFmtId="0" fontId="36" fillId="0" borderId="22" xfId="0" applyFont="1" applyBorder="1" applyAlignment="1">
      <alignment horizontal="left" vertical="center" wrapText="1"/>
    </xf>
    <xf numFmtId="0" fontId="14" fillId="0" borderId="0" xfId="0" applyFont="1" applyFill="1" applyAlignment="1">
      <alignment horizontal="center"/>
    </xf>
    <xf numFmtId="15" fontId="14" fillId="0" borderId="0" xfId="0" quotePrefix="1" applyNumberFormat="1" applyFont="1" applyFill="1" applyAlignment="1">
      <alignment horizontal="center"/>
    </xf>
    <xf numFmtId="0" fontId="14" fillId="0" borderId="2" xfId="0" applyFont="1" applyFill="1" applyBorder="1" applyAlignment="1">
      <alignment horizontal="center"/>
    </xf>
    <xf numFmtId="165" fontId="9" fillId="0" borderId="0" xfId="9" applyNumberFormat="1" applyFont="1" applyFill="1" applyAlignment="1">
      <alignment horizontal="left"/>
    </xf>
    <xf numFmtId="0" fontId="33" fillId="0" borderId="18" xfId="0" applyFont="1" applyBorder="1" applyAlignment="1">
      <alignment horizontal="left" vertical="top" wrapText="1"/>
    </xf>
    <xf numFmtId="0" fontId="1" fillId="0" borderId="19" xfId="0" applyFont="1" applyBorder="1" applyAlignment="1">
      <alignment vertical="top" wrapText="1"/>
    </xf>
    <xf numFmtId="0" fontId="1" fillId="0" borderId="20" xfId="0" applyFont="1" applyBorder="1" applyAlignment="1">
      <alignment vertical="top" wrapText="1"/>
    </xf>
    <xf numFmtId="0" fontId="1" fillId="0" borderId="14" xfId="0" applyFont="1" applyBorder="1" applyAlignment="1">
      <alignment vertical="top" wrapText="1"/>
    </xf>
    <xf numFmtId="0" fontId="1" fillId="0" borderId="0" xfId="0" applyFont="1" applyBorder="1" applyAlignment="1">
      <alignment vertical="top" wrapText="1"/>
    </xf>
    <xf numFmtId="0" fontId="1" fillId="0" borderId="15" xfId="0" applyFont="1" applyBorder="1" applyAlignment="1">
      <alignment vertical="top" wrapText="1"/>
    </xf>
    <xf numFmtId="0" fontId="1" fillId="0" borderId="14" xfId="0" applyFont="1" applyBorder="1" applyAlignment="1">
      <alignment wrapText="1"/>
    </xf>
    <xf numFmtId="0" fontId="1" fillId="0" borderId="0" xfId="0" applyFont="1" applyBorder="1" applyAlignment="1">
      <alignment wrapText="1"/>
    </xf>
    <xf numFmtId="0" fontId="1" fillId="0" borderId="15" xfId="0" applyFont="1" applyBorder="1" applyAlignment="1">
      <alignment wrapText="1"/>
    </xf>
    <xf numFmtId="0" fontId="36" fillId="0" borderId="14" xfId="0" applyFont="1" applyBorder="1" applyAlignment="1">
      <alignment wrapText="1"/>
    </xf>
    <xf numFmtId="0" fontId="1" fillId="0" borderId="16" xfId="0" applyFont="1" applyBorder="1" applyAlignment="1">
      <alignment wrapText="1"/>
    </xf>
    <xf numFmtId="0" fontId="1" fillId="0" borderId="9" xfId="0" applyFont="1" applyBorder="1" applyAlignment="1">
      <alignment wrapText="1"/>
    </xf>
    <xf numFmtId="0" fontId="1" fillId="0" borderId="17" xfId="0" applyFont="1" applyBorder="1" applyAlignment="1">
      <alignment wrapText="1"/>
    </xf>
    <xf numFmtId="165" fontId="14" fillId="0" borderId="0" xfId="1" applyNumberFormat="1" applyFont="1" applyFill="1" applyAlignment="1">
      <alignment horizontal="center"/>
    </xf>
    <xf numFmtId="0" fontId="36" fillId="0" borderId="18" xfId="0" applyFont="1" applyBorder="1" applyAlignment="1">
      <alignment horizontal="left" vertical="top" wrapText="1"/>
    </xf>
    <xf numFmtId="0" fontId="36" fillId="0" borderId="19" xfId="0" applyFont="1" applyBorder="1" applyAlignment="1">
      <alignment horizontal="left" vertical="top" wrapText="1"/>
    </xf>
    <xf numFmtId="0" fontId="36" fillId="0" borderId="20" xfId="0" applyFont="1" applyBorder="1" applyAlignment="1">
      <alignment horizontal="left" vertical="top" wrapText="1"/>
    </xf>
    <xf numFmtId="0" fontId="36" fillId="0" borderId="16" xfId="0" applyFont="1" applyBorder="1" applyAlignment="1">
      <alignment horizontal="left" vertical="top" wrapText="1"/>
    </xf>
    <xf numFmtId="0" fontId="36" fillId="0" borderId="9" xfId="0" applyFont="1" applyBorder="1" applyAlignment="1">
      <alignment horizontal="left" vertical="top" wrapText="1"/>
    </xf>
    <xf numFmtId="0" fontId="36" fillId="0" borderId="17" xfId="0" applyFont="1" applyBorder="1" applyAlignment="1">
      <alignment horizontal="left" vertical="top" wrapText="1"/>
    </xf>
    <xf numFmtId="0" fontId="36" fillId="2" borderId="18" xfId="0" applyFont="1" applyFill="1" applyBorder="1" applyAlignment="1">
      <alignment horizontal="justify" vertical="top" wrapText="1"/>
    </xf>
    <xf numFmtId="0" fontId="1" fillId="2" borderId="19" xfId="0" applyFont="1" applyFill="1" applyBorder="1" applyAlignment="1">
      <alignment horizontal="justify" vertical="top" wrapText="1"/>
    </xf>
    <xf numFmtId="0" fontId="1" fillId="2" borderId="20" xfId="0" applyFont="1" applyFill="1" applyBorder="1" applyAlignment="1">
      <alignment horizontal="justify" vertical="top" wrapText="1"/>
    </xf>
    <xf numFmtId="0" fontId="1" fillId="2" borderId="14" xfId="0" applyFont="1" applyFill="1" applyBorder="1" applyAlignment="1">
      <alignment horizontal="justify" vertical="top" wrapText="1"/>
    </xf>
    <xf numFmtId="0" fontId="1" fillId="2" borderId="0" xfId="0" applyFont="1" applyFill="1" applyBorder="1" applyAlignment="1">
      <alignment horizontal="justify" vertical="top" wrapText="1"/>
    </xf>
    <xf numFmtId="0" fontId="1" fillId="2" borderId="15" xfId="0" applyFont="1" applyFill="1" applyBorder="1" applyAlignment="1">
      <alignment horizontal="justify" vertical="top" wrapText="1"/>
    </xf>
    <xf numFmtId="0" fontId="0" fillId="2" borderId="16" xfId="0" applyFill="1" applyBorder="1" applyAlignment="1">
      <alignment wrapText="1"/>
    </xf>
    <xf numFmtId="0" fontId="0" fillId="2" borderId="9" xfId="0" applyFill="1" applyBorder="1" applyAlignment="1">
      <alignment wrapText="1"/>
    </xf>
    <xf numFmtId="0" fontId="0" fillId="2" borderId="17" xfId="0" applyFill="1" applyBorder="1" applyAlignment="1">
      <alignment wrapText="1"/>
    </xf>
    <xf numFmtId="165" fontId="2" fillId="0" borderId="0" xfId="6" applyNumberFormat="1" applyFont="1" applyFill="1" applyAlignment="1">
      <alignment horizontal="center"/>
    </xf>
    <xf numFmtId="0" fontId="1" fillId="0" borderId="19" xfId="29" applyFont="1" applyFill="1" applyBorder="1" applyAlignment="1">
      <alignment horizontal="center" wrapText="1"/>
    </xf>
    <xf numFmtId="0" fontId="1" fillId="0" borderId="0" xfId="29" applyFont="1" applyFill="1" applyAlignment="1">
      <alignment horizontal="center" wrapText="1"/>
    </xf>
    <xf numFmtId="0" fontId="1" fillId="0" borderId="2" xfId="29" applyFont="1" applyFill="1" applyBorder="1" applyAlignment="1">
      <alignment horizontal="center" wrapText="1"/>
    </xf>
    <xf numFmtId="165" fontId="14" fillId="0" borderId="0" xfId="9" applyNumberFormat="1" applyFont="1" applyFill="1" applyAlignment="1">
      <alignment horizontal="center"/>
    </xf>
    <xf numFmtId="165" fontId="14" fillId="0" borderId="9" xfId="9" applyNumberFormat="1" applyFont="1" applyFill="1" applyBorder="1" applyAlignment="1">
      <alignment horizontal="center"/>
    </xf>
    <xf numFmtId="0" fontId="36" fillId="0" borderId="18" xfId="0" applyFont="1" applyFill="1" applyBorder="1" applyAlignment="1">
      <alignment horizontal="justify" vertical="top" wrapText="1"/>
    </xf>
    <xf numFmtId="0" fontId="1" fillId="0" borderId="19" xfId="0" applyFont="1" applyFill="1" applyBorder="1" applyAlignment="1">
      <alignment horizontal="justify" vertical="top" wrapText="1"/>
    </xf>
    <xf numFmtId="0" fontId="1" fillId="0" borderId="20" xfId="0" applyFont="1" applyFill="1" applyBorder="1" applyAlignment="1">
      <alignment horizontal="justify" vertical="top" wrapText="1"/>
    </xf>
    <xf numFmtId="0" fontId="1" fillId="0" borderId="14" xfId="0" applyFont="1" applyFill="1" applyBorder="1" applyAlignment="1">
      <alignment horizontal="justify" vertical="top" wrapText="1"/>
    </xf>
    <xf numFmtId="0" fontId="1" fillId="0" borderId="0" xfId="0" applyFont="1" applyFill="1" applyBorder="1" applyAlignment="1">
      <alignment horizontal="justify" vertical="top" wrapText="1"/>
    </xf>
    <xf numFmtId="0" fontId="1" fillId="0" borderId="15" xfId="0" applyFont="1" applyFill="1" applyBorder="1" applyAlignment="1">
      <alignment horizontal="justify" vertical="top" wrapText="1"/>
    </xf>
    <xf numFmtId="0" fontId="0" fillId="0" borderId="16" xfId="0" applyFill="1" applyBorder="1" applyAlignment="1">
      <alignment wrapText="1"/>
    </xf>
    <xf numFmtId="0" fontId="0" fillId="0" borderId="9" xfId="0" applyFill="1" applyBorder="1" applyAlignment="1">
      <alignment wrapText="1"/>
    </xf>
    <xf numFmtId="0" fontId="0" fillId="0" borderId="17" xfId="0" applyFill="1" applyBorder="1" applyAlignment="1">
      <alignment wrapText="1"/>
    </xf>
    <xf numFmtId="165" fontId="14" fillId="0" borderId="0" xfId="9" applyNumberFormat="1" applyFont="1" applyFill="1" applyBorder="1" applyAlignment="1">
      <alignment horizontal="center"/>
    </xf>
    <xf numFmtId="0" fontId="9" fillId="0" borderId="0" xfId="29" applyFont="1" applyFill="1" applyAlignment="1">
      <alignment wrapText="1"/>
    </xf>
    <xf numFmtId="0" fontId="9" fillId="0" borderId="0" xfId="0" applyFont="1" applyFill="1" applyAlignment="1">
      <alignment wrapText="1"/>
    </xf>
    <xf numFmtId="165" fontId="9" fillId="0" borderId="0" xfId="9" applyNumberFormat="1" applyFont="1" applyFill="1" applyBorder="1" applyAlignment="1">
      <alignment horizontal="left" wrapText="1"/>
    </xf>
    <xf numFmtId="0" fontId="1" fillId="0" borderId="0" xfId="29" applyFont="1" applyFill="1" applyAlignment="1">
      <alignment wrapText="1"/>
    </xf>
    <xf numFmtId="0" fontId="39" fillId="0" borderId="18" xfId="0" applyFont="1" applyBorder="1" applyAlignment="1">
      <alignment vertical="center" wrapText="1"/>
    </xf>
    <xf numFmtId="0" fontId="39" fillId="0" borderId="19" xfId="0" applyFont="1" applyBorder="1" applyAlignment="1">
      <alignment vertical="center" wrapText="1"/>
    </xf>
    <xf numFmtId="0" fontId="39" fillId="0" borderId="20" xfId="0" applyFont="1" applyBorder="1" applyAlignment="1">
      <alignment vertical="center" wrapText="1"/>
    </xf>
    <xf numFmtId="0" fontId="39" fillId="0" borderId="14" xfId="0" applyFont="1" applyBorder="1" applyAlignment="1">
      <alignment vertical="center" wrapText="1"/>
    </xf>
    <xf numFmtId="0" fontId="39" fillId="0" borderId="0" xfId="0" applyFont="1" applyBorder="1" applyAlignment="1">
      <alignment vertical="center" wrapText="1"/>
    </xf>
    <xf numFmtId="0" fontId="39" fillId="0" borderId="15" xfId="0" applyFont="1" applyBorder="1" applyAlignment="1">
      <alignment vertical="center" wrapText="1"/>
    </xf>
    <xf numFmtId="0" fontId="39" fillId="0" borderId="16" xfId="0" applyFont="1" applyBorder="1" applyAlignment="1">
      <alignment vertical="center" wrapText="1"/>
    </xf>
    <xf numFmtId="0" fontId="39" fillId="0" borderId="9" xfId="0" applyFont="1" applyBorder="1" applyAlignment="1">
      <alignment vertical="center" wrapText="1"/>
    </xf>
    <xf numFmtId="0" fontId="39" fillId="0" borderId="17" xfId="0" applyFont="1" applyBorder="1" applyAlignment="1">
      <alignment vertical="center" wrapText="1"/>
    </xf>
    <xf numFmtId="0" fontId="9" fillId="0" borderId="2" xfId="29" applyFont="1" applyFill="1" applyBorder="1" applyAlignment="1">
      <alignment horizontal="center"/>
    </xf>
    <xf numFmtId="167" fontId="9" fillId="0" borderId="0" xfId="35" applyFont="1" applyFill="1" applyAlignment="1">
      <alignment horizontal="left" vertical="top" wrapText="1"/>
    </xf>
    <xf numFmtId="0" fontId="0" fillId="0" borderId="0" xfId="0" applyAlignment="1">
      <alignment vertical="top" wrapText="1"/>
    </xf>
    <xf numFmtId="167" fontId="9" fillId="0" borderId="2" xfId="35" applyFont="1" applyFill="1" applyBorder="1" applyAlignment="1">
      <alignment horizontal="center"/>
    </xf>
    <xf numFmtId="167" fontId="14" fillId="0" borderId="0" xfId="35" applyFont="1" applyFill="1" applyAlignment="1">
      <alignment horizontal="center"/>
    </xf>
    <xf numFmtId="0" fontId="0" fillId="0" borderId="0" xfId="0" applyFill="1" applyAlignment="1">
      <alignment horizontal="center" wrapText="1"/>
    </xf>
    <xf numFmtId="0" fontId="0" fillId="0" borderId="2" xfId="0" applyFill="1" applyBorder="1" applyAlignment="1">
      <alignment horizontal="center" wrapText="1"/>
    </xf>
    <xf numFmtId="0" fontId="2" fillId="0" borderId="19" xfId="0" applyFont="1" applyFill="1" applyBorder="1" applyAlignment="1">
      <alignment horizontal="center" wrapText="1"/>
    </xf>
    <xf numFmtId="0" fontId="2" fillId="0" borderId="0" xfId="0" applyFont="1" applyFill="1" applyBorder="1" applyAlignment="1">
      <alignment horizontal="center" wrapText="1"/>
    </xf>
    <xf numFmtId="0" fontId="2" fillId="0" borderId="2" xfId="0" applyFont="1" applyFill="1" applyBorder="1" applyAlignment="1">
      <alignment horizontal="center" wrapText="1"/>
    </xf>
    <xf numFmtId="0" fontId="36" fillId="0" borderId="21" xfId="0" applyFont="1" applyFill="1" applyBorder="1" applyAlignment="1">
      <alignment horizontal="left" vertical="top" wrapText="1"/>
    </xf>
    <xf numFmtId="0" fontId="36" fillId="0" borderId="1" xfId="0" applyFont="1" applyFill="1" applyBorder="1" applyAlignment="1">
      <alignment horizontal="left" vertical="top" wrapText="1"/>
    </xf>
    <xf numFmtId="0" fontId="36" fillId="0" borderId="22" xfId="0" applyFont="1" applyFill="1" applyBorder="1" applyAlignment="1">
      <alignment horizontal="left" vertical="top" wrapText="1"/>
    </xf>
    <xf numFmtId="0" fontId="36" fillId="0" borderId="27" xfId="0" applyFont="1" applyFill="1" applyBorder="1" applyAlignment="1">
      <alignment horizontal="left" vertical="top" wrapText="1"/>
    </xf>
    <xf numFmtId="0" fontId="36" fillId="0" borderId="28" xfId="0" applyFont="1" applyFill="1" applyBorder="1" applyAlignment="1">
      <alignment horizontal="left" vertical="top" wrapText="1"/>
    </xf>
    <xf numFmtId="0" fontId="36" fillId="0" borderId="29" xfId="0" applyFont="1" applyFill="1" applyBorder="1" applyAlignment="1">
      <alignment horizontal="left" vertical="top" wrapText="1"/>
    </xf>
    <xf numFmtId="15" fontId="2" fillId="0" borderId="0" xfId="0" quotePrefix="1" applyNumberFormat="1" applyFont="1" applyAlignment="1">
      <alignment horizontal="center"/>
    </xf>
    <xf numFmtId="0" fontId="39" fillId="0" borderId="18" xfId="0" applyFont="1" applyBorder="1" applyAlignment="1">
      <alignment horizontal="justify" vertical="top" wrapText="1"/>
    </xf>
    <xf numFmtId="0" fontId="39" fillId="0" borderId="19" xfId="0" applyFont="1" applyBorder="1" applyAlignment="1">
      <alignment horizontal="justify" vertical="top" wrapText="1"/>
    </xf>
    <xf numFmtId="0" fontId="39" fillId="0" borderId="20" xfId="0" applyFont="1" applyBorder="1" applyAlignment="1">
      <alignment horizontal="justify" vertical="top" wrapText="1"/>
    </xf>
    <xf numFmtId="0" fontId="39" fillId="0" borderId="14" xfId="0" applyFont="1" applyBorder="1" applyAlignment="1">
      <alignment horizontal="justify" vertical="top" wrapText="1"/>
    </xf>
    <xf numFmtId="0" fontId="39" fillId="0" borderId="0" xfId="0" applyFont="1" applyBorder="1" applyAlignment="1">
      <alignment horizontal="justify" vertical="top" wrapText="1"/>
    </xf>
    <xf numFmtId="0" fontId="39" fillId="0" borderId="15" xfId="0" applyFont="1" applyBorder="1" applyAlignment="1">
      <alignment horizontal="justify" vertical="top" wrapText="1"/>
    </xf>
    <xf numFmtId="0" fontId="33" fillId="0" borderId="14" xfId="0" applyFont="1" applyBorder="1" applyAlignment="1">
      <alignment horizontal="justify" vertical="top" wrapText="1"/>
    </xf>
    <xf numFmtId="0" fontId="33" fillId="0" borderId="0" xfId="0" applyFont="1" applyBorder="1" applyAlignment="1">
      <alignment horizontal="justify" vertical="top" wrapText="1"/>
    </xf>
    <xf numFmtId="0" fontId="33" fillId="0" borderId="15" xfId="0" applyFont="1" applyBorder="1" applyAlignment="1">
      <alignment horizontal="justify" vertical="top" wrapText="1"/>
    </xf>
    <xf numFmtId="167" fontId="2" fillId="0" borderId="0" xfId="31" applyFont="1" applyFill="1" applyAlignment="1">
      <alignment horizontal="center"/>
    </xf>
    <xf numFmtId="167" fontId="1" fillId="0" borderId="32" xfId="31" applyFont="1" applyFill="1" applyBorder="1" applyAlignment="1">
      <alignment horizontal="center"/>
    </xf>
    <xf numFmtId="167" fontId="1" fillId="0" borderId="18" xfId="31" applyFont="1" applyFill="1" applyBorder="1" applyAlignment="1">
      <alignment wrapText="1"/>
    </xf>
    <xf numFmtId="0" fontId="0" fillId="0" borderId="19" xfId="0" applyFill="1" applyBorder="1" applyAlignment="1">
      <alignment wrapText="1"/>
    </xf>
    <xf numFmtId="0" fontId="0" fillId="0" borderId="20" xfId="0" applyFill="1" applyBorder="1" applyAlignment="1">
      <alignment wrapText="1"/>
    </xf>
    <xf numFmtId="167" fontId="1" fillId="0" borderId="0" xfId="31" applyFont="1" applyFill="1" applyBorder="1" applyAlignment="1">
      <alignment horizontal="left"/>
    </xf>
    <xf numFmtId="167" fontId="1" fillId="0" borderId="23" xfId="31" applyFont="1" applyFill="1" applyBorder="1" applyAlignment="1">
      <alignment vertical="center" wrapText="1"/>
    </xf>
    <xf numFmtId="0" fontId="1" fillId="0" borderId="8" xfId="0" applyFont="1" applyFill="1" applyBorder="1" applyAlignment="1">
      <alignment vertical="center" wrapText="1"/>
    </xf>
    <xf numFmtId="0" fontId="1" fillId="0" borderId="24" xfId="0" applyFont="1" applyFill="1" applyBorder="1" applyAlignment="1">
      <alignment vertical="center" wrapText="1"/>
    </xf>
    <xf numFmtId="0" fontId="1" fillId="0" borderId="30" xfId="0" applyFont="1" applyFill="1" applyBorder="1" applyAlignment="1">
      <alignment vertical="center" wrapText="1"/>
    </xf>
    <xf numFmtId="0" fontId="1" fillId="0" borderId="31" xfId="0" applyFont="1" applyFill="1" applyBorder="1" applyAlignment="1">
      <alignment vertical="center" wrapText="1"/>
    </xf>
    <xf numFmtId="0" fontId="1" fillId="0" borderId="25" xfId="0" applyFont="1" applyFill="1" applyBorder="1" applyAlignment="1">
      <alignment vertical="center" wrapText="1"/>
    </xf>
    <xf numFmtId="0" fontId="1" fillId="0" borderId="2" xfId="0" applyFont="1" applyFill="1" applyBorder="1" applyAlignment="1">
      <alignment vertical="center" wrapText="1"/>
    </xf>
    <xf numFmtId="0" fontId="1" fillId="0" borderId="26" xfId="0" applyFont="1" applyFill="1" applyBorder="1" applyAlignment="1">
      <alignment vertical="center" wrapText="1"/>
    </xf>
    <xf numFmtId="0" fontId="36" fillId="0" borderId="18" xfId="0" applyFont="1" applyBorder="1" applyAlignment="1">
      <alignment vertical="top" wrapText="1"/>
    </xf>
    <xf numFmtId="0" fontId="33" fillId="0" borderId="14" xfId="0" applyFont="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9" xfId="0" applyBorder="1" applyAlignment="1">
      <alignment vertical="top" wrapText="1"/>
    </xf>
    <xf numFmtId="0" fontId="0" fillId="0" borderId="17" xfId="0" applyBorder="1" applyAlignment="1">
      <alignment vertical="top" wrapText="1"/>
    </xf>
    <xf numFmtId="167" fontId="14" fillId="0" borderId="33" xfId="31" applyFont="1" applyFill="1" applyBorder="1" applyAlignment="1">
      <alignment vertical="center" wrapText="1"/>
    </xf>
    <xf numFmtId="0" fontId="1" fillId="0" borderId="34" xfId="0" applyFont="1" applyBorder="1" applyAlignment="1">
      <alignment vertical="center" wrapText="1"/>
    </xf>
    <xf numFmtId="0" fontId="1" fillId="0" borderId="35" xfId="0" applyFont="1" applyBorder="1" applyAlignment="1">
      <alignment vertical="center" wrapText="1"/>
    </xf>
    <xf numFmtId="0" fontId="1" fillId="0" borderId="36" xfId="0" applyFont="1" applyBorder="1" applyAlignment="1">
      <alignment vertical="center" wrapText="1"/>
    </xf>
    <xf numFmtId="0" fontId="1" fillId="0" borderId="0" xfId="0" applyFont="1" applyBorder="1" applyAlignment="1">
      <alignment vertical="center" wrapText="1"/>
    </xf>
    <xf numFmtId="0" fontId="1" fillId="0" borderId="37" xfId="0" applyFont="1" applyBorder="1" applyAlignment="1">
      <alignment vertical="center" wrapText="1"/>
    </xf>
    <xf numFmtId="0" fontId="1" fillId="0" borderId="38" xfId="0" applyFont="1" applyBorder="1" applyAlignment="1">
      <alignment vertical="center" wrapText="1"/>
    </xf>
    <xf numFmtId="0" fontId="1" fillId="0" borderId="13" xfId="0" applyFont="1" applyBorder="1" applyAlignment="1">
      <alignment vertical="center" wrapText="1"/>
    </xf>
    <xf numFmtId="0" fontId="1" fillId="0" borderId="39" xfId="0" applyFont="1" applyBorder="1" applyAlignment="1">
      <alignment vertical="center" wrapText="1"/>
    </xf>
    <xf numFmtId="167" fontId="9" fillId="0" borderId="0" xfId="31" applyFont="1" applyFill="1" applyAlignment="1">
      <alignment vertical="top" wrapText="1"/>
    </xf>
    <xf numFmtId="167" fontId="14" fillId="0" borderId="18" xfId="31" applyFont="1" applyFill="1"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4" xfId="0" applyBorder="1" applyAlignment="1">
      <alignment vertical="center" wrapText="1"/>
    </xf>
    <xf numFmtId="0" fontId="0" fillId="0" borderId="0"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3" fillId="0" borderId="0" xfId="29" applyFill="1" applyAlignment="1">
      <alignment horizontal="left" wrapText="1" indent="1"/>
    </xf>
    <xf numFmtId="0" fontId="3" fillId="0" borderId="0" xfId="29" applyFill="1" applyAlignment="1">
      <alignment horizontal="left" indent="1"/>
    </xf>
    <xf numFmtId="0" fontId="1" fillId="0" borderId="0" xfId="29" applyFont="1" applyFill="1" applyAlignment="1">
      <alignment horizontal="left" wrapText="1" indent="1"/>
    </xf>
    <xf numFmtId="0" fontId="3" fillId="0" borderId="0" xfId="29" applyFill="1" applyAlignment="1"/>
    <xf numFmtId="0" fontId="36" fillId="0" borderId="18" xfId="0" applyFont="1" applyBorder="1" applyAlignment="1">
      <alignment wrapText="1"/>
    </xf>
    <xf numFmtId="0" fontId="0" fillId="0" borderId="19" xfId="0" applyBorder="1" applyAlignment="1">
      <alignment wrapText="1"/>
    </xf>
    <xf numFmtId="0" fontId="0" fillId="0" borderId="20" xfId="0" applyBorder="1" applyAlignment="1">
      <alignment wrapText="1"/>
    </xf>
    <xf numFmtId="0" fontId="0" fillId="0" borderId="14" xfId="0" applyBorder="1" applyAlignment="1">
      <alignment wrapText="1"/>
    </xf>
    <xf numFmtId="0" fontId="0" fillId="0" borderId="0" xfId="0"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9" xfId="0" applyBorder="1" applyAlignment="1">
      <alignment wrapText="1"/>
    </xf>
    <xf numFmtId="0" fontId="0" fillId="0" borderId="17" xfId="0" applyBorder="1" applyAlignment="1">
      <alignment wrapText="1"/>
    </xf>
    <xf numFmtId="0" fontId="15" fillId="0" borderId="18" xfId="29" applyFont="1" applyFill="1" applyBorder="1" applyAlignment="1">
      <alignment horizontal="left" wrapText="1"/>
    </xf>
    <xf numFmtId="0" fontId="15" fillId="0" borderId="19" xfId="29" applyFont="1" applyFill="1" applyBorder="1" applyAlignment="1">
      <alignment horizontal="left" wrapText="1"/>
    </xf>
    <xf numFmtId="0" fontId="15" fillId="0" borderId="20" xfId="29" applyFont="1" applyFill="1" applyBorder="1" applyAlignment="1">
      <alignment horizontal="left" wrapText="1"/>
    </xf>
    <xf numFmtId="0" fontId="15" fillId="0" borderId="14" xfId="29" applyFont="1" applyFill="1" applyBorder="1" applyAlignment="1">
      <alignment horizontal="left" wrapText="1"/>
    </xf>
    <xf numFmtId="0" fontId="15" fillId="0" borderId="0" xfId="29" applyFont="1" applyFill="1" applyBorder="1" applyAlignment="1">
      <alignment horizontal="left" wrapText="1"/>
    </xf>
    <xf numFmtId="0" fontId="15" fillId="0" borderId="15" xfId="29" applyFont="1" applyFill="1" applyBorder="1" applyAlignment="1">
      <alignment horizontal="left" wrapText="1"/>
    </xf>
    <xf numFmtId="0" fontId="15" fillId="0" borderId="16" xfId="29" applyFont="1" applyFill="1" applyBorder="1" applyAlignment="1">
      <alignment horizontal="left" wrapText="1"/>
    </xf>
    <xf numFmtId="0" fontId="15" fillId="0" borderId="9" xfId="29" applyFont="1" applyFill="1" applyBorder="1" applyAlignment="1">
      <alignment horizontal="left" wrapText="1"/>
    </xf>
    <xf numFmtId="0" fontId="15" fillId="0" borderId="17" xfId="29" applyFont="1" applyFill="1" applyBorder="1" applyAlignment="1">
      <alignment horizontal="left" wrapText="1"/>
    </xf>
    <xf numFmtId="15" fontId="2" fillId="0" borderId="0" xfId="29" quotePrefix="1" applyNumberFormat="1" applyFont="1" applyFill="1" applyAlignment="1">
      <alignment horizontal="center"/>
    </xf>
    <xf numFmtId="0" fontId="3" fillId="0" borderId="0" xfId="29" applyFill="1" applyAlignment="1">
      <alignment horizontal="left" wrapText="1"/>
    </xf>
    <xf numFmtId="37" fontId="5" fillId="0" borderId="2" xfId="0" quotePrefix="1" applyNumberFormat="1" applyFont="1" applyFill="1" applyBorder="1" applyAlignment="1">
      <alignment horizontal="center"/>
    </xf>
    <xf numFmtId="37" fontId="5" fillId="0" borderId="2" xfId="0" applyNumberFormat="1" applyFont="1" applyFill="1" applyBorder="1" applyAlignment="1">
      <alignment horizontal="center"/>
    </xf>
    <xf numFmtId="164" fontId="3" fillId="0" borderId="0" xfId="0" applyNumberFormat="1" applyFont="1" applyFill="1"/>
  </cellXfs>
  <cellStyles count="40">
    <cellStyle name="Comma" xfId="1" builtinId="3"/>
    <cellStyle name="Comma [0]" xfId="2" builtinId="6"/>
    <cellStyle name="Comma [0] 2" xfId="3" xr:uid="{00000000-0005-0000-0000-000002000000}"/>
    <cellStyle name="Comma [0] 2 2" xfId="4" xr:uid="{00000000-0005-0000-0000-000003000000}"/>
    <cellStyle name="Comma 2" xfId="5" xr:uid="{00000000-0005-0000-0000-000004000000}"/>
    <cellStyle name="Comma 2 2" xfId="6" xr:uid="{00000000-0005-0000-0000-000005000000}"/>
    <cellStyle name="Comma 2 2 2" xfId="7" xr:uid="{00000000-0005-0000-0000-000006000000}"/>
    <cellStyle name="Comma 2 3" xfId="8" xr:uid="{00000000-0005-0000-0000-000007000000}"/>
    <cellStyle name="Comma 3" xfId="9" xr:uid="{00000000-0005-0000-0000-000008000000}"/>
    <cellStyle name="Comma 3 2" xfId="10" xr:uid="{00000000-0005-0000-0000-000009000000}"/>
    <cellStyle name="Comma 4" xfId="11" xr:uid="{00000000-0005-0000-0000-00000A000000}"/>
    <cellStyle name="Comma 4 2" xfId="12" xr:uid="{00000000-0005-0000-0000-00000B000000}"/>
    <cellStyle name="Comma 5" xfId="13" xr:uid="{00000000-0005-0000-0000-00000C000000}"/>
    <cellStyle name="Comma 5 2" xfId="14" xr:uid="{00000000-0005-0000-0000-00000D000000}"/>
    <cellStyle name="Currency" xfId="15" builtinId="4"/>
    <cellStyle name="Currency [0]" xfId="16" builtinId="7"/>
    <cellStyle name="Currency [0] 2" xfId="17" xr:uid="{00000000-0005-0000-0000-000010000000}"/>
    <cellStyle name="Currency [0] 2 2" xfId="18" xr:uid="{00000000-0005-0000-0000-000011000000}"/>
    <cellStyle name="Currency 2" xfId="19" xr:uid="{00000000-0005-0000-0000-000012000000}"/>
    <cellStyle name="Currency 2 2" xfId="20" xr:uid="{00000000-0005-0000-0000-000013000000}"/>
    <cellStyle name="Currency 2 2 2" xfId="21" xr:uid="{00000000-0005-0000-0000-000014000000}"/>
    <cellStyle name="Currency 2 3" xfId="22" xr:uid="{00000000-0005-0000-0000-000015000000}"/>
    <cellStyle name="Currency 3" xfId="23" xr:uid="{00000000-0005-0000-0000-000016000000}"/>
    <cellStyle name="Currency 3 2" xfId="24" xr:uid="{00000000-0005-0000-0000-000017000000}"/>
    <cellStyle name="Currency 4" xfId="25" xr:uid="{00000000-0005-0000-0000-000018000000}"/>
    <cellStyle name="Currency 4 2" xfId="26" xr:uid="{00000000-0005-0000-0000-000019000000}"/>
    <cellStyle name="Currency 5" xfId="27" xr:uid="{00000000-0005-0000-0000-00001A000000}"/>
    <cellStyle name="Currency 5 2" xfId="28" xr:uid="{00000000-0005-0000-0000-00001B000000}"/>
    <cellStyle name="Normal" xfId="0" builtinId="0"/>
    <cellStyle name="Normal 2" xfId="29" xr:uid="{00000000-0005-0000-0000-00001D000000}"/>
    <cellStyle name="Normal 2 2" xfId="30" xr:uid="{00000000-0005-0000-0000-00001E000000}"/>
    <cellStyle name="Normal_A" xfId="31" xr:uid="{00000000-0005-0000-0000-00001F000000}"/>
    <cellStyle name="Normal_A (2)" xfId="32" xr:uid="{00000000-0005-0000-0000-000020000000}"/>
    <cellStyle name="Normal_CHANGES" xfId="33" xr:uid="{00000000-0005-0000-0000-000021000000}"/>
    <cellStyle name="Normal_EFCPIS" xfId="34" xr:uid="{00000000-0005-0000-0000-000022000000}"/>
    <cellStyle name="Normal_EFCRIS" xfId="35" xr:uid="{00000000-0005-0000-0000-000023000000}"/>
    <cellStyle name="Normal_EFWSIS" xfId="36" xr:uid="{00000000-0005-0000-0000-000024000000}"/>
    <cellStyle name="Normal_Sheet1" xfId="37" xr:uid="{00000000-0005-0000-0000-000025000000}"/>
    <cellStyle name="Normal_TAXREC" xfId="38" xr:uid="{00000000-0005-0000-0000-000026000000}"/>
    <cellStyle name="Percent" xfId="3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4.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65"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drawing1.xml><?xml version="1.0" encoding="utf-8"?>
<xdr:wsDr xmlns:xdr="http://schemas.openxmlformats.org/drawingml/2006/spreadsheetDrawing" xmlns:a="http://schemas.openxmlformats.org/drawingml/2006/main">
  <xdr:twoCellAnchor>
    <xdr:from>
      <xdr:col>5</xdr:col>
      <xdr:colOff>121920</xdr:colOff>
      <xdr:row>46</xdr:row>
      <xdr:rowOff>97155</xdr:rowOff>
    </xdr:from>
    <xdr:to>
      <xdr:col>10</xdr:col>
      <xdr:colOff>80005</xdr:colOff>
      <xdr:row>49</xdr:row>
      <xdr:rowOff>122150</xdr:rowOff>
    </xdr:to>
    <xdr:sp macro="" textlink="">
      <xdr:nvSpPr>
        <xdr:cNvPr id="1025" name="Text Box 1">
          <a:extLst>
            <a:ext uri="{FF2B5EF4-FFF2-40B4-BE49-F238E27FC236}">
              <a16:creationId xmlns:a16="http://schemas.microsoft.com/office/drawing/2014/main" id="{4BF63731-9BAE-48E0-A285-4D9AD0777DB2}"/>
            </a:ext>
          </a:extLst>
        </xdr:cNvPr>
        <xdr:cNvSpPr txBox="1">
          <a:spLocks noChangeArrowheads="1"/>
        </xdr:cNvSpPr>
      </xdr:nvSpPr>
      <xdr:spPr bwMode="auto">
        <a:xfrm>
          <a:off x="6515100" y="8629650"/>
          <a:ext cx="5067300" cy="5143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 NOTE TO PREPARER: </a:t>
          </a:r>
          <a:r>
            <a:rPr lang="en-US" sz="900" b="0" i="0" u="none" strike="noStrike" baseline="0">
              <a:solidFill>
                <a:srgbClr val="000000"/>
              </a:solidFill>
              <a:latin typeface="Arial"/>
              <a:cs typeface="Arial"/>
            </a:rPr>
            <a:t> </a:t>
          </a:r>
          <a:r>
            <a:rPr lang="en-US" sz="900" b="0" i="1" u="sng" strike="noStrike" baseline="0">
              <a:solidFill>
                <a:srgbClr val="000000"/>
              </a:solidFill>
              <a:latin typeface="Arial"/>
              <a:cs typeface="Arial"/>
            </a:rPr>
            <a:t>Special items</a:t>
          </a:r>
          <a:r>
            <a:rPr lang="en-US" sz="900" b="0" i="0" u="none" strike="noStrike" baseline="0">
              <a:solidFill>
                <a:srgbClr val="000000"/>
              </a:solidFill>
              <a:latin typeface="Arial"/>
              <a:cs typeface="Arial"/>
            </a:rPr>
            <a:t> reported on this statement should be material to the unit as a whole in addition to meeting the other requirements for a special item.  The special item reported  here is for illustrative purposes only.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304800</xdr:colOff>
      <xdr:row>1</xdr:row>
      <xdr:rowOff>133350</xdr:rowOff>
    </xdr:from>
    <xdr:to>
      <xdr:col>2</xdr:col>
      <xdr:colOff>304800</xdr:colOff>
      <xdr:row>1</xdr:row>
      <xdr:rowOff>133350</xdr:rowOff>
    </xdr:to>
    <xdr:sp macro="" textlink="">
      <xdr:nvSpPr>
        <xdr:cNvPr id="83970" name="Line 2">
          <a:extLst>
            <a:ext uri="{FF2B5EF4-FFF2-40B4-BE49-F238E27FC236}">
              <a16:creationId xmlns:a16="http://schemas.microsoft.com/office/drawing/2014/main" id="{F5E9E666-B370-4FC1-B61C-97FB32FF8A88}"/>
            </a:ext>
          </a:extLst>
        </xdr:cNvPr>
        <xdr:cNvSpPr>
          <a:spLocks noChangeShapeType="1"/>
        </xdr:cNvSpPr>
      </xdr:nvSpPr>
      <xdr:spPr bwMode="auto">
        <a:xfrm>
          <a:off x="1524000" y="29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8.bin"/><Relationship Id="rId2" Type="http://schemas.openxmlformats.org/officeDocument/2006/relationships/printerSettings" Target="../printerSettings/printerSettings97.bin"/><Relationship Id="rId1" Type="http://schemas.openxmlformats.org/officeDocument/2006/relationships/printerSettings" Target="../printerSettings/printerSettings96.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01.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04.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10.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13.bin"/><Relationship Id="rId2" Type="http://schemas.openxmlformats.org/officeDocument/2006/relationships/printerSettings" Target="../printerSettings/printerSettings112.bin"/><Relationship Id="rId1" Type="http://schemas.openxmlformats.org/officeDocument/2006/relationships/printerSettings" Target="../printerSettings/printerSettings111.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16.bin"/><Relationship Id="rId2" Type="http://schemas.openxmlformats.org/officeDocument/2006/relationships/printerSettings" Target="../printerSettings/printerSettings115.bin"/><Relationship Id="rId1" Type="http://schemas.openxmlformats.org/officeDocument/2006/relationships/printerSettings" Target="../printerSettings/printerSettings114.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19.bin"/><Relationship Id="rId2" Type="http://schemas.openxmlformats.org/officeDocument/2006/relationships/printerSettings" Target="../printerSettings/printerSettings118.bin"/><Relationship Id="rId1" Type="http://schemas.openxmlformats.org/officeDocument/2006/relationships/printerSettings" Target="../printerSettings/printerSettings117.bin"/></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122.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125.bin"/><Relationship Id="rId2" Type="http://schemas.openxmlformats.org/officeDocument/2006/relationships/printerSettings" Target="../printerSettings/printerSettings124.bin"/><Relationship Id="rId1" Type="http://schemas.openxmlformats.org/officeDocument/2006/relationships/printerSettings" Target="../printerSettings/printerSettings123.bin"/></Relationships>
</file>

<file path=xl/worksheets/_rels/sheet46.xml.rels><?xml version="1.0" encoding="UTF-8" standalone="yes"?>
<Relationships xmlns="http://schemas.openxmlformats.org/package/2006/relationships"><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131.bin"/><Relationship Id="rId1" Type="http://schemas.openxmlformats.org/officeDocument/2006/relationships/printerSettings" Target="../printerSettings/printerSettings130.bin"/></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133.bin"/><Relationship Id="rId1" Type="http://schemas.openxmlformats.org/officeDocument/2006/relationships/printerSettings" Target="../printerSettings/printerSettings13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135.bin"/><Relationship Id="rId1" Type="http://schemas.openxmlformats.org/officeDocument/2006/relationships/printerSettings" Target="../printerSettings/printerSettings134.bin"/></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138.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141.bin"/><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s>
</file>

<file path=xl/worksheets/_rels/sheet53.xml.rels><?xml version="1.0" encoding="UTF-8" standalone="yes"?>
<Relationships xmlns="http://schemas.openxmlformats.org/package/2006/relationships"><Relationship Id="rId3" Type="http://schemas.openxmlformats.org/officeDocument/2006/relationships/printerSettings" Target="../printerSettings/printerSettings144.bin"/><Relationship Id="rId2" Type="http://schemas.openxmlformats.org/officeDocument/2006/relationships/printerSettings" Target="../printerSettings/printerSettings143.bin"/><Relationship Id="rId1" Type="http://schemas.openxmlformats.org/officeDocument/2006/relationships/printerSettings" Target="../printerSettings/printerSettings142.bin"/></Relationships>
</file>

<file path=xl/worksheets/_rels/sheet54.xml.rels><?xml version="1.0" encoding="UTF-8" standalone="yes"?>
<Relationships xmlns="http://schemas.openxmlformats.org/package/2006/relationships"><Relationship Id="rId3" Type="http://schemas.openxmlformats.org/officeDocument/2006/relationships/printerSettings" Target="../printerSettings/printerSettings147.bin"/><Relationship Id="rId2" Type="http://schemas.openxmlformats.org/officeDocument/2006/relationships/printerSettings" Target="../printerSettings/printerSettings146.bin"/><Relationship Id="rId1" Type="http://schemas.openxmlformats.org/officeDocument/2006/relationships/printerSettings" Target="../printerSettings/printerSettings145.bin"/></Relationships>
</file>

<file path=xl/worksheets/_rels/sheet55.xml.rels><?xml version="1.0" encoding="UTF-8" standalone="yes"?>
<Relationships xmlns="http://schemas.openxmlformats.org/package/2006/relationships"><Relationship Id="rId3" Type="http://schemas.openxmlformats.org/officeDocument/2006/relationships/printerSettings" Target="../printerSettings/printerSettings150.bin"/><Relationship Id="rId2" Type="http://schemas.openxmlformats.org/officeDocument/2006/relationships/printerSettings" Target="../printerSettings/printerSettings149.bin"/><Relationship Id="rId1" Type="http://schemas.openxmlformats.org/officeDocument/2006/relationships/printerSettings" Target="../printerSettings/printerSettings148.bin"/></Relationships>
</file>

<file path=xl/worksheets/_rels/sheet56.xml.rels><?xml version="1.0" encoding="UTF-8" standalone="yes"?>
<Relationships xmlns="http://schemas.openxmlformats.org/package/2006/relationships"><Relationship Id="rId3" Type="http://schemas.openxmlformats.org/officeDocument/2006/relationships/printerSettings" Target="../printerSettings/printerSettings153.bin"/><Relationship Id="rId2" Type="http://schemas.openxmlformats.org/officeDocument/2006/relationships/printerSettings" Target="../printerSettings/printerSettings152.bin"/><Relationship Id="rId1" Type="http://schemas.openxmlformats.org/officeDocument/2006/relationships/printerSettings" Target="../printerSettings/printerSettings151.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8.xml.rels><?xml version="1.0" encoding="UTF-8" standalone="yes"?>
<Relationships xmlns="http://schemas.openxmlformats.org/package/2006/relationships"><Relationship Id="rId3" Type="http://schemas.openxmlformats.org/officeDocument/2006/relationships/printerSettings" Target="../printerSettings/printerSettings156.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L69"/>
  <sheetViews>
    <sheetView tabSelected="1" workbookViewId="0">
      <selection activeCell="A3" sqref="A3:G3"/>
    </sheetView>
  </sheetViews>
  <sheetFormatPr defaultColWidth="9.109375" defaultRowHeight="13.2" x14ac:dyDescent="0.25"/>
  <cols>
    <col min="1" max="1" width="37.5546875" style="404" customWidth="1"/>
    <col min="2" max="4" width="15.6640625" style="404" customWidth="1"/>
    <col min="5" max="5" width="15.5546875" style="404" customWidth="1"/>
    <col min="6" max="6" width="13.44140625" style="404" customWidth="1"/>
    <col min="7" max="7" width="15.44140625" style="404" bestFit="1" customWidth="1"/>
    <col min="8" max="8" width="12.88671875" style="404" bestFit="1" customWidth="1"/>
    <col min="9" max="9" width="12.109375" style="404" bestFit="1" customWidth="1"/>
    <col min="10" max="10" width="14" style="404" bestFit="1" customWidth="1"/>
    <col min="11" max="16384" width="9.109375" style="404"/>
  </cols>
  <sheetData>
    <row r="1" spans="1:10" x14ac:dyDescent="0.25">
      <c r="A1" s="858" t="s">
        <v>0</v>
      </c>
      <c r="B1" s="858"/>
      <c r="C1" s="858"/>
      <c r="D1" s="858"/>
      <c r="E1" s="858"/>
      <c r="F1" s="858"/>
      <c r="G1" s="858"/>
    </row>
    <row r="2" spans="1:10" x14ac:dyDescent="0.25">
      <c r="A2" s="859" t="s">
        <v>1</v>
      </c>
      <c r="B2" s="859"/>
      <c r="C2" s="859"/>
      <c r="D2" s="859"/>
      <c r="E2" s="859"/>
      <c r="F2" s="859"/>
      <c r="G2" s="859"/>
    </row>
    <row r="3" spans="1:10" x14ac:dyDescent="0.25">
      <c r="A3" s="859" t="s">
        <v>2</v>
      </c>
      <c r="B3" s="859"/>
      <c r="C3" s="859"/>
      <c r="D3" s="859"/>
      <c r="E3" s="859"/>
      <c r="F3" s="859"/>
      <c r="G3" s="859"/>
    </row>
    <row r="4" spans="1:10" x14ac:dyDescent="0.25">
      <c r="A4" s="860" t="s">
        <v>3</v>
      </c>
      <c r="B4" s="860"/>
      <c r="C4" s="860"/>
      <c r="D4" s="860"/>
      <c r="E4" s="860"/>
      <c r="F4" s="860"/>
      <c r="G4" s="860"/>
    </row>
    <row r="5" spans="1:10" x14ac:dyDescent="0.25">
      <c r="A5" s="38"/>
      <c r="B5" s="38"/>
      <c r="C5" s="38"/>
      <c r="D5" s="38"/>
      <c r="E5" s="38"/>
    </row>
    <row r="6" spans="1:10" x14ac:dyDescent="0.25">
      <c r="A6" s="38"/>
      <c r="B6" s="38"/>
      <c r="C6" s="38"/>
      <c r="D6" s="38"/>
      <c r="E6" s="38"/>
    </row>
    <row r="7" spans="1:10" x14ac:dyDescent="0.25">
      <c r="A7" s="38"/>
      <c r="B7" s="857" t="s">
        <v>4</v>
      </c>
      <c r="C7" s="857"/>
      <c r="D7" s="857"/>
      <c r="E7" s="857" t="s">
        <v>5</v>
      </c>
      <c r="F7" s="857"/>
      <c r="G7" s="857"/>
    </row>
    <row r="8" spans="1:10" ht="52.8" x14ac:dyDescent="0.25">
      <c r="A8" s="38"/>
      <c r="B8" s="655" t="s">
        <v>6</v>
      </c>
      <c r="C8" s="655" t="s">
        <v>7</v>
      </c>
      <c r="D8" s="655" t="s">
        <v>8</v>
      </c>
      <c r="E8" s="655" t="s">
        <v>9</v>
      </c>
      <c r="F8" s="655" t="s">
        <v>10</v>
      </c>
      <c r="G8" s="1" t="s">
        <v>11</v>
      </c>
      <c r="H8" s="835"/>
    </row>
    <row r="9" spans="1:10" x14ac:dyDescent="0.25">
      <c r="A9" s="38" t="s">
        <v>12</v>
      </c>
      <c r="B9" s="38"/>
      <c r="C9" s="38"/>
      <c r="D9" s="38"/>
      <c r="E9" s="38"/>
    </row>
    <row r="10" spans="1:10" x14ac:dyDescent="0.25">
      <c r="A10" s="641" t="s">
        <v>13</v>
      </c>
      <c r="B10" s="614">
        <f>11428934+500000-1000+2000-132811-50000-534602+1500000-17285-200000-558550-1720+1029567-0.95*(1001000)-3200-16500-300-16497-250-0.95*(43000)-(4000)-(1221075)-(17279)+128381-36253+30000</f>
        <v>10815760</v>
      </c>
      <c r="C10" s="412">
        <f>921039+32162-9918-0.05*(1001000)-0.05*(43000)-(64267)</f>
        <v>826816</v>
      </c>
      <c r="D10" s="412">
        <f t="shared" ref="D10:D18" si="0">SUM(B10:C10)</f>
        <v>11642576</v>
      </c>
      <c r="E10" s="614">
        <f>10411307-1500000/4-12674</f>
        <v>10023633</v>
      </c>
      <c r="F10" s="412">
        <f>320838-8600</f>
        <v>312238</v>
      </c>
      <c r="G10" s="412">
        <v>689522</v>
      </c>
      <c r="I10" s="430"/>
    </row>
    <row r="11" spans="1:10" x14ac:dyDescent="0.25">
      <c r="A11" s="641" t="s">
        <v>14</v>
      </c>
      <c r="B11" s="615">
        <f>2326140+465198+1194212+28833-8932-4-135975+2687+398364</f>
        <v>4270523</v>
      </c>
      <c r="C11" s="393">
        <v>99808</v>
      </c>
      <c r="D11" s="393">
        <f t="shared" si="0"/>
        <v>4370331</v>
      </c>
      <c r="E11" s="424">
        <v>8965583</v>
      </c>
      <c r="F11" s="393">
        <v>0</v>
      </c>
      <c r="G11" s="393">
        <v>36524</v>
      </c>
      <c r="I11" s="430"/>
    </row>
    <row r="12" spans="1:10" x14ac:dyDescent="0.25">
      <c r="A12" s="641" t="s">
        <v>15</v>
      </c>
      <c r="B12" s="393">
        <f>3257800-3000</f>
        <v>3254800</v>
      </c>
      <c r="C12" s="393">
        <v>0</v>
      </c>
      <c r="D12" s="393">
        <f t="shared" si="0"/>
        <v>3254800</v>
      </c>
      <c r="E12" s="393">
        <v>0</v>
      </c>
      <c r="F12" s="393">
        <v>0</v>
      </c>
      <c r="G12" s="393">
        <v>0</v>
      </c>
      <c r="I12" s="430"/>
    </row>
    <row r="13" spans="1:10" x14ac:dyDescent="0.25">
      <c r="A13" s="641" t="s">
        <v>16</v>
      </c>
      <c r="B13" s="393">
        <v>36100</v>
      </c>
      <c r="C13" s="393">
        <v>0</v>
      </c>
      <c r="D13" s="393">
        <f t="shared" si="0"/>
        <v>36100</v>
      </c>
      <c r="E13" s="393">
        <v>0</v>
      </c>
      <c r="F13" s="393">
        <v>0</v>
      </c>
      <c r="G13" s="393">
        <v>0</v>
      </c>
      <c r="H13" s="425"/>
      <c r="I13" s="430"/>
    </row>
    <row r="14" spans="1:10" x14ac:dyDescent="0.25">
      <c r="A14" s="641" t="s">
        <v>17</v>
      </c>
      <c r="B14" s="393">
        <f>2551800</f>
        <v>2551800</v>
      </c>
      <c r="C14" s="393">
        <v>110281</v>
      </c>
      <c r="D14" s="393">
        <f t="shared" si="0"/>
        <v>2662081</v>
      </c>
      <c r="E14" s="393">
        <v>1185514</v>
      </c>
      <c r="F14" s="393">
        <v>89692</v>
      </c>
      <c r="G14" s="393">
        <v>0</v>
      </c>
      <c r="I14" s="430"/>
    </row>
    <row r="15" spans="1:10" x14ac:dyDescent="0.25">
      <c r="A15" s="641" t="s">
        <v>18</v>
      </c>
      <c r="B15" s="393">
        <v>0</v>
      </c>
      <c r="C15" s="393">
        <v>2565</v>
      </c>
      <c r="D15" s="393">
        <f t="shared" si="0"/>
        <v>2565</v>
      </c>
      <c r="E15" s="393">
        <v>108855</v>
      </c>
      <c r="F15" s="393">
        <v>3361</v>
      </c>
      <c r="G15" s="393">
        <v>0</v>
      </c>
      <c r="I15" s="430"/>
    </row>
    <row r="16" spans="1:10" x14ac:dyDescent="0.25">
      <c r="A16" s="641" t="s">
        <v>19</v>
      </c>
      <c r="B16" s="843">
        <f>534602+17285+200000+558550+1720+290000+1660000</f>
        <v>3262157</v>
      </c>
      <c r="C16" s="393">
        <f>1063389+9918</f>
        <v>1073307</v>
      </c>
      <c r="D16" s="393">
        <f t="shared" si="0"/>
        <v>4335464</v>
      </c>
      <c r="E16" s="393">
        <v>0</v>
      </c>
      <c r="F16" s="393">
        <v>0</v>
      </c>
      <c r="G16" s="393">
        <v>0</v>
      </c>
      <c r="I16" s="430"/>
      <c r="J16" s="393"/>
    </row>
    <row r="17" spans="1:12" x14ac:dyDescent="0.25">
      <c r="A17" s="641" t="s">
        <v>20</v>
      </c>
      <c r="B17" s="393">
        <v>8932</v>
      </c>
      <c r="C17" s="393">
        <v>0</v>
      </c>
      <c r="D17" s="393">
        <f t="shared" si="0"/>
        <v>8932</v>
      </c>
      <c r="E17" s="393">
        <v>0</v>
      </c>
      <c r="F17" s="393">
        <v>0</v>
      </c>
      <c r="G17" s="393">
        <v>0</v>
      </c>
      <c r="I17" s="430"/>
      <c r="J17" s="396"/>
      <c r="L17" s="396"/>
    </row>
    <row r="18" spans="1:12" x14ac:dyDescent="0.25">
      <c r="A18" s="641" t="s">
        <v>21</v>
      </c>
      <c r="B18" s="393">
        <f>0.95*(-2624121+864942+183819+3914355+35439-125239-904042)+98062+3685-1366+689+2888-1668+0.95*(-86282+890157+28534+62202+168360-2629764-825220+1046861)+3394-6174+2366-6578+2971+(3675+5979+202+4710-31861+3128)-6409+8-(1679)</f>
        <v>76022.949999999953</v>
      </c>
      <c r="C18" s="393">
        <v>0</v>
      </c>
      <c r="D18" s="393">
        <f t="shared" si="0"/>
        <v>76022.949999999953</v>
      </c>
      <c r="E18" s="393">
        <f>-4324918+1433510+11269-86787+294961+6281091-1450653+(-138450+1383160-142395+5816+245546-3835401-1203548+1526802)-3</f>
        <v>0</v>
      </c>
      <c r="F18" s="393">
        <f>-6027+8497-6247-844+459+9782-2259+(-216+8588-166-6384+390-6087-1911+2424)+1</f>
        <v>0</v>
      </c>
      <c r="G18" s="393">
        <v>0</v>
      </c>
      <c r="I18" s="430"/>
      <c r="J18" s="396"/>
    </row>
    <row r="19" spans="1:12" x14ac:dyDescent="0.25">
      <c r="A19" s="404" t="s">
        <v>22</v>
      </c>
      <c r="B19" s="393"/>
      <c r="C19" s="393"/>
      <c r="D19" s="393"/>
      <c r="E19" s="393"/>
      <c r="F19" s="393"/>
      <c r="G19" s="393"/>
      <c r="I19" s="430"/>
      <c r="J19" s="396"/>
    </row>
    <row r="20" spans="1:12" ht="26.4" x14ac:dyDescent="0.25">
      <c r="A20" s="638" t="s">
        <v>23</v>
      </c>
      <c r="B20" s="393">
        <f>1831706+440563</f>
        <v>2272269</v>
      </c>
      <c r="C20" s="393">
        <f>216500+110000+715549</f>
        <v>1042049</v>
      </c>
      <c r="D20" s="393">
        <f>SUM(B20:C20)</f>
        <v>3314318</v>
      </c>
      <c r="E20" s="393">
        <f>1305643+2057949</f>
        <v>3363592</v>
      </c>
      <c r="F20" s="393">
        <v>0</v>
      </c>
      <c r="G20" s="393">
        <v>0</v>
      </c>
      <c r="I20" s="430"/>
      <c r="J20" s="396"/>
    </row>
    <row r="21" spans="1:12" x14ac:dyDescent="0.25">
      <c r="A21" s="638" t="s">
        <v>24</v>
      </c>
      <c r="B21" s="617">
        <f>14610990+1415948+2405205+1098566+1040672-5081419-525721-1339210-600762-338033-180122</f>
        <v>12506114</v>
      </c>
      <c r="C21" s="421">
        <f>2261000+62177+70270-673515-20801-30126+7518229+135200+103200-2001019-53100-72600-4</f>
        <v>7298911</v>
      </c>
      <c r="D21" s="421">
        <f>SUM(B21:C21)</f>
        <v>19805025</v>
      </c>
      <c r="E21" s="617">
        <f>13426215+20598526-12848788-1181500+245450</f>
        <v>20239903</v>
      </c>
      <c r="F21" s="421">
        <v>87375</v>
      </c>
      <c r="G21" s="421">
        <v>0</v>
      </c>
      <c r="I21" s="430"/>
    </row>
    <row r="22" spans="1:12" x14ac:dyDescent="0.25">
      <c r="A22" s="428" t="s">
        <v>25</v>
      </c>
      <c r="B22" s="421">
        <f t="shared" ref="B22:G22" si="1">SUM(B20:B21)</f>
        <v>14778383</v>
      </c>
      <c r="C22" s="421">
        <f t="shared" si="1"/>
        <v>8340960</v>
      </c>
      <c r="D22" s="421">
        <f t="shared" si="1"/>
        <v>23119343</v>
      </c>
      <c r="E22" s="421">
        <f t="shared" si="1"/>
        <v>23603495</v>
      </c>
      <c r="F22" s="421">
        <f t="shared" si="1"/>
        <v>87375</v>
      </c>
      <c r="G22" s="421">
        <f t="shared" si="1"/>
        <v>0</v>
      </c>
      <c r="I22" s="430"/>
    </row>
    <row r="23" spans="1:12" ht="26.4" x14ac:dyDescent="0.25">
      <c r="A23" s="616" t="s">
        <v>26</v>
      </c>
      <c r="B23" s="615">
        <v>256756</v>
      </c>
      <c r="C23" s="421">
        <v>0</v>
      </c>
      <c r="D23" s="421">
        <f>B23+C23</f>
        <v>256756</v>
      </c>
      <c r="E23" s="421">
        <v>0</v>
      </c>
      <c r="F23" s="421">
        <v>0</v>
      </c>
      <c r="G23" s="421">
        <v>0</v>
      </c>
      <c r="I23" s="430"/>
    </row>
    <row r="24" spans="1:12" x14ac:dyDescent="0.25">
      <c r="A24" s="429" t="s">
        <v>27</v>
      </c>
      <c r="B24" s="415">
        <f>SUM(B10:B18)+B22+B23</f>
        <v>39311233.950000003</v>
      </c>
      <c r="C24" s="415">
        <f>SUM(C10:C18)+C22+C23</f>
        <v>10453737</v>
      </c>
      <c r="D24" s="415">
        <f>SUM(D10:D18)+D22+D23</f>
        <v>49764970.950000003</v>
      </c>
      <c r="E24" s="415">
        <f>SUM(E10:E18)+E22</f>
        <v>43887080</v>
      </c>
      <c r="F24" s="415">
        <f>SUM(F10:F18)+F22</f>
        <v>492666</v>
      </c>
      <c r="G24" s="415">
        <f>SUM(G10:G18)+G22</f>
        <v>726046</v>
      </c>
      <c r="I24" s="430"/>
    </row>
    <row r="25" spans="1:12" x14ac:dyDescent="0.25">
      <c r="A25" s="429"/>
      <c r="B25" s="394"/>
      <c r="C25" s="394"/>
      <c r="D25" s="394"/>
      <c r="E25" s="394"/>
      <c r="F25" s="394"/>
      <c r="G25" s="394"/>
      <c r="I25" s="430"/>
    </row>
    <row r="26" spans="1:12" x14ac:dyDescent="0.25">
      <c r="A26" s="38" t="s">
        <v>28</v>
      </c>
      <c r="B26" s="617">
        <f>292500+0.95*(-35439+125239+7102-25098+864942-864942+875000)+4000+3685-3685+1366-427+1668-521+0.95*(15157-890157+74312-17996+2629764-525953+880000-74312-2103811)+(-4000+33+23-401-518+6174-1937+6578-1316+4500-57-422)+(3299+15300+200)+0.95*(28618-908618+23540-17996-531838+118419+3489126+431687-24366-697825-88824+910000+484658+1)+(-825-3675+29+320-425-518-1396-1937+31861-9454+3800+3-3654+2-2)+0.95*(139889+237081-1781684+95006+1001000-910000)-1+(1244-9299+6462-2037+3200-3800-4)+(-3299+8710+16500+300-15500)+0.95*(43000)-2-(3200)+(4000)+(5512-664-9534-387)+(1221075-950950+693169+1023603-122171-43764)+(17279+8148+4181)-(16272)-(9708)</f>
        <v>4988909.9000000004</v>
      </c>
      <c r="C26" s="421">
        <f>0.05*(-35439+125239+7102-25098+864942-864942+875000)+0.05*(15157-890157+74312-17996+2629764-525953+880000-74312-2103811)+0.05*(28618-908618+23540-17996-531838+118419+3489126+431687-24366-697825-88824+910000+484658+1)+0.05*(139889+237081-1781684+95006+1001000-910000)+0.05*(43000)+(64267-50050+36483+53874-6430-2304)-1</f>
        <v>244573.1</v>
      </c>
      <c r="D26" s="421">
        <f>SUM(B26:C26)</f>
        <v>5233483</v>
      </c>
      <c r="E26" s="421">
        <f>1433510-1433510-11269+2258+86787-17392+1400000+(-16840-1383160+16626+354213-15134+142395+3835401-767080+1500000/4-16626-142395-3422533)</f>
        <v>420251</v>
      </c>
      <c r="F26" s="421">
        <f>6247-1252+844-169+8500+(88-8588+19+413-1421+166+6384-1269+6087-1217+8600-19-433-5283)</f>
        <v>17697</v>
      </c>
      <c r="G26" s="421">
        <v>23542</v>
      </c>
      <c r="H26" s="405"/>
      <c r="I26" s="430"/>
      <c r="J26" s="405"/>
      <c r="K26" s="405"/>
      <c r="L26" s="405"/>
    </row>
    <row r="27" spans="1:12" x14ac:dyDescent="0.25">
      <c r="E27" s="393"/>
      <c r="F27" s="393"/>
      <c r="G27" s="393"/>
      <c r="H27" s="423"/>
      <c r="I27" s="430"/>
    </row>
    <row r="28" spans="1:12" x14ac:dyDescent="0.25">
      <c r="A28" s="38" t="s">
        <v>29</v>
      </c>
      <c r="E28" s="393"/>
      <c r="F28" s="393"/>
      <c r="G28" s="393"/>
      <c r="H28" s="396"/>
      <c r="I28" s="430"/>
    </row>
    <row r="29" spans="1:12" x14ac:dyDescent="0.25">
      <c r="A29" s="641" t="s">
        <v>30</v>
      </c>
      <c r="B29" s="393">
        <f>3580150+226142+141297-62879+1300+7132</f>
        <v>3893142</v>
      </c>
      <c r="C29" s="393">
        <f>27269</f>
        <v>27269</v>
      </c>
      <c r="D29" s="393">
        <f>SUM(B29:C29)</f>
        <v>3920411</v>
      </c>
      <c r="E29" s="393">
        <v>3437706</v>
      </c>
      <c r="F29" s="393">
        <v>28571</v>
      </c>
      <c r="G29" s="393">
        <v>9564</v>
      </c>
      <c r="I29" s="430"/>
    </row>
    <row r="30" spans="1:12" x14ac:dyDescent="0.25">
      <c r="A30" s="404" t="s">
        <v>31</v>
      </c>
      <c r="B30" s="615">
        <f>311528+1639</f>
        <v>313167</v>
      </c>
      <c r="C30" s="393">
        <f>17012</f>
        <v>17012</v>
      </c>
      <c r="D30" s="393">
        <f>+C30+B30</f>
        <v>330179</v>
      </c>
      <c r="E30" s="393">
        <v>0</v>
      </c>
      <c r="F30" s="393">
        <v>0</v>
      </c>
      <c r="G30" s="393">
        <v>0</v>
      </c>
      <c r="I30" s="430"/>
    </row>
    <row r="31" spans="1:12" x14ac:dyDescent="0.25">
      <c r="A31" s="404" t="s">
        <v>32</v>
      </c>
      <c r="B31" s="393">
        <f>50551+2724+72179</f>
        <v>125454</v>
      </c>
      <c r="C31" s="393"/>
      <c r="D31" s="393">
        <f>+C31+B31</f>
        <v>125454</v>
      </c>
      <c r="E31" s="393">
        <v>0</v>
      </c>
      <c r="F31" s="393">
        <v>0</v>
      </c>
      <c r="G31" s="393">
        <v>0</v>
      </c>
      <c r="I31" s="430"/>
    </row>
    <row r="32" spans="1:12" x14ac:dyDescent="0.25">
      <c r="A32" s="404" t="s">
        <v>33</v>
      </c>
      <c r="B32" s="393">
        <v>0</v>
      </c>
      <c r="C32" s="393">
        <v>0</v>
      </c>
      <c r="D32" s="393">
        <v>0</v>
      </c>
      <c r="E32" s="393">
        <v>0</v>
      </c>
      <c r="F32" s="393">
        <v>36100</v>
      </c>
      <c r="G32" s="394">
        <v>0</v>
      </c>
      <c r="I32" s="430"/>
    </row>
    <row r="33" spans="1:12" x14ac:dyDescent="0.25">
      <c r="A33" s="641" t="s">
        <v>34</v>
      </c>
      <c r="B33" s="843">
        <f>62879+290000+1660000</f>
        <v>2012879</v>
      </c>
      <c r="C33" s="393">
        <f>248814+9918</f>
        <v>258732</v>
      </c>
      <c r="D33" s="393">
        <f>+C33+B33</f>
        <v>2271611</v>
      </c>
      <c r="E33" s="393">
        <v>0</v>
      </c>
      <c r="F33" s="393">
        <v>0</v>
      </c>
      <c r="G33" s="393">
        <v>0</v>
      </c>
      <c r="I33" s="430"/>
    </row>
    <row r="34" spans="1:12" x14ac:dyDescent="0.25">
      <c r="A34" s="404" t="s">
        <v>35</v>
      </c>
      <c r="B34" s="393"/>
      <c r="C34" s="393"/>
      <c r="D34" s="393"/>
      <c r="E34" s="393"/>
      <c r="F34" s="393"/>
      <c r="G34" s="393"/>
      <c r="I34" s="430"/>
    </row>
    <row r="35" spans="1:12" x14ac:dyDescent="0.25">
      <c r="A35" s="639" t="s">
        <v>36</v>
      </c>
      <c r="B35" s="615">
        <f>879037+19328-38656-63280+44777</f>
        <v>841206</v>
      </c>
      <c r="C35" s="393">
        <v>826542</v>
      </c>
      <c r="D35" s="393">
        <f>SUM(B35:C35)</f>
        <v>1667748</v>
      </c>
      <c r="E35" s="615">
        <f>69029+300000-10000-290000</f>
        <v>69029</v>
      </c>
      <c r="F35" s="393">
        <f>40000+4560</f>
        <v>44560</v>
      </c>
      <c r="G35" s="393">
        <v>2287</v>
      </c>
      <c r="I35" s="430"/>
    </row>
    <row r="36" spans="1:12" x14ac:dyDescent="0.25">
      <c r="A36" s="639" t="s">
        <v>37</v>
      </c>
      <c r="B36" s="617">
        <f>13029037-859709+300000-50585-52578+(0.95*1046861+0.95*(-908618+11714-61382+118419+3489126+431687+878153-3)+0.95*(-945111)-1)+(101424+201632-101424+202959-201632)+0.95*1474358+(2075808)-(218892)+(222672)+(15933)-209309+216759</f>
        <v>19930537.800000001</v>
      </c>
      <c r="C36" s="421">
        <f>2186121-624-981+(0.05*1046861+0.05*(-908618+11714-61382+118419+3489126+431687+878153-3)+0.05*(-945111))+(0.05*1474358)+(109253)</f>
        <v>2570529.1999999997</v>
      </c>
      <c r="D36" s="421">
        <f>SUM(B36:C36)</f>
        <v>22501067</v>
      </c>
      <c r="E36" s="624">
        <f>1000000+948724+4560-369029+10000+(1526802)-658724</f>
        <v>2462333</v>
      </c>
      <c r="F36" s="427">
        <v>2424</v>
      </c>
      <c r="G36" s="427">
        <f>42565+6699</f>
        <v>49264</v>
      </c>
      <c r="I36" s="430"/>
      <c r="J36" s="396"/>
    </row>
    <row r="37" spans="1:12" x14ac:dyDescent="0.25">
      <c r="A37" s="639" t="s">
        <v>38</v>
      </c>
      <c r="B37" s="421">
        <f t="shared" ref="B37:G37" si="2">SUM(B35:B36)</f>
        <v>20771743.800000001</v>
      </c>
      <c r="C37" s="421">
        <f t="shared" si="2"/>
        <v>3397071.1999999997</v>
      </c>
      <c r="D37" s="421">
        <f t="shared" si="2"/>
        <v>24168815</v>
      </c>
      <c r="E37" s="421">
        <f t="shared" si="2"/>
        <v>2531362</v>
      </c>
      <c r="F37" s="421">
        <f t="shared" si="2"/>
        <v>46984</v>
      </c>
      <c r="G37" s="421">
        <f t="shared" si="2"/>
        <v>51551</v>
      </c>
      <c r="I37" s="430"/>
    </row>
    <row r="38" spans="1:12" x14ac:dyDescent="0.25">
      <c r="A38" s="428" t="s">
        <v>39</v>
      </c>
      <c r="B38" s="415">
        <f t="shared" ref="B38:G38" si="3">SUM(B29:B36)</f>
        <v>27116385.800000001</v>
      </c>
      <c r="C38" s="415">
        <f t="shared" si="3"/>
        <v>3700084.1999999997</v>
      </c>
      <c r="D38" s="421">
        <f t="shared" si="3"/>
        <v>30816470</v>
      </c>
      <c r="E38" s="431">
        <f t="shared" si="3"/>
        <v>5969068</v>
      </c>
      <c r="F38" s="431">
        <f t="shared" si="3"/>
        <v>111655</v>
      </c>
      <c r="G38" s="431">
        <f t="shared" si="3"/>
        <v>61115</v>
      </c>
      <c r="H38" s="405"/>
      <c r="I38" s="430"/>
      <c r="J38" s="405"/>
      <c r="K38" s="405"/>
      <c r="L38" s="405"/>
    </row>
    <row r="39" spans="1:12" x14ac:dyDescent="0.25">
      <c r="E39" s="419"/>
      <c r="F39" s="419"/>
      <c r="G39" s="419"/>
      <c r="I39" s="430"/>
    </row>
    <row r="40" spans="1:12" x14ac:dyDescent="0.25">
      <c r="A40" s="38" t="s">
        <v>40</v>
      </c>
      <c r="B40" s="617">
        <f>332403-3000+0.95*(183819+3914355-36837-782871)+689-138+0.95*(3332+70980-37672-800616+28534+62202-3408+168360-34929-74312-2103811)+57-129+2366-740-57-422+(1021)+0.95*(1260+26875+1493-6088-38094-809574-35320-3408-11714+61382-8967+2+484661-1)+(24+99+227-137-784+5979-1841+202+4710-60-942+4-3655)+0.95*(-60464-12375)+(-839-1007)+(5760-1021)+0.95*(137364+406032+548)+4+(3220-1715)+(74158-78486)-1-5501+4222+391502</f>
        <v>1382373.0999999996</v>
      </c>
      <c r="C40" s="421">
        <f>0.05*(183819+3914355-36837-782871)+0.05*(3332+70980-37672-800616+28534+62202-3408+168360-34929-74312-2103811)+0.05*(1260+26875+1493-6088-38094-809574-35320-3408-11714+61382-8967+2+484661-1)+0.05*(-60464-12375)+0.05*(137364+406032+548)+(3903-4131)</f>
        <v>34308.900000000016</v>
      </c>
      <c r="D40" s="421">
        <f>SUM(B40:C40)</f>
        <v>1416681.9999999995</v>
      </c>
      <c r="E40" s="421">
        <f>294961+6281091-59110-1256218+(370838-54944-1167665+5816-48601+245546-50943-16626-142395-3422533)-1</f>
        <v>979216</v>
      </c>
      <c r="F40" s="421">
        <f>459+9782-1956-92+(433-87-1853+390-81-19-433-5283)</f>
        <v>1260</v>
      </c>
      <c r="G40" s="421">
        <v>4572</v>
      </c>
      <c r="H40" s="396"/>
      <c r="I40" s="430"/>
    </row>
    <row r="41" spans="1:12" x14ac:dyDescent="0.25">
      <c r="A41" s="38"/>
      <c r="E41" s="419"/>
      <c r="F41" s="419"/>
      <c r="G41" s="419"/>
      <c r="H41" s="396"/>
      <c r="I41" s="430"/>
    </row>
    <row r="42" spans="1:12" x14ac:dyDescent="0.25">
      <c r="A42" s="38" t="s">
        <v>41</v>
      </c>
      <c r="E42" s="419"/>
      <c r="F42" s="419"/>
      <c r="G42" s="419"/>
      <c r="I42" s="430"/>
    </row>
    <row r="43" spans="1:12" x14ac:dyDescent="0.25">
      <c r="A43" s="641" t="s">
        <v>42</v>
      </c>
      <c r="B43" s="393">
        <f>13772631-5796715+2895000</f>
        <v>10870916</v>
      </c>
      <c r="C43" s="393">
        <v>6814349</v>
      </c>
      <c r="D43" s="393">
        <f>SUM(B43:C43)</f>
        <v>17685265</v>
      </c>
      <c r="E43" s="424">
        <f>24539545-438000-1510724</f>
        <v>22590821</v>
      </c>
      <c r="F43" s="419">
        <v>87375</v>
      </c>
      <c r="G43" s="393">
        <v>0</v>
      </c>
      <c r="H43" s="432"/>
      <c r="I43" s="430"/>
    </row>
    <row r="44" spans="1:12" x14ac:dyDescent="0.25">
      <c r="A44" s="404" t="s">
        <v>43</v>
      </c>
      <c r="B44" s="393"/>
      <c r="C44" s="393"/>
      <c r="D44" s="393"/>
      <c r="E44" s="424"/>
      <c r="F44" s="419"/>
      <c r="G44" s="419"/>
      <c r="I44" s="430"/>
    </row>
    <row r="45" spans="1:12" x14ac:dyDescent="0.25">
      <c r="A45" s="639" t="s">
        <v>44</v>
      </c>
      <c r="B45" s="393">
        <v>1783</v>
      </c>
      <c r="C45" s="393">
        <v>0</v>
      </c>
      <c r="D45" s="393">
        <f t="shared" ref="D45:D52" si="4">SUM(B45:C45)</f>
        <v>1783</v>
      </c>
      <c r="E45" s="393">
        <v>0</v>
      </c>
      <c r="F45" s="393">
        <v>20485</v>
      </c>
      <c r="G45" s="393">
        <v>0</v>
      </c>
      <c r="I45" s="430"/>
    </row>
    <row r="46" spans="1:12" x14ac:dyDescent="0.25">
      <c r="A46" s="639" t="s">
        <v>45</v>
      </c>
      <c r="B46" s="393">
        <f>558550+2687</f>
        <v>561237</v>
      </c>
      <c r="C46" s="393">
        <v>0</v>
      </c>
      <c r="D46" s="393">
        <f t="shared" si="4"/>
        <v>561237</v>
      </c>
      <c r="E46" s="393">
        <v>0</v>
      </c>
      <c r="F46" s="393">
        <v>0</v>
      </c>
      <c r="G46" s="393">
        <v>0</v>
      </c>
      <c r="H46" s="396"/>
      <c r="I46" s="430"/>
    </row>
    <row r="47" spans="1:12" x14ac:dyDescent="0.25">
      <c r="A47" s="639" t="s">
        <v>46</v>
      </c>
      <c r="B47" s="393">
        <v>46346</v>
      </c>
      <c r="C47" s="393">
        <v>0</v>
      </c>
      <c r="D47" s="393">
        <f t="shared" si="4"/>
        <v>46346</v>
      </c>
      <c r="E47" s="393">
        <v>0</v>
      </c>
      <c r="F47" s="393">
        <v>0</v>
      </c>
      <c r="G47" s="393">
        <v>0</v>
      </c>
      <c r="H47" s="396"/>
      <c r="I47" s="430"/>
    </row>
    <row r="48" spans="1:12" x14ac:dyDescent="0.25">
      <c r="A48" s="639" t="s">
        <v>47</v>
      </c>
      <c r="B48" s="393">
        <v>17285</v>
      </c>
      <c r="C48" s="393">
        <v>0</v>
      </c>
      <c r="D48" s="393">
        <f t="shared" si="4"/>
        <v>17285</v>
      </c>
      <c r="E48" s="393">
        <v>0</v>
      </c>
      <c r="F48" s="393">
        <v>0</v>
      </c>
      <c r="G48" s="393">
        <v>0</v>
      </c>
      <c r="I48" s="430"/>
    </row>
    <row r="49" spans="1:9" x14ac:dyDescent="0.25">
      <c r="A49" s="639" t="s">
        <v>48</v>
      </c>
      <c r="B49" s="393">
        <v>107516</v>
      </c>
      <c r="C49" s="393">
        <v>0</v>
      </c>
      <c r="D49" s="393">
        <f t="shared" si="4"/>
        <v>107516</v>
      </c>
      <c r="E49" s="393">
        <v>0</v>
      </c>
      <c r="F49" s="393">
        <v>0</v>
      </c>
      <c r="G49" s="393">
        <v>0</v>
      </c>
      <c r="I49" s="430"/>
    </row>
    <row r="50" spans="1:9" x14ac:dyDescent="0.25">
      <c r="A50" s="639" t="s">
        <v>49</v>
      </c>
      <c r="B50" s="393">
        <f>'Balance Sheet Exh 3'!E35</f>
        <v>4159606</v>
      </c>
      <c r="C50" s="393">
        <v>0</v>
      </c>
      <c r="D50" s="393">
        <f t="shared" si="4"/>
        <v>4159606</v>
      </c>
      <c r="E50" s="393">
        <v>0</v>
      </c>
      <c r="F50" s="393">
        <v>0</v>
      </c>
      <c r="G50" s="393">
        <v>19958</v>
      </c>
      <c r="H50" s="396"/>
      <c r="I50" s="430"/>
    </row>
    <row r="51" spans="1:9" x14ac:dyDescent="0.25">
      <c r="A51" s="639" t="s">
        <v>50</v>
      </c>
      <c r="B51" s="393">
        <v>0</v>
      </c>
      <c r="C51" s="393">
        <v>0</v>
      </c>
      <c r="D51" s="393">
        <f t="shared" si="4"/>
        <v>0</v>
      </c>
      <c r="E51" s="393">
        <v>0</v>
      </c>
      <c r="F51" s="393">
        <v>42879</v>
      </c>
      <c r="G51" s="393">
        <v>0</v>
      </c>
      <c r="I51" s="430"/>
    </row>
    <row r="52" spans="1:9" x14ac:dyDescent="0.25">
      <c r="A52" s="404" t="s">
        <v>51</v>
      </c>
      <c r="B52" s="617">
        <f>B24+B26-B38-B40-SUM(B43:B50)</f>
        <v>36695.950000001118</v>
      </c>
      <c r="C52" s="421">
        <f>C24+C26-C38-C40-SUM(C43:C51)-3</f>
        <v>149565</v>
      </c>
      <c r="D52" s="421">
        <f t="shared" si="4"/>
        <v>186260.95000000112</v>
      </c>
      <c r="E52" s="426">
        <f>+E24-E38-E43+E26-E40</f>
        <v>14768226</v>
      </c>
      <c r="F52" s="426">
        <f>+F24+F26-F38-F45-F43-F51-F40</f>
        <v>246709</v>
      </c>
      <c r="G52" s="426">
        <v>663943</v>
      </c>
      <c r="H52" s="594"/>
      <c r="I52" s="430"/>
    </row>
    <row r="53" spans="1:9" ht="13.8" thickBot="1" x14ac:dyDescent="0.3">
      <c r="A53" s="404" t="s">
        <v>52</v>
      </c>
      <c r="B53" s="392">
        <f t="shared" ref="B53:G53" si="5">SUM(B43:B52)</f>
        <v>15801384.950000001</v>
      </c>
      <c r="C53" s="392">
        <f t="shared" si="5"/>
        <v>6963914</v>
      </c>
      <c r="D53" s="392">
        <f t="shared" si="5"/>
        <v>22765298.950000003</v>
      </c>
      <c r="E53" s="392">
        <f t="shared" si="5"/>
        <v>37359047</v>
      </c>
      <c r="F53" s="392">
        <f t="shared" si="5"/>
        <v>397448</v>
      </c>
      <c r="G53" s="392">
        <f t="shared" si="5"/>
        <v>683901</v>
      </c>
      <c r="H53" s="430"/>
      <c r="I53" s="430"/>
    </row>
    <row r="54" spans="1:9" ht="13.8" thickTop="1" x14ac:dyDescent="0.25">
      <c r="B54" s="413"/>
      <c r="C54" s="413"/>
      <c r="D54" s="413"/>
      <c r="E54" s="413"/>
      <c r="F54" s="413"/>
      <c r="H54" s="430"/>
    </row>
    <row r="55" spans="1:9" x14ac:dyDescent="0.25">
      <c r="B55" s="806"/>
      <c r="C55" s="413"/>
      <c r="D55" s="413"/>
      <c r="E55" s="413"/>
      <c r="F55" s="413"/>
      <c r="G55" s="396"/>
      <c r="H55" s="430"/>
    </row>
    <row r="56" spans="1:9" ht="13.8" thickBot="1" x14ac:dyDescent="0.3">
      <c r="I56" s="430"/>
    </row>
    <row r="57" spans="1:9" ht="30.75" customHeight="1" x14ac:dyDescent="0.25">
      <c r="A57" s="861" t="s">
        <v>53</v>
      </c>
      <c r="B57" s="862"/>
      <c r="C57" s="862"/>
      <c r="D57" s="862"/>
      <c r="E57" s="862"/>
      <c r="F57" s="863"/>
    </row>
    <row r="58" spans="1:9" x14ac:dyDescent="0.25">
      <c r="A58" s="851" t="s">
        <v>54</v>
      </c>
      <c r="B58" s="852"/>
      <c r="C58" s="852"/>
      <c r="D58" s="852"/>
      <c r="E58" s="852"/>
      <c r="F58" s="853"/>
      <c r="H58" s="396"/>
    </row>
    <row r="59" spans="1:9" ht="13.8" thickBot="1" x14ac:dyDescent="0.3">
      <c r="A59" s="854"/>
      <c r="B59" s="855"/>
      <c r="C59" s="855"/>
      <c r="D59" s="855"/>
      <c r="E59" s="855"/>
      <c r="F59" s="856"/>
    </row>
    <row r="61" spans="1:9" x14ac:dyDescent="0.25">
      <c r="A61" s="404" t="s">
        <v>55</v>
      </c>
    </row>
    <row r="62" spans="1:9" x14ac:dyDescent="0.25">
      <c r="H62" s="396"/>
    </row>
    <row r="63" spans="1:9" x14ac:dyDescent="0.25">
      <c r="A63" s="417" t="s">
        <v>56</v>
      </c>
      <c r="B63" s="396">
        <f>'GWStmtAct 68 Exh 2'!F51</f>
        <v>15801384.949999999</v>
      </c>
      <c r="C63" s="396">
        <f>'GWStmtAct 68 Exh 2'!G51</f>
        <v>6963913.75</v>
      </c>
      <c r="D63" s="396">
        <f>'GWStmtAct 68 Exh 2'!H51</f>
        <v>22765298.699999999</v>
      </c>
      <c r="E63" s="396">
        <f>'GWStmtAct 68 Exh 2'!I51</f>
        <v>37359047</v>
      </c>
      <c r="F63" s="396">
        <f>'GWStmtAct 68 Exh 2'!J51</f>
        <v>397448</v>
      </c>
      <c r="G63" s="393">
        <f>'GWStmtAct 68 Exh 2'!K51</f>
        <v>683901</v>
      </c>
    </row>
    <row r="64" spans="1:9" x14ac:dyDescent="0.25">
      <c r="A64" s="512" t="s">
        <v>57</v>
      </c>
      <c r="B64" s="450">
        <f>B53-'GWStmtAct 68 Exh 2'!F51</f>
        <v>0</v>
      </c>
      <c r="C64" s="450">
        <f>C53-'GWStmtAct 68 Exh 2'!G51</f>
        <v>0.25</v>
      </c>
      <c r="D64" s="450">
        <f>D53-'GWStmtAct 68 Exh 2'!H51</f>
        <v>0.2500000037252903</v>
      </c>
      <c r="E64" s="393">
        <f>E53-'GWStmtAct 68 Exh 2'!I51</f>
        <v>0</v>
      </c>
      <c r="F64" s="393">
        <f>F53-'GWStmtAct 68 Exh 2'!J51</f>
        <v>0</v>
      </c>
      <c r="G64" s="393">
        <f>G53-'GWStmtAct 68 Exh 2'!K51</f>
        <v>0</v>
      </c>
    </row>
    <row r="65" spans="1:4" x14ac:dyDescent="0.25">
      <c r="A65" s="397"/>
    </row>
    <row r="67" spans="1:4" x14ac:dyDescent="0.25">
      <c r="C67" s="397"/>
    </row>
    <row r="68" spans="1:4" x14ac:dyDescent="0.25">
      <c r="C68" s="397"/>
    </row>
    <row r="69" spans="1:4" x14ac:dyDescent="0.25">
      <c r="D69" s="397"/>
    </row>
  </sheetData>
  <customSheetViews>
    <customSheetView guid="{A8748736-0722-49EB-85B6-C9B52DDCFE0E}" showPageBreaks="1" fitToPage="1" printArea="1">
      <selection activeCell="I20" sqref="I20"/>
      <pageMargins left="0.75" right="0.75" top="1" bottom="1" header="0.5" footer="0.5"/>
      <printOptions horizontalCentered="1"/>
      <pageSetup scale="70" firstPageNumber="27" fitToHeight="0" orientation="portrait" useFirstPageNumber="1" r:id="rId1"/>
      <headerFooter alignWithMargins="0"/>
    </customSheetView>
    <customSheetView guid="{E0C60316-4586-4AAF-92CB-FA82BB1EB755}" fitToPage="1">
      <selection activeCell="A4" sqref="A4:F4"/>
      <pageMargins left="0" right="0" top="0" bottom="0" header="0" footer="0"/>
      <printOptions horizontalCentered="1"/>
      <pageSetup scale="79" firstPageNumber="27" fitToHeight="0" orientation="portrait" useFirstPageNumber="1" r:id="rId2"/>
      <headerFooter alignWithMargins="0"/>
    </customSheetView>
  </customSheetViews>
  <mergeCells count="8">
    <mergeCell ref="A58:F59"/>
    <mergeCell ref="B7:D7"/>
    <mergeCell ref="A1:G1"/>
    <mergeCell ref="A2:G2"/>
    <mergeCell ref="A3:G3"/>
    <mergeCell ref="A4:G4"/>
    <mergeCell ref="E7:G7"/>
    <mergeCell ref="A57:F57"/>
  </mergeCells>
  <printOptions horizontalCentered="1"/>
  <pageMargins left="0.75" right="0.75" top="1" bottom="1" header="0.5" footer="0.5"/>
  <pageSetup scale="70" firstPageNumber="27" fitToHeight="0" orientation="portrait" useFirstPageNumber="1" r:id="rId3"/>
  <headerFooter alignWithMargins="0"/>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89"/>
  <sheetViews>
    <sheetView workbookViewId="0"/>
  </sheetViews>
  <sheetFormatPr defaultColWidth="9.109375" defaultRowHeight="13.2" x14ac:dyDescent="0.25"/>
  <cols>
    <col min="1" max="2" width="3" style="404" customWidth="1"/>
    <col min="3" max="3" width="9.109375" style="404"/>
    <col min="4" max="4" width="22.33203125" style="404" customWidth="1"/>
    <col min="5" max="5" width="14.5546875" style="404" bestFit="1" customWidth="1"/>
    <col min="6" max="6" width="15.6640625" style="404" bestFit="1" customWidth="1"/>
    <col min="7" max="7" width="2.88671875" style="404" customWidth="1"/>
    <col min="8" max="8" width="12.88671875" style="404" customWidth="1"/>
    <col min="9" max="9" width="15.6640625" style="404" bestFit="1" customWidth="1"/>
    <col min="10" max="10" width="14.88671875" style="404" hidden="1" customWidth="1"/>
    <col min="11" max="11" width="12.109375" style="404" bestFit="1" customWidth="1"/>
    <col min="12" max="12" width="14.88671875" style="404" bestFit="1" customWidth="1"/>
    <col min="13" max="13" width="12.109375" style="404" bestFit="1" customWidth="1"/>
    <col min="14" max="14" width="10.88671875" style="404" bestFit="1" customWidth="1"/>
    <col min="15" max="15" width="13.88671875" style="404" bestFit="1" customWidth="1"/>
    <col min="16" max="17" width="11.109375" style="404" bestFit="1" customWidth="1"/>
    <col min="18" max="18" width="13.88671875" style="404" bestFit="1" customWidth="1"/>
    <col min="19" max="16384" width="9.109375" style="404"/>
  </cols>
  <sheetData>
    <row r="1" spans="1:11" x14ac:dyDescent="0.25">
      <c r="I1" s="635" t="s">
        <v>294</v>
      </c>
    </row>
    <row r="2" spans="1:11" x14ac:dyDescent="0.25">
      <c r="A2" s="34" t="s">
        <v>1</v>
      </c>
      <c r="B2" s="34"/>
      <c r="C2" s="34"/>
      <c r="D2" s="34"/>
      <c r="E2" s="34"/>
      <c r="F2" s="34"/>
      <c r="G2" s="34"/>
      <c r="H2" s="34"/>
      <c r="I2" s="34"/>
    </row>
    <row r="3" spans="1:11" x14ac:dyDescent="0.25">
      <c r="A3" s="34" t="s">
        <v>295</v>
      </c>
      <c r="B3" s="445"/>
      <c r="C3" s="445"/>
      <c r="D3" s="445"/>
      <c r="E3" s="445"/>
      <c r="F3" s="445"/>
      <c r="G3" s="445"/>
      <c r="H3" s="445"/>
      <c r="I3" s="445"/>
    </row>
    <row r="4" spans="1:11" x14ac:dyDescent="0.25">
      <c r="A4" s="34" t="s">
        <v>296</v>
      </c>
      <c r="B4" s="445"/>
      <c r="C4" s="445"/>
      <c r="D4" s="445"/>
      <c r="E4" s="445"/>
      <c r="F4" s="445"/>
      <c r="G4" s="445"/>
      <c r="H4" s="445"/>
      <c r="I4" s="445"/>
    </row>
    <row r="5" spans="1:11" x14ac:dyDescent="0.25">
      <c r="A5" s="34" t="str">
        <f>'GWStmtAct 68 Exh 2'!A4</f>
        <v>For the Year Ended June 30, 2022</v>
      </c>
      <c r="B5" s="445"/>
      <c r="C5" s="445"/>
      <c r="D5" s="445"/>
      <c r="E5" s="445"/>
      <c r="F5" s="445"/>
      <c r="G5" s="445"/>
      <c r="H5" s="445"/>
      <c r="I5" s="445"/>
    </row>
    <row r="6" spans="1:11" x14ac:dyDescent="0.25">
      <c r="A6" s="445"/>
      <c r="B6" s="445"/>
      <c r="C6" s="445"/>
      <c r="D6" s="445"/>
      <c r="E6" s="451"/>
      <c r="F6" s="451"/>
      <c r="G6" s="451"/>
      <c r="H6" s="451"/>
      <c r="I6" s="445"/>
    </row>
    <row r="7" spans="1:11" x14ac:dyDescent="0.25">
      <c r="E7" s="39" t="s">
        <v>112</v>
      </c>
      <c r="F7" s="39"/>
      <c r="H7" s="39" t="s">
        <v>113</v>
      </c>
      <c r="I7" s="38"/>
    </row>
    <row r="8" spans="1:11" x14ac:dyDescent="0.25">
      <c r="E8" s="38"/>
      <c r="F8" s="636" t="s">
        <v>297</v>
      </c>
      <c r="G8" s="636"/>
      <c r="H8" s="636" t="s">
        <v>297</v>
      </c>
      <c r="I8" s="40"/>
    </row>
    <row r="9" spans="1:11" x14ac:dyDescent="0.25">
      <c r="E9" s="636" t="s">
        <v>78</v>
      </c>
      <c r="F9" s="636" t="s">
        <v>298</v>
      </c>
      <c r="G9" s="636"/>
      <c r="H9" s="636" t="s">
        <v>298</v>
      </c>
      <c r="I9" s="636"/>
    </row>
    <row r="10" spans="1:11" x14ac:dyDescent="0.25">
      <c r="E10" s="41" t="s">
        <v>299</v>
      </c>
      <c r="F10" s="41" t="s">
        <v>300</v>
      </c>
      <c r="G10" s="634"/>
      <c r="H10" s="634" t="s">
        <v>301</v>
      </c>
      <c r="I10" s="634" t="s">
        <v>8</v>
      </c>
    </row>
    <row r="12" spans="1:11" x14ac:dyDescent="0.25">
      <c r="A12" s="42" t="s">
        <v>302</v>
      </c>
    </row>
    <row r="13" spans="1:11" x14ac:dyDescent="0.25">
      <c r="B13" s="637" t="s">
        <v>303</v>
      </c>
      <c r="E13" s="414">
        <v>234689</v>
      </c>
      <c r="F13" s="414">
        <f>786203-H13</f>
        <v>780356</v>
      </c>
      <c r="G13" s="414"/>
      <c r="H13" s="414">
        <v>5847</v>
      </c>
      <c r="I13" s="414">
        <f t="shared" ref="I13:I18" si="0">SUM(E13:H13)</f>
        <v>1020892</v>
      </c>
    </row>
    <row r="14" spans="1:11" x14ac:dyDescent="0.25">
      <c r="B14" s="637" t="s">
        <v>304</v>
      </c>
      <c r="E14" s="393">
        <f>-31613</f>
        <v>-31613</v>
      </c>
      <c r="F14" s="393">
        <f>-146553-H14</f>
        <v>-147698</v>
      </c>
      <c r="G14" s="393"/>
      <c r="H14" s="393">
        <v>1145</v>
      </c>
      <c r="I14" s="393">
        <f t="shared" si="0"/>
        <v>-178166</v>
      </c>
    </row>
    <row r="15" spans="1:11" x14ac:dyDescent="0.25">
      <c r="B15" s="637" t="s">
        <v>305</v>
      </c>
      <c r="E15" s="393">
        <f>-72652-1001000*0.05*0.32-(43000)*0.05*0.32-0.028-20565</f>
        <v>-109921.02800000001</v>
      </c>
      <c r="F15" s="393">
        <f>-123241+2610-1001000*0.05*0.67-(43000)*0.05*0.68-0.072-43059</f>
        <v>-198685.57199999999</v>
      </c>
      <c r="G15" s="393"/>
      <c r="H15" s="393">
        <f>-2610-1001000*0.05*0.01-643</f>
        <v>-3753.5</v>
      </c>
      <c r="I15" s="393">
        <f t="shared" si="0"/>
        <v>-312360.09999999998</v>
      </c>
      <c r="K15" s="396"/>
    </row>
    <row r="16" spans="1:11" x14ac:dyDescent="0.25">
      <c r="B16" s="637" t="s">
        <v>306</v>
      </c>
      <c r="E16" s="395">
        <v>0</v>
      </c>
      <c r="F16" s="393">
        <v>1800</v>
      </c>
      <c r="G16" s="393"/>
      <c r="H16" s="393">
        <v>6549</v>
      </c>
      <c r="I16" s="393">
        <f t="shared" si="0"/>
        <v>8349</v>
      </c>
    </row>
    <row r="17" spans="1:12" x14ac:dyDescent="0.25">
      <c r="B17" s="637" t="s">
        <v>307</v>
      </c>
      <c r="E17" s="395">
        <v>0</v>
      </c>
      <c r="F17" s="393">
        <f>-8932-1800</f>
        <v>-10732</v>
      </c>
      <c r="G17" s="393"/>
      <c r="H17" s="393">
        <v>-800</v>
      </c>
      <c r="I17" s="393">
        <f t="shared" si="0"/>
        <v>-11532</v>
      </c>
    </row>
    <row r="18" spans="1:12" x14ac:dyDescent="0.25">
      <c r="B18" s="637" t="s">
        <v>308</v>
      </c>
      <c r="E18" s="421">
        <v>100</v>
      </c>
      <c r="F18" s="421">
        <f>530-H18</f>
        <v>430</v>
      </c>
      <c r="G18" s="421"/>
      <c r="H18" s="421">
        <v>100</v>
      </c>
      <c r="I18" s="421">
        <f t="shared" si="0"/>
        <v>630</v>
      </c>
    </row>
    <row r="19" spans="1:12" ht="27" customHeight="1" x14ac:dyDescent="0.25">
      <c r="C19" s="890" t="s">
        <v>309</v>
      </c>
      <c r="D19" s="891"/>
      <c r="E19" s="421">
        <f>SUM(E13:E18)</f>
        <v>93254.971999999994</v>
      </c>
      <c r="F19" s="421">
        <f>SUM(F13:F18)</f>
        <v>425470.42800000001</v>
      </c>
      <c r="G19" s="421"/>
      <c r="H19" s="421">
        <f>SUM(H13:H18)</f>
        <v>9087.5</v>
      </c>
      <c r="I19" s="421">
        <f>SUM(E19:H19)</f>
        <v>527812.9</v>
      </c>
      <c r="L19" s="396"/>
    </row>
    <row r="20" spans="1:12" x14ac:dyDescent="0.25">
      <c r="E20" s="393"/>
      <c r="F20" s="393"/>
      <c r="G20" s="393"/>
      <c r="H20" s="393"/>
      <c r="I20" s="393"/>
    </row>
    <row r="21" spans="1:12" ht="13.5" customHeight="1" x14ac:dyDescent="0.25">
      <c r="A21" s="892" t="s">
        <v>310</v>
      </c>
      <c r="B21" s="892"/>
      <c r="C21" s="892"/>
      <c r="D21" s="892"/>
      <c r="E21" s="393"/>
      <c r="F21" s="393"/>
      <c r="G21" s="393"/>
      <c r="H21" s="393"/>
      <c r="I21" s="393"/>
    </row>
    <row r="22" spans="1:12" x14ac:dyDescent="0.25">
      <c r="B22" s="404" t="s">
        <v>311</v>
      </c>
      <c r="E22" s="421">
        <v>0</v>
      </c>
      <c r="F22" s="421">
        <v>100000</v>
      </c>
      <c r="G22" s="421"/>
      <c r="H22" s="421">
        <v>0</v>
      </c>
      <c r="I22" s="421">
        <f>SUM(E22:H22)</f>
        <v>100000</v>
      </c>
    </row>
    <row r="23" spans="1:12" x14ac:dyDescent="0.25">
      <c r="E23" s="393"/>
      <c r="F23" s="393"/>
      <c r="G23" s="393"/>
      <c r="H23" s="393"/>
      <c r="I23" s="393"/>
    </row>
    <row r="24" spans="1:12" x14ac:dyDescent="0.25">
      <c r="A24" s="42" t="s">
        <v>312</v>
      </c>
      <c r="E24" s="393"/>
      <c r="F24" s="393"/>
      <c r="G24" s="393"/>
      <c r="H24" s="393"/>
      <c r="I24" s="393"/>
    </row>
    <row r="25" spans="1:12" x14ac:dyDescent="0.25">
      <c r="A25" s="42" t="s">
        <v>313</v>
      </c>
      <c r="E25" s="393"/>
      <c r="F25" s="393"/>
      <c r="G25" s="393"/>
      <c r="H25" s="393"/>
      <c r="I25" s="393"/>
    </row>
    <row r="26" spans="1:12" x14ac:dyDescent="0.25">
      <c r="B26" s="637" t="s">
        <v>314</v>
      </c>
      <c r="E26" s="395">
        <v>0</v>
      </c>
      <c r="F26" s="393">
        <v>375000</v>
      </c>
      <c r="G26" s="393"/>
      <c r="H26" s="393">
        <v>300000</v>
      </c>
      <c r="I26" s="393">
        <f>SUM(E26:H26)</f>
        <v>675000</v>
      </c>
    </row>
    <row r="27" spans="1:12" x14ac:dyDescent="0.25">
      <c r="B27" s="637" t="s">
        <v>315</v>
      </c>
      <c r="E27" s="393"/>
      <c r="F27" s="393"/>
      <c r="G27" s="393"/>
      <c r="H27" s="393"/>
      <c r="I27" s="393"/>
    </row>
    <row r="28" spans="1:12" x14ac:dyDescent="0.25">
      <c r="B28" s="637" t="s">
        <v>316</v>
      </c>
      <c r="E28" s="393">
        <v>-46559</v>
      </c>
      <c r="F28" s="393">
        <f>-1272977-H28</f>
        <v>-977081</v>
      </c>
      <c r="G28" s="393"/>
      <c r="H28" s="393">
        <f>-303590+11694-4000</f>
        <v>-295896</v>
      </c>
      <c r="I28" s="393">
        <f>SUM(E28:H28)</f>
        <v>-1319536</v>
      </c>
    </row>
    <row r="29" spans="1:12" x14ac:dyDescent="0.25">
      <c r="B29" s="637" t="s">
        <v>317</v>
      </c>
      <c r="E29" s="393"/>
      <c r="F29" s="393"/>
      <c r="G29" s="393"/>
      <c r="H29" s="393"/>
      <c r="I29" s="393"/>
    </row>
    <row r="30" spans="1:12" x14ac:dyDescent="0.25">
      <c r="B30" s="637" t="s">
        <v>318</v>
      </c>
      <c r="E30" s="395">
        <v>0</v>
      </c>
      <c r="F30" s="393">
        <v>-250000</v>
      </c>
      <c r="G30" s="393"/>
      <c r="H30" s="393">
        <v>0</v>
      </c>
      <c r="I30" s="393">
        <f>SUM(E30:H30)</f>
        <v>-250000</v>
      </c>
    </row>
    <row r="31" spans="1:12" x14ac:dyDescent="0.25">
      <c r="B31" s="637" t="s">
        <v>319</v>
      </c>
      <c r="E31" s="393"/>
      <c r="F31" s="393"/>
      <c r="G31" s="393"/>
      <c r="H31" s="393"/>
      <c r="I31" s="393"/>
    </row>
    <row r="32" spans="1:12" x14ac:dyDescent="0.25">
      <c r="B32" s="637" t="s">
        <v>318</v>
      </c>
      <c r="E32" s="395">
        <v>0</v>
      </c>
      <c r="F32" s="393">
        <v>-99144</v>
      </c>
      <c r="G32" s="393"/>
      <c r="H32" s="393">
        <v>0</v>
      </c>
      <c r="I32" s="393">
        <f>SUM(E32:H32)</f>
        <v>-99144</v>
      </c>
    </row>
    <row r="33" spans="1:15" x14ac:dyDescent="0.25">
      <c r="B33" s="637" t="s">
        <v>320</v>
      </c>
      <c r="E33" s="452">
        <v>0</v>
      </c>
      <c r="F33" s="421">
        <f>125348-H33</f>
        <v>121348</v>
      </c>
      <c r="G33" s="421"/>
      <c r="H33" s="421">
        <v>4000</v>
      </c>
      <c r="I33" s="421">
        <f>SUM(E33:H33)</f>
        <v>125348</v>
      </c>
    </row>
    <row r="34" spans="1:15" x14ac:dyDescent="0.25">
      <c r="C34" s="637" t="s">
        <v>321</v>
      </c>
      <c r="E34" s="393"/>
      <c r="F34" s="393"/>
      <c r="G34" s="393"/>
      <c r="H34" s="393"/>
      <c r="I34" s="393"/>
    </row>
    <row r="35" spans="1:15" x14ac:dyDescent="0.25">
      <c r="C35" s="637" t="s">
        <v>322</v>
      </c>
      <c r="E35" s="453">
        <f>SUM(E26:E33)</f>
        <v>-46559</v>
      </c>
      <c r="F35" s="453">
        <f>SUM(F26:F33)</f>
        <v>-829877</v>
      </c>
      <c r="G35" s="421"/>
      <c r="H35" s="453">
        <f>SUM(H26:H33)</f>
        <v>8104</v>
      </c>
      <c r="I35" s="453">
        <f>SUM(I26:I33)</f>
        <v>-868332</v>
      </c>
    </row>
    <row r="36" spans="1:15" x14ac:dyDescent="0.25">
      <c r="E36" s="393"/>
      <c r="F36" s="393"/>
      <c r="G36" s="393"/>
      <c r="H36" s="393"/>
      <c r="I36" s="393"/>
    </row>
    <row r="37" spans="1:15" x14ac:dyDescent="0.25">
      <c r="A37" s="42" t="s">
        <v>323</v>
      </c>
      <c r="E37" s="393"/>
      <c r="F37" s="393"/>
      <c r="G37" s="393"/>
      <c r="H37" s="393"/>
      <c r="I37" s="393"/>
    </row>
    <row r="38" spans="1:15" x14ac:dyDescent="0.25">
      <c r="B38" s="637" t="s">
        <v>324</v>
      </c>
      <c r="E38" s="453">
        <v>917</v>
      </c>
      <c r="F38" s="453">
        <f>37205-H38</f>
        <v>37195</v>
      </c>
      <c r="G38" s="421"/>
      <c r="H38" s="421">
        <v>10</v>
      </c>
      <c r="I38" s="453">
        <f>SUM(E38:H38)</f>
        <v>38122</v>
      </c>
    </row>
    <row r="39" spans="1:15" x14ac:dyDescent="0.25">
      <c r="E39" s="393"/>
      <c r="F39" s="393"/>
      <c r="G39" s="393"/>
      <c r="H39" s="393"/>
      <c r="I39" s="393"/>
    </row>
    <row r="40" spans="1:15" x14ac:dyDescent="0.25">
      <c r="A40" s="42" t="s">
        <v>325</v>
      </c>
      <c r="B40" s="38"/>
      <c r="E40" s="393"/>
      <c r="F40" s="393"/>
      <c r="G40" s="393"/>
      <c r="H40" s="393"/>
      <c r="I40" s="393"/>
    </row>
    <row r="41" spans="1:15" x14ac:dyDescent="0.25">
      <c r="A41" s="38"/>
      <c r="B41" s="42" t="s">
        <v>326</v>
      </c>
      <c r="E41" s="393">
        <f>E38+E35+E22+E19</f>
        <v>47612.971999999994</v>
      </c>
      <c r="F41" s="393">
        <f>F38+F35+F22+F19</f>
        <v>-267211.57199999999</v>
      </c>
      <c r="G41" s="393"/>
      <c r="H41" s="393">
        <f>H38+H35+H22+H19</f>
        <v>17201.5</v>
      </c>
      <c r="I41" s="393">
        <f>I38+I35+I22+I19</f>
        <v>-202397.09999999998</v>
      </c>
    </row>
    <row r="42" spans="1:15" x14ac:dyDescent="0.25">
      <c r="E42" s="393"/>
      <c r="F42" s="393"/>
      <c r="G42" s="393"/>
      <c r="H42" s="393"/>
      <c r="I42" s="393"/>
    </row>
    <row r="43" spans="1:15" x14ac:dyDescent="0.25">
      <c r="A43" s="637" t="s">
        <v>327</v>
      </c>
      <c r="E43" s="453">
        <f>195298+3000+22033</f>
        <v>220331</v>
      </c>
      <c r="F43" s="453">
        <f>1750027+100000+32162+1</f>
        <v>1882190</v>
      </c>
      <c r="G43" s="421"/>
      <c r="H43" s="421">
        <v>0</v>
      </c>
      <c r="I43" s="453">
        <f>SUM(E43:H43)</f>
        <v>2102521</v>
      </c>
    </row>
    <row r="44" spans="1:15" ht="13.8" thickBot="1" x14ac:dyDescent="0.3">
      <c r="A44" s="637" t="s">
        <v>328</v>
      </c>
      <c r="E44" s="601">
        <f>SUM(E41:E43)</f>
        <v>267943.97200000001</v>
      </c>
      <c r="F44" s="601">
        <f>SUM(F41:F43)</f>
        <v>1614978.4280000001</v>
      </c>
      <c r="G44" s="454"/>
      <c r="H44" s="601">
        <f>SUM(H41:H43)</f>
        <v>17201.5</v>
      </c>
      <c r="I44" s="601">
        <f>SUM(I41:I43)</f>
        <v>1900123.9</v>
      </c>
      <c r="J44" s="430">
        <f>I44-'Net Pos-Prop Exh7'!F11-'Net Pos-Prop Exh7'!F18</f>
        <v>0.89999999990686774</v>
      </c>
      <c r="K44" s="430"/>
      <c r="L44" s="430"/>
      <c r="M44" s="439"/>
      <c r="N44" s="430"/>
      <c r="O44" s="430"/>
    </row>
    <row r="45" spans="1:15" ht="13.8" thickTop="1" x14ac:dyDescent="0.25">
      <c r="A45" s="637"/>
      <c r="E45" s="455"/>
      <c r="F45" s="455"/>
      <c r="G45" s="455"/>
      <c r="H45" s="455"/>
      <c r="I45" s="455"/>
    </row>
    <row r="46" spans="1:15" x14ac:dyDescent="0.25">
      <c r="I46" s="417" t="s">
        <v>329</v>
      </c>
    </row>
    <row r="47" spans="1:15" x14ac:dyDescent="0.25">
      <c r="I47" s="417"/>
    </row>
    <row r="48" spans="1:15" x14ac:dyDescent="0.25">
      <c r="I48" s="404" t="s">
        <v>329</v>
      </c>
    </row>
    <row r="49" spans="1:9" x14ac:dyDescent="0.25">
      <c r="E49" s="39" t="s">
        <v>112</v>
      </c>
      <c r="F49" s="39"/>
      <c r="H49" s="39" t="s">
        <v>113</v>
      </c>
      <c r="I49" s="38"/>
    </row>
    <row r="50" spans="1:9" x14ac:dyDescent="0.25">
      <c r="E50" s="38"/>
      <c r="F50" s="636" t="s">
        <v>297</v>
      </c>
      <c r="G50" s="636"/>
      <c r="H50" s="636" t="s">
        <v>297</v>
      </c>
      <c r="I50" s="40"/>
    </row>
    <row r="51" spans="1:9" x14ac:dyDescent="0.25">
      <c r="E51" s="636" t="s">
        <v>78</v>
      </c>
      <c r="F51" s="636" t="s">
        <v>298</v>
      </c>
      <c r="G51" s="636"/>
      <c r="H51" s="636" t="s">
        <v>298</v>
      </c>
      <c r="I51" s="636"/>
    </row>
    <row r="52" spans="1:9" x14ac:dyDescent="0.25">
      <c r="E52" s="41" t="s">
        <v>299</v>
      </c>
      <c r="F52" s="41" t="s">
        <v>300</v>
      </c>
      <c r="G52" s="634"/>
      <c r="H52" s="634" t="s">
        <v>301</v>
      </c>
      <c r="I52" s="634" t="s">
        <v>330</v>
      </c>
    </row>
    <row r="54" spans="1:9" x14ac:dyDescent="0.25">
      <c r="A54" s="42" t="s">
        <v>331</v>
      </c>
    </row>
    <row r="55" spans="1:9" x14ac:dyDescent="0.25">
      <c r="A55" s="42" t="s">
        <v>332</v>
      </c>
    </row>
    <row r="56" spans="1:9" x14ac:dyDescent="0.25">
      <c r="A56" s="42" t="s">
        <v>333</v>
      </c>
    </row>
    <row r="58" spans="1:9" x14ac:dyDescent="0.25">
      <c r="A58" s="637" t="s">
        <v>334</v>
      </c>
      <c r="E58" s="600">
        <f>'Rev, exp-Prop Exh 8'!B29</f>
        <v>-105214.52000000002</v>
      </c>
      <c r="F58" s="600">
        <f>'Rev, exp-Prop Exh 8'!C29</f>
        <v>210617.52000000002</v>
      </c>
      <c r="G58" s="421"/>
      <c r="H58" s="600">
        <f>'Rev, exp-Prop Exh 8'!E29</f>
        <v>3356</v>
      </c>
      <c r="I58" s="600">
        <f>SUM(E58:H58)</f>
        <v>108759</v>
      </c>
    </row>
    <row r="59" spans="1:9" x14ac:dyDescent="0.25">
      <c r="A59" s="637" t="s">
        <v>335</v>
      </c>
      <c r="E59" s="393"/>
      <c r="F59" s="393"/>
      <c r="G59" s="393"/>
      <c r="H59" s="393"/>
      <c r="I59" s="393"/>
    </row>
    <row r="60" spans="1:9" x14ac:dyDescent="0.25">
      <c r="A60" s="637" t="s">
        <v>336</v>
      </c>
      <c r="E60" s="393"/>
      <c r="F60" s="393"/>
      <c r="G60" s="393"/>
      <c r="H60" s="393"/>
      <c r="I60" s="393"/>
    </row>
    <row r="61" spans="1:9" x14ac:dyDescent="0.25">
      <c r="A61" s="637" t="s">
        <v>337</v>
      </c>
      <c r="E61" s="393"/>
      <c r="F61" s="393"/>
      <c r="G61" s="393"/>
      <c r="H61" s="393"/>
      <c r="I61" s="393"/>
    </row>
    <row r="62" spans="1:9" x14ac:dyDescent="0.25">
      <c r="B62" s="637" t="s">
        <v>281</v>
      </c>
      <c r="E62" s="393">
        <v>50241</v>
      </c>
      <c r="F62" s="393">
        <f>200963-1</f>
        <v>200962</v>
      </c>
      <c r="G62" s="393"/>
      <c r="H62" s="393">
        <v>0</v>
      </c>
      <c r="I62" s="393">
        <v>251202</v>
      </c>
    </row>
    <row r="63" spans="1:9" x14ac:dyDescent="0.25">
      <c r="B63" s="637" t="s">
        <v>338</v>
      </c>
      <c r="E63" s="395">
        <v>0</v>
      </c>
      <c r="F63" s="393">
        <v>650</v>
      </c>
      <c r="G63" s="393"/>
      <c r="H63" s="393">
        <v>0</v>
      </c>
      <c r="I63" s="393">
        <f>SUM(E63:H63)</f>
        <v>650</v>
      </c>
    </row>
    <row r="64" spans="1:9" x14ac:dyDescent="0.25">
      <c r="B64" s="637" t="s">
        <v>339</v>
      </c>
      <c r="E64" s="393"/>
      <c r="F64" s="393"/>
      <c r="G64" s="393"/>
      <c r="H64" s="393"/>
      <c r="I64" s="393"/>
    </row>
    <row r="65" spans="2:18" x14ac:dyDescent="0.25">
      <c r="B65" s="637" t="s">
        <v>340</v>
      </c>
      <c r="E65" s="393">
        <v>46274</v>
      </c>
      <c r="F65" s="395">
        <v>0</v>
      </c>
      <c r="G65" s="395"/>
      <c r="H65" s="395">
        <v>0</v>
      </c>
      <c r="I65" s="393">
        <f>SUM(E65:H65)</f>
        <v>46274</v>
      </c>
    </row>
    <row r="66" spans="2:18" ht="40.950000000000003" customHeight="1" x14ac:dyDescent="0.25">
      <c r="B66" s="890" t="s">
        <v>341</v>
      </c>
      <c r="C66" s="891"/>
      <c r="D66" s="891"/>
      <c r="E66" s="393"/>
      <c r="F66" s="393"/>
      <c r="G66" s="393"/>
      <c r="H66" s="393"/>
      <c r="I66" s="393"/>
    </row>
    <row r="67" spans="2:18" x14ac:dyDescent="0.25">
      <c r="C67" s="637" t="s">
        <v>342</v>
      </c>
      <c r="E67" s="393"/>
      <c r="F67" s="393"/>
      <c r="G67" s="393"/>
      <c r="H67" s="393"/>
      <c r="I67" s="393"/>
    </row>
    <row r="68" spans="2:18" x14ac:dyDescent="0.25">
      <c r="C68" s="637" t="s">
        <v>343</v>
      </c>
      <c r="E68" s="393">
        <f>7694+35872</f>
        <v>43566</v>
      </c>
      <c r="F68" s="393">
        <f>5445+153</f>
        <v>5598</v>
      </c>
      <c r="G68" s="393"/>
      <c r="H68" s="393">
        <v>-153</v>
      </c>
      <c r="I68" s="393">
        <f t="shared" ref="I68:I76" si="1">SUM(E68:H68)</f>
        <v>49011</v>
      </c>
      <c r="M68" s="397"/>
    </row>
    <row r="69" spans="2:18" x14ac:dyDescent="0.25">
      <c r="C69" s="637" t="s">
        <v>344</v>
      </c>
      <c r="E69" s="395">
        <v>0</v>
      </c>
      <c r="F69" s="393">
        <v>1840</v>
      </c>
      <c r="G69" s="393"/>
      <c r="H69" s="393">
        <v>0</v>
      </c>
      <c r="I69" s="393">
        <f t="shared" si="1"/>
        <v>1840</v>
      </c>
      <c r="R69" s="396"/>
    </row>
    <row r="70" spans="2:18" x14ac:dyDescent="0.25">
      <c r="C70" s="637" t="s">
        <v>345</v>
      </c>
      <c r="E70" s="395">
        <f>25000+481</f>
        <v>25481</v>
      </c>
      <c r="F70" s="393">
        <f>-260+306</f>
        <v>46</v>
      </c>
      <c r="G70" s="393"/>
      <c r="H70" s="393">
        <v>0</v>
      </c>
      <c r="I70" s="393">
        <f t="shared" si="1"/>
        <v>25527</v>
      </c>
    </row>
    <row r="71" spans="2:18" ht="38.25" customHeight="1" x14ac:dyDescent="0.25">
      <c r="C71" s="877" t="s">
        <v>346</v>
      </c>
      <c r="D71" s="879"/>
      <c r="E71" s="395">
        <f>-(1916803*0.05*0.32)</f>
        <v>-30668.848000000002</v>
      </c>
      <c r="F71" s="395">
        <f>-(1916803*0.05*0.67)+988</f>
        <v>-63224.900500000011</v>
      </c>
      <c r="G71" s="395"/>
      <c r="H71" s="395">
        <f>-(1916803*0.05*0.01)-988</f>
        <v>-1946.4014999999999</v>
      </c>
      <c r="I71" s="393">
        <f t="shared" si="1"/>
        <v>-95840.150000000023</v>
      </c>
      <c r="J71" s="397"/>
      <c r="L71" s="397"/>
      <c r="M71" s="396"/>
      <c r="N71" s="396"/>
      <c r="R71" s="397"/>
    </row>
    <row r="72" spans="2:18" ht="28.5" customHeight="1" x14ac:dyDescent="0.25">
      <c r="C72" s="877" t="s">
        <v>347</v>
      </c>
      <c r="D72" s="879"/>
      <c r="E72" s="395">
        <f>-0.05*0.32*(43000-35651)</f>
        <v>-117.584</v>
      </c>
      <c r="F72" s="395">
        <f>-0.05*0.68*(43000-35651)</f>
        <v>-249.86600000000001</v>
      </c>
      <c r="G72" s="395"/>
      <c r="H72" s="395"/>
      <c r="I72" s="393">
        <f t="shared" si="1"/>
        <v>-367.45000000000005</v>
      </c>
      <c r="J72" s="397"/>
      <c r="L72" s="397"/>
      <c r="M72" s="396"/>
      <c r="N72" s="396"/>
      <c r="O72" s="397"/>
      <c r="R72" s="397"/>
    </row>
    <row r="73" spans="2:18" x14ac:dyDescent="0.25">
      <c r="C73" s="637" t="s">
        <v>348</v>
      </c>
      <c r="E73" s="395">
        <f>0.05*0.32*(2185061)</f>
        <v>34960.976000000002</v>
      </c>
      <c r="F73" s="395">
        <f>0.05*0.67*(2185061)</f>
        <v>73199.5435</v>
      </c>
      <c r="G73" s="395"/>
      <c r="H73" s="395">
        <f>0.05*0.01*(2185061)</f>
        <v>1092.5305000000001</v>
      </c>
      <c r="I73" s="393">
        <f t="shared" si="1"/>
        <v>109253.04999999999</v>
      </c>
      <c r="J73" s="397"/>
      <c r="O73" s="397"/>
    </row>
    <row r="74" spans="2:18" x14ac:dyDescent="0.25">
      <c r="C74" s="637" t="s">
        <v>349</v>
      </c>
      <c r="E74" s="395">
        <f>1474358*0.32*0.05-0.05*0.32*(1987185)</f>
        <v>-8205.2319999999963</v>
      </c>
      <c r="F74" s="395">
        <f>0.05*0.68*(1474358-1987185)</f>
        <v>-17436.118000000002</v>
      </c>
      <c r="G74" s="395"/>
      <c r="H74" s="395">
        <v>0</v>
      </c>
      <c r="I74" s="393">
        <f t="shared" si="1"/>
        <v>-25641.35</v>
      </c>
      <c r="J74" s="397"/>
      <c r="K74" s="397"/>
      <c r="L74" s="423"/>
      <c r="M74" s="396"/>
      <c r="N74" s="396"/>
      <c r="O74" s="397"/>
      <c r="P74" s="397"/>
    </row>
    <row r="75" spans="2:18" ht="26.4" customHeight="1" x14ac:dyDescent="0.25">
      <c r="C75" s="877" t="s">
        <v>350</v>
      </c>
      <c r="D75" s="879"/>
      <c r="E75" s="395">
        <f>-4556*0.05*0.32</f>
        <v>-72.896000000000001</v>
      </c>
      <c r="F75" s="395">
        <f>-4556*0.05*0.67-345</f>
        <v>-497.62599999999998</v>
      </c>
      <c r="G75" s="395"/>
      <c r="H75" s="395">
        <f>-4556*0.05*0.01+345</f>
        <v>342.72199999999998</v>
      </c>
      <c r="I75" s="393">
        <f t="shared" si="1"/>
        <v>-227.79999999999995</v>
      </c>
      <c r="J75" s="397"/>
      <c r="L75" s="397"/>
      <c r="M75" s="396"/>
      <c r="N75" s="393"/>
      <c r="O75" s="397"/>
      <c r="Q75" s="397"/>
    </row>
    <row r="76" spans="2:18" ht="26.4" customHeight="1" x14ac:dyDescent="0.25">
      <c r="C76" s="877" t="s">
        <v>351</v>
      </c>
      <c r="D76" s="879"/>
      <c r="E76" s="395">
        <f>0.05*0.32*(137364+406032+548)</f>
        <v>8703.1039999999994</v>
      </c>
      <c r="F76" s="395">
        <f>0.05*0.68*(137364+406032+548)</f>
        <v>18494.096000000001</v>
      </c>
      <c r="G76" s="395"/>
      <c r="H76" s="395">
        <v>0</v>
      </c>
      <c r="I76" s="393">
        <f t="shared" si="1"/>
        <v>27197.200000000001</v>
      </c>
      <c r="J76" s="397"/>
      <c r="L76" s="397"/>
      <c r="M76" s="396"/>
    </row>
    <row r="77" spans="2:18" x14ac:dyDescent="0.25">
      <c r="C77" s="637" t="s">
        <v>352</v>
      </c>
      <c r="E77" s="393"/>
      <c r="F77" s="393"/>
      <c r="G77" s="393"/>
      <c r="H77" s="393"/>
      <c r="I77" s="393"/>
      <c r="J77" s="397"/>
    </row>
    <row r="78" spans="2:18" x14ac:dyDescent="0.25">
      <c r="C78" s="637" t="s">
        <v>353</v>
      </c>
      <c r="E78" s="393">
        <f>2000+18095+3213</f>
        <v>23308</v>
      </c>
      <c r="F78" s="393">
        <f>-11779-1145+7970-988+345</f>
        <v>-5597</v>
      </c>
      <c r="G78" s="393"/>
      <c r="H78" s="393">
        <f>1145-1486+988</f>
        <v>647</v>
      </c>
      <c r="I78" s="393">
        <f>SUM(E78:H78)</f>
        <v>18358</v>
      </c>
    </row>
    <row r="79" spans="2:18" x14ac:dyDescent="0.25">
      <c r="C79" s="637" t="s">
        <v>354</v>
      </c>
      <c r="E79" s="393"/>
      <c r="F79" s="393"/>
      <c r="G79" s="393"/>
      <c r="H79" s="393"/>
      <c r="I79" s="393"/>
    </row>
    <row r="80" spans="2:18" x14ac:dyDescent="0.25">
      <c r="C80" s="637" t="s">
        <v>355</v>
      </c>
      <c r="E80" s="395">
        <v>0</v>
      </c>
      <c r="F80" s="393">
        <f>-3183-5749</f>
        <v>-8932</v>
      </c>
      <c r="G80" s="393"/>
      <c r="H80" s="393">
        <v>5749</v>
      </c>
      <c r="I80" s="393">
        <f>SUM(E80:H80)+1</f>
        <v>-3182</v>
      </c>
    </row>
    <row r="81" spans="1:17" x14ac:dyDescent="0.25">
      <c r="A81" s="435"/>
      <c r="B81" s="435"/>
      <c r="C81" s="456" t="s">
        <v>356</v>
      </c>
      <c r="D81" s="435"/>
      <c r="E81" s="421">
        <v>5000</v>
      </c>
      <c r="F81" s="421">
        <f>10000</f>
        <v>10000</v>
      </c>
      <c r="G81" s="421"/>
      <c r="H81" s="421">
        <v>0</v>
      </c>
      <c r="I81" s="421">
        <f>SUM(E81:H81)</f>
        <v>15000</v>
      </c>
    </row>
    <row r="82" spans="1:17" x14ac:dyDescent="0.25">
      <c r="D82" s="637" t="s">
        <v>357</v>
      </c>
      <c r="E82" s="453">
        <f>SUM(E62:E81)</f>
        <v>198469.52</v>
      </c>
      <c r="F82" s="453">
        <f>SUM(F62:F81)</f>
        <v>214852.12899999999</v>
      </c>
      <c r="G82" s="453"/>
      <c r="H82" s="453">
        <f>SUM(H62:H81)</f>
        <v>5731.8510000000006</v>
      </c>
      <c r="I82" s="453">
        <f>SUM(I62:I81)</f>
        <v>419053.5</v>
      </c>
      <c r="N82" s="397"/>
      <c r="O82" s="397"/>
    </row>
    <row r="83" spans="1:17" ht="13.8" thickBot="1" x14ac:dyDescent="0.3">
      <c r="A83" s="637" t="s">
        <v>309</v>
      </c>
      <c r="E83" s="601">
        <f>E82+E58</f>
        <v>93254.999999999971</v>
      </c>
      <c r="F83" s="601">
        <f>F82+F58</f>
        <v>425469.64899999998</v>
      </c>
      <c r="G83" s="454"/>
      <c r="H83" s="601">
        <f>H82+H58</f>
        <v>9087.8510000000006</v>
      </c>
      <c r="I83" s="601">
        <f>I82+I58</f>
        <v>527812.5</v>
      </c>
    </row>
    <row r="84" spans="1:17" ht="13.8" thickTop="1" x14ac:dyDescent="0.25">
      <c r="O84" s="397"/>
      <c r="Q84" s="397"/>
    </row>
    <row r="85" spans="1:17" x14ac:dyDescent="0.25">
      <c r="A85" s="404" t="str">
        <f>'GWNetPos 68 Exh 1'!A61</f>
        <v>The notes to the financial statements are an integral part of this statement.</v>
      </c>
      <c r="O85" s="397"/>
    </row>
    <row r="86" spans="1:17" x14ac:dyDescent="0.25">
      <c r="O86" s="397"/>
    </row>
    <row r="87" spans="1:17" x14ac:dyDescent="0.25">
      <c r="D87" s="397"/>
      <c r="E87" s="393">
        <f>E83-E19</f>
        <v>2.799999997660052E-2</v>
      </c>
      <c r="F87" s="393">
        <f>F83-F19</f>
        <v>-0.77900000003864989</v>
      </c>
      <c r="G87" s="393"/>
      <c r="H87" s="393">
        <f>H83-H19</f>
        <v>0.35100000000056752</v>
      </c>
      <c r="I87" s="393">
        <f>I83-I19</f>
        <v>-0.40000000002328306</v>
      </c>
      <c r="J87" s="397"/>
    </row>
    <row r="88" spans="1:17" x14ac:dyDescent="0.25">
      <c r="E88" s="393"/>
      <c r="F88" s="393"/>
      <c r="G88" s="397"/>
      <c r="H88" s="397"/>
      <c r="I88" s="396"/>
    </row>
    <row r="89" spans="1:17" x14ac:dyDescent="0.25">
      <c r="E89" s="397"/>
      <c r="F89" s="397"/>
      <c r="G89" s="397"/>
      <c r="H89" s="397"/>
      <c r="I89" s="397"/>
    </row>
  </sheetData>
  <customSheetViews>
    <customSheetView guid="{A8748736-0722-49EB-85B6-C9B52DDCFE0E}" showPageBreaks="1" printArea="1" hiddenColumns="1" topLeftCell="A67">
      <selection activeCell="H29" sqref="H29"/>
      <rowBreaks count="1" manualBreakCount="1">
        <brk id="46" max="16383" man="1"/>
      </rowBreaks>
      <pageMargins left="0.75" right="0.75" top="1" bottom="1" header="0.5" footer="0.5"/>
      <printOptions horizontalCentered="1"/>
      <pageSetup scale="86" firstPageNumber="37" fitToHeight="0" orientation="portrait" useFirstPageNumber="1" r:id="rId1"/>
      <headerFooter alignWithMargins="0"/>
    </customSheetView>
    <customSheetView guid="{E0C60316-4586-4AAF-92CB-FA82BB1EB755}">
      <rowBreaks count="1" manualBreakCount="1">
        <brk id="46" max="16383" man="1"/>
      </rowBreaks>
      <pageMargins left="0" right="0" top="0" bottom="0" header="0" footer="0"/>
      <printOptions horizontalCentered="1"/>
      <pageSetup scale="86" firstPageNumber="37" fitToHeight="0" orientation="portrait" useFirstPageNumber="1" r:id="rId2"/>
      <headerFooter alignWithMargins="0"/>
    </customSheetView>
  </customSheetViews>
  <mergeCells count="7">
    <mergeCell ref="C76:D76"/>
    <mergeCell ref="C19:D19"/>
    <mergeCell ref="A21:D21"/>
    <mergeCell ref="B66:D66"/>
    <mergeCell ref="C71:D71"/>
    <mergeCell ref="C75:D75"/>
    <mergeCell ref="C72:D72"/>
  </mergeCells>
  <printOptions horizontalCentered="1"/>
  <pageMargins left="0.75" right="0.75" top="1" bottom="1" header="0.5" footer="0.5"/>
  <pageSetup scale="86" firstPageNumber="37" fitToHeight="0" orientation="portrait" useFirstPageNumber="1" r:id="rId3"/>
  <headerFooter alignWithMargins="0"/>
  <rowBreaks count="1" manualBreakCount="1">
    <brk id="4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6"/>
  <sheetViews>
    <sheetView workbookViewId="0"/>
  </sheetViews>
  <sheetFormatPr defaultColWidth="9.109375" defaultRowHeight="13.2" x14ac:dyDescent="0.25"/>
  <cols>
    <col min="1" max="3" width="2.6640625" style="7" customWidth="1"/>
    <col min="4" max="4" width="41.33203125" style="7" customWidth="1"/>
    <col min="5" max="5" width="12.6640625" style="7" customWidth="1"/>
    <col min="6" max="6" width="2.5546875" style="7" customWidth="1"/>
    <col min="7" max="7" width="12.6640625" style="7" customWidth="1"/>
    <col min="8" max="16384" width="9.109375" style="7"/>
  </cols>
  <sheetData>
    <row r="1" spans="1:10" x14ac:dyDescent="0.25">
      <c r="G1" s="635" t="s">
        <v>358</v>
      </c>
    </row>
    <row r="2" spans="1:10" x14ac:dyDescent="0.25">
      <c r="A2" s="34" t="s">
        <v>1</v>
      </c>
      <c r="B2" s="34"/>
      <c r="C2" s="34"/>
      <c r="D2" s="34"/>
      <c r="E2" s="37"/>
      <c r="F2" s="37"/>
      <c r="G2" s="37"/>
    </row>
    <row r="3" spans="1:10" x14ac:dyDescent="0.25">
      <c r="A3" s="34" t="s">
        <v>359</v>
      </c>
      <c r="B3" s="34"/>
      <c r="C3" s="34"/>
      <c r="D3" s="34"/>
      <c r="E3" s="37"/>
      <c r="F3" s="37"/>
      <c r="G3" s="37"/>
    </row>
    <row r="4" spans="1:10" x14ac:dyDescent="0.25">
      <c r="A4" s="34" t="s">
        <v>360</v>
      </c>
      <c r="B4" s="34"/>
      <c r="C4" s="34"/>
      <c r="D4" s="34"/>
      <c r="E4" s="37"/>
      <c r="F4" s="37"/>
      <c r="G4" s="37"/>
    </row>
    <row r="5" spans="1:10" x14ac:dyDescent="0.25">
      <c r="A5" s="34" t="str">
        <f>'GWStmtAct 68 Exh 2'!A4</f>
        <v>For the Year Ended June 30, 2022</v>
      </c>
      <c r="B5" s="34"/>
      <c r="C5" s="34"/>
      <c r="D5" s="34"/>
      <c r="E5" s="37"/>
      <c r="F5" s="37"/>
      <c r="G5" s="37"/>
    </row>
    <row r="7" spans="1:10" x14ac:dyDescent="0.25">
      <c r="E7" s="636"/>
      <c r="F7" s="636"/>
      <c r="G7" s="636"/>
    </row>
    <row r="8" spans="1:10" x14ac:dyDescent="0.25">
      <c r="E8" s="636"/>
      <c r="F8" s="636"/>
    </row>
    <row r="9" spans="1:10" x14ac:dyDescent="0.25">
      <c r="E9" s="636"/>
      <c r="F9" s="636"/>
      <c r="G9" s="636"/>
    </row>
    <row r="10" spans="1:10" x14ac:dyDescent="0.25">
      <c r="E10" s="636"/>
      <c r="F10" s="636"/>
      <c r="G10" s="636"/>
    </row>
    <row r="11" spans="1:10" ht="26.4" x14ac:dyDescent="0.25">
      <c r="E11" s="655" t="s">
        <v>361</v>
      </c>
      <c r="F11" s="636"/>
      <c r="G11" s="655" t="s">
        <v>362</v>
      </c>
    </row>
    <row r="12" spans="1:10" x14ac:dyDescent="0.25">
      <c r="A12" s="38" t="s">
        <v>12</v>
      </c>
      <c r="D12" s="38"/>
    </row>
    <row r="14" spans="1:10" x14ac:dyDescent="0.25">
      <c r="A14" s="404" t="s">
        <v>13</v>
      </c>
      <c r="E14" s="378">
        <f>714238+3655</f>
        <v>717893</v>
      </c>
      <c r="F14" s="378"/>
      <c r="G14" s="378">
        <v>68519</v>
      </c>
    </row>
    <row r="15" spans="1:10" x14ac:dyDescent="0.25">
      <c r="A15" s="404" t="s">
        <v>363</v>
      </c>
      <c r="E15" s="16">
        <v>0</v>
      </c>
      <c r="F15" s="16"/>
      <c r="G15" s="16">
        <v>69245</v>
      </c>
      <c r="H15" s="16"/>
      <c r="I15" s="16"/>
      <c r="J15" s="16"/>
    </row>
    <row r="16" spans="1:10" x14ac:dyDescent="0.25">
      <c r="A16" s="404" t="s">
        <v>364</v>
      </c>
      <c r="E16" s="378"/>
      <c r="F16" s="14"/>
      <c r="G16" s="378"/>
    </row>
    <row r="17" spans="1:7" x14ac:dyDescent="0.25">
      <c r="B17" s="404" t="s">
        <v>365</v>
      </c>
      <c r="E17" s="16">
        <f>ROUND(200000*0.65,0)</f>
        <v>130000</v>
      </c>
      <c r="F17" s="15"/>
      <c r="G17" s="16">
        <v>0</v>
      </c>
    </row>
    <row r="18" spans="1:7" x14ac:dyDescent="0.25">
      <c r="B18" s="404" t="s">
        <v>366</v>
      </c>
      <c r="E18" s="16">
        <f>200000*0.35</f>
        <v>70000</v>
      </c>
      <c r="F18" s="15"/>
      <c r="G18" s="16">
        <v>0</v>
      </c>
    </row>
    <row r="19" spans="1:7" x14ac:dyDescent="0.25">
      <c r="C19" s="404" t="s">
        <v>27</v>
      </c>
      <c r="E19" s="391">
        <f>SUM(E14:E18)</f>
        <v>917893</v>
      </c>
      <c r="G19" s="391">
        <f>SUM(G14:G18)</f>
        <v>137764</v>
      </c>
    </row>
    <row r="21" spans="1:7" x14ac:dyDescent="0.25">
      <c r="A21" s="38" t="s">
        <v>29</v>
      </c>
    </row>
    <row r="22" spans="1:7" x14ac:dyDescent="0.25">
      <c r="A22" s="7" t="s">
        <v>119</v>
      </c>
      <c r="E22" s="15">
        <v>3655</v>
      </c>
      <c r="F22" s="15"/>
      <c r="G22" s="15">
        <v>6298</v>
      </c>
    </row>
    <row r="23" spans="1:7" x14ac:dyDescent="0.25">
      <c r="A23" s="404" t="s">
        <v>32</v>
      </c>
      <c r="E23" s="17">
        <v>0</v>
      </c>
      <c r="F23" s="15"/>
      <c r="G23" s="17">
        <v>88401</v>
      </c>
    </row>
    <row r="24" spans="1:7" x14ac:dyDescent="0.25">
      <c r="C24" s="7" t="s">
        <v>39</v>
      </c>
      <c r="E24" s="17">
        <f>SUM(E22:E23)</f>
        <v>3655</v>
      </c>
      <c r="F24" s="15"/>
      <c r="G24" s="17">
        <f>SUM(G22:G23)</f>
        <v>94699</v>
      </c>
    </row>
    <row r="25" spans="1:7" x14ac:dyDescent="0.25">
      <c r="E25" s="15"/>
      <c r="F25" s="15"/>
      <c r="G25" s="15"/>
    </row>
    <row r="26" spans="1:7" x14ac:dyDescent="0.25">
      <c r="A26" s="38" t="s">
        <v>41</v>
      </c>
      <c r="E26" s="15"/>
      <c r="F26" s="15"/>
      <c r="G26" s="15"/>
    </row>
    <row r="27" spans="1:7" x14ac:dyDescent="0.25">
      <c r="A27" s="404" t="s">
        <v>43</v>
      </c>
      <c r="E27" s="15"/>
      <c r="F27" s="15"/>
      <c r="G27" s="15"/>
    </row>
    <row r="28" spans="1:7" x14ac:dyDescent="0.25">
      <c r="A28" s="404"/>
      <c r="B28" s="891" t="s">
        <v>367</v>
      </c>
      <c r="C28" s="893"/>
      <c r="D28" s="893"/>
      <c r="E28" s="15">
        <f>E19-E24</f>
        <v>914238</v>
      </c>
      <c r="F28" s="15"/>
      <c r="G28" s="15">
        <v>0</v>
      </c>
    </row>
    <row r="29" spans="1:7" x14ac:dyDescent="0.25">
      <c r="A29" s="404"/>
      <c r="B29" s="891" t="s">
        <v>368</v>
      </c>
      <c r="C29" s="893"/>
      <c r="D29" s="893"/>
      <c r="E29" s="17">
        <v>0</v>
      </c>
      <c r="F29" s="15"/>
      <c r="G29" s="17">
        <f>G19-G24</f>
        <v>43065</v>
      </c>
    </row>
    <row r="30" spans="1:7" ht="13.2" customHeight="1" thickBot="1" x14ac:dyDescent="0.3">
      <c r="C30" s="404" t="s">
        <v>369</v>
      </c>
      <c r="E30" s="13">
        <f>SUM(E28:E29)</f>
        <v>914238</v>
      </c>
      <c r="F30" s="15"/>
      <c r="G30" s="13">
        <f>SUM(G28:G29)</f>
        <v>43065</v>
      </c>
    </row>
    <row r="31" spans="1:7" ht="13.8" thickTop="1" x14ac:dyDescent="0.25">
      <c r="F31" s="15"/>
    </row>
    <row r="32" spans="1:7" x14ac:dyDescent="0.25">
      <c r="A32" s="7" t="str">
        <f>'GWNetPos 68 Exh 1'!A61</f>
        <v>The notes to the financial statements are an integral part of this statement.</v>
      </c>
    </row>
    <row r="34" spans="2:7" x14ac:dyDescent="0.25">
      <c r="B34" s="497"/>
      <c r="C34" s="389"/>
      <c r="D34" s="389"/>
      <c r="E34" s="389"/>
      <c r="F34" s="389"/>
      <c r="G34" s="389"/>
    </row>
    <row r="35" spans="2:7" x14ac:dyDescent="0.25">
      <c r="B35" s="389"/>
      <c r="C35" s="389"/>
      <c r="D35" s="389"/>
      <c r="E35" s="389"/>
      <c r="F35" s="389"/>
      <c r="G35" s="389"/>
    </row>
    <row r="36" spans="2:7" x14ac:dyDescent="0.25">
      <c r="B36" s="389"/>
      <c r="C36" s="389"/>
      <c r="D36" s="389"/>
      <c r="E36" s="389"/>
      <c r="F36" s="389"/>
      <c r="G36" s="389"/>
    </row>
  </sheetData>
  <customSheetViews>
    <customSheetView guid="{A8748736-0722-49EB-85B6-C9B52DDCFE0E}" showPageBreaks="1" printArea="1">
      <selection activeCell="K16" sqref="K16"/>
      <pageMargins left="0.75" right="0.75" top="1" bottom="1" header="0.5" footer="0.5"/>
      <printOptions horizontalCentered="1"/>
      <pageSetup scale="86" firstPageNumber="32" fitToHeight="0" orientation="portrait" useFirstPageNumber="1" r:id="rId1"/>
      <headerFooter alignWithMargins="0"/>
    </customSheetView>
    <customSheetView guid="{E0C60316-4586-4AAF-92CB-FA82BB1EB755}" topLeftCell="A6">
      <selection activeCell="F28" sqref="F28"/>
      <pageMargins left="0" right="0" top="0" bottom="0" header="0" footer="0"/>
      <printOptions horizontalCentered="1"/>
      <pageSetup scale="86" firstPageNumber="32" fitToHeight="0" orientation="portrait" useFirstPageNumber="1" r:id="rId2"/>
      <headerFooter alignWithMargins="0"/>
    </customSheetView>
  </customSheetViews>
  <mergeCells count="2">
    <mergeCell ref="B28:D28"/>
    <mergeCell ref="B29:D29"/>
  </mergeCells>
  <phoneticPr fontId="0" type="noConversion"/>
  <printOptions horizontalCentered="1"/>
  <pageMargins left="0.75" right="0.75" top="1" bottom="1" header="0.5" footer="0.5"/>
  <pageSetup scale="86" firstPageNumber="32" fitToHeight="0" orientation="portrait" useFirstPageNumber="1" r:id="rId3"/>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76"/>
  <sheetViews>
    <sheetView workbookViewId="0"/>
  </sheetViews>
  <sheetFormatPr defaultColWidth="9.109375" defaultRowHeight="13.2" x14ac:dyDescent="0.25"/>
  <cols>
    <col min="1" max="1" width="2.6640625" style="7" customWidth="1"/>
    <col min="2" max="3" width="1.6640625" style="7" customWidth="1"/>
    <col min="4" max="4" width="3" style="7" customWidth="1"/>
    <col min="5" max="5" width="38" style="7" customWidth="1"/>
    <col min="6" max="6" width="1.6640625" style="7" customWidth="1"/>
    <col min="7" max="7" width="2.109375" style="7" customWidth="1"/>
    <col min="8" max="8" width="11.33203125" style="7" customWidth="1"/>
    <col min="9" max="9" width="3.5546875" style="7" customWidth="1"/>
    <col min="10" max="10" width="12.33203125" style="7" customWidth="1"/>
    <col min="11" max="16384" width="9.109375" style="7"/>
  </cols>
  <sheetData>
    <row r="1" spans="1:10" x14ac:dyDescent="0.25">
      <c r="J1" s="635" t="s">
        <v>370</v>
      </c>
    </row>
    <row r="2" spans="1:10" x14ac:dyDescent="0.25">
      <c r="A2" s="859" t="s">
        <v>1</v>
      </c>
      <c r="B2" s="859"/>
      <c r="C2" s="859"/>
      <c r="D2" s="859"/>
      <c r="E2" s="859"/>
      <c r="F2" s="859"/>
      <c r="G2" s="859"/>
      <c r="H2" s="859"/>
      <c r="I2" s="859"/>
      <c r="J2" s="859"/>
    </row>
    <row r="3" spans="1:10" x14ac:dyDescent="0.25">
      <c r="A3" s="859" t="s">
        <v>371</v>
      </c>
      <c r="B3" s="859"/>
      <c r="C3" s="859"/>
      <c r="D3" s="859"/>
      <c r="E3" s="859"/>
      <c r="F3" s="859"/>
      <c r="G3" s="859"/>
      <c r="H3" s="859"/>
      <c r="I3" s="859"/>
      <c r="J3" s="859"/>
    </row>
    <row r="4" spans="1:10" x14ac:dyDescent="0.25">
      <c r="A4" s="859" t="s">
        <v>360</v>
      </c>
      <c r="B4" s="859"/>
      <c r="C4" s="859"/>
      <c r="D4" s="859"/>
      <c r="E4" s="859"/>
      <c r="F4" s="859"/>
      <c r="G4" s="859"/>
      <c r="H4" s="859"/>
      <c r="I4" s="859"/>
      <c r="J4" s="859"/>
    </row>
    <row r="5" spans="1:10" x14ac:dyDescent="0.25">
      <c r="A5" s="859" t="str">
        <f>'GWStmtAct 68 Exh 2'!A4</f>
        <v>For the Year Ended June 30, 2022</v>
      </c>
      <c r="B5" s="859"/>
      <c r="C5" s="859"/>
      <c r="D5" s="859"/>
      <c r="E5" s="859"/>
      <c r="F5" s="859"/>
      <c r="G5" s="859"/>
      <c r="H5" s="859"/>
      <c r="I5" s="859"/>
      <c r="J5" s="859"/>
    </row>
    <row r="6" spans="1:10" x14ac:dyDescent="0.25">
      <c r="A6" s="435"/>
      <c r="B6" s="435"/>
      <c r="C6" s="435"/>
      <c r="D6" s="435"/>
      <c r="E6" s="435"/>
      <c r="F6" s="435"/>
      <c r="G6" s="435"/>
      <c r="H6" s="435"/>
    </row>
    <row r="7" spans="1:10" x14ac:dyDescent="0.25">
      <c r="A7" s="404"/>
      <c r="B7" s="404"/>
      <c r="C7" s="404"/>
      <c r="D7" s="404"/>
      <c r="E7" s="404"/>
      <c r="F7" s="404"/>
      <c r="G7" s="404"/>
      <c r="H7" s="636"/>
      <c r="I7" s="636"/>
      <c r="J7" s="636"/>
    </row>
    <row r="8" spans="1:10" x14ac:dyDescent="0.25">
      <c r="A8" s="404"/>
      <c r="B8" s="404"/>
      <c r="C8" s="404"/>
      <c r="D8" s="404"/>
      <c r="E8" s="404"/>
      <c r="F8" s="404"/>
      <c r="G8" s="404"/>
      <c r="H8" s="636"/>
      <c r="I8" s="636"/>
    </row>
    <row r="9" spans="1:10" x14ac:dyDescent="0.25">
      <c r="A9" s="404"/>
      <c r="B9" s="404"/>
      <c r="C9" s="404"/>
      <c r="D9" s="404"/>
      <c r="E9" s="404"/>
      <c r="F9" s="404"/>
      <c r="G9" s="404"/>
      <c r="H9" s="636"/>
      <c r="I9" s="636"/>
      <c r="J9" s="636"/>
    </row>
    <row r="10" spans="1:10" x14ac:dyDescent="0.25">
      <c r="A10" s="404"/>
      <c r="B10" s="404"/>
      <c r="C10" s="404"/>
      <c r="D10" s="404"/>
      <c r="E10" s="404"/>
      <c r="F10" s="404"/>
      <c r="G10" s="404"/>
      <c r="H10" s="636"/>
      <c r="I10" s="636"/>
      <c r="J10" s="636"/>
    </row>
    <row r="11" spans="1:10" ht="26.4" x14ac:dyDescent="0.25">
      <c r="B11" s="404"/>
      <c r="C11" s="404"/>
      <c r="D11" s="404"/>
      <c r="E11" s="404"/>
      <c r="F11" s="404"/>
      <c r="G11" s="404"/>
      <c r="H11" s="655" t="s">
        <v>361</v>
      </c>
      <c r="I11" s="636"/>
      <c r="J11" s="655" t="s">
        <v>362</v>
      </c>
    </row>
    <row r="12" spans="1:10" x14ac:dyDescent="0.25">
      <c r="A12" s="38" t="s">
        <v>372</v>
      </c>
      <c r="B12" s="404"/>
      <c r="C12" s="404"/>
      <c r="D12" s="404"/>
      <c r="E12" s="404"/>
      <c r="F12" s="404"/>
      <c r="G12" s="404"/>
      <c r="H12" s="654"/>
      <c r="I12" s="636"/>
      <c r="J12" s="654"/>
    </row>
    <row r="13" spans="1:10" x14ac:dyDescent="0.25">
      <c r="A13" s="404" t="s">
        <v>373</v>
      </c>
      <c r="B13" s="637"/>
      <c r="C13" s="637"/>
      <c r="D13" s="404"/>
      <c r="E13" s="404"/>
      <c r="F13" s="404"/>
      <c r="G13" s="637"/>
      <c r="H13" s="394">
        <v>43000</v>
      </c>
      <c r="I13" s="40"/>
      <c r="J13" s="394">
        <v>0</v>
      </c>
    </row>
    <row r="14" spans="1:10" x14ac:dyDescent="0.25">
      <c r="A14" s="637" t="s">
        <v>374</v>
      </c>
      <c r="B14" s="637"/>
      <c r="C14" s="404"/>
      <c r="E14" s="404"/>
      <c r="F14" s="404"/>
      <c r="G14" s="404"/>
      <c r="H14" s="404"/>
      <c r="J14" s="57"/>
    </row>
    <row r="15" spans="1:10" x14ac:dyDescent="0.25">
      <c r="A15" s="637"/>
      <c r="B15" s="404" t="s">
        <v>375</v>
      </c>
      <c r="E15" s="404"/>
      <c r="F15" s="404"/>
      <c r="G15" s="404"/>
      <c r="H15" s="394">
        <v>2500</v>
      </c>
      <c r="J15" s="394">
        <v>0</v>
      </c>
    </row>
    <row r="16" spans="1:10" x14ac:dyDescent="0.25">
      <c r="A16" s="637"/>
      <c r="B16" s="404" t="s">
        <v>376</v>
      </c>
      <c r="E16" s="404"/>
      <c r="F16" s="404"/>
      <c r="G16" s="404"/>
      <c r="H16" s="394">
        <v>2318</v>
      </c>
      <c r="J16" s="394">
        <v>0</v>
      </c>
    </row>
    <row r="17" spans="1:11" x14ac:dyDescent="0.25">
      <c r="A17" s="637"/>
      <c r="B17" s="404" t="s">
        <v>377</v>
      </c>
      <c r="E17" s="404"/>
      <c r="F17" s="404"/>
      <c r="G17" s="404"/>
      <c r="H17" s="421">
        <v>-1771</v>
      </c>
      <c r="J17" s="421">
        <v>0</v>
      </c>
    </row>
    <row r="18" spans="1:11" x14ac:dyDescent="0.25">
      <c r="A18" s="637"/>
      <c r="B18" s="404"/>
      <c r="C18" s="404" t="s">
        <v>378</v>
      </c>
      <c r="F18" s="404"/>
      <c r="G18" s="404"/>
      <c r="H18" s="415">
        <f>SUM(H15:H17)</f>
        <v>3047</v>
      </c>
      <c r="J18" s="415">
        <f>+J15+J17</f>
        <v>0</v>
      </c>
    </row>
    <row r="19" spans="1:11" x14ac:dyDescent="0.25">
      <c r="A19" s="404"/>
      <c r="B19" s="637"/>
      <c r="C19" s="637"/>
      <c r="D19" s="404"/>
      <c r="E19" s="404"/>
      <c r="F19" s="404"/>
      <c r="G19" s="404"/>
      <c r="H19" s="394"/>
    </row>
    <row r="20" spans="1:11" x14ac:dyDescent="0.25">
      <c r="A20" s="555" t="s">
        <v>379</v>
      </c>
      <c r="C20" s="555"/>
      <c r="D20" s="404"/>
      <c r="E20" s="404"/>
      <c r="F20" s="404"/>
      <c r="G20" s="404"/>
      <c r="H20" s="394">
        <v>0</v>
      </c>
      <c r="J20" s="394">
        <v>27854678</v>
      </c>
    </row>
    <row r="21" spans="1:11" x14ac:dyDescent="0.25">
      <c r="A21" s="404" t="s">
        <v>380</v>
      </c>
      <c r="C21" s="404"/>
      <c r="D21" s="404"/>
      <c r="E21" s="404"/>
      <c r="F21" s="404"/>
      <c r="G21" s="404"/>
      <c r="H21" s="421">
        <v>0</v>
      </c>
      <c r="J21" s="421">
        <v>624369</v>
      </c>
    </row>
    <row r="22" spans="1:11" x14ac:dyDescent="0.25">
      <c r="A22" s="404"/>
      <c r="B22" s="404"/>
      <c r="C22" s="404"/>
      <c r="D22" s="428" t="s">
        <v>381</v>
      </c>
      <c r="E22" s="404"/>
      <c r="F22" s="404"/>
      <c r="G22" s="404"/>
      <c r="H22" s="58">
        <f>H13+H18+H20+H21</f>
        <v>46047</v>
      </c>
      <c r="J22" s="58">
        <f>J13+J18+J20+J21</f>
        <v>28479047</v>
      </c>
    </row>
    <row r="23" spans="1:11" x14ac:dyDescent="0.25">
      <c r="A23" s="548"/>
      <c r="B23" s="548"/>
      <c r="C23" s="548"/>
      <c r="D23" s="548"/>
      <c r="E23" s="404"/>
      <c r="F23" s="404"/>
      <c r="G23" s="404"/>
      <c r="H23" s="393"/>
    </row>
    <row r="24" spans="1:11" x14ac:dyDescent="0.25">
      <c r="A24" s="38" t="s">
        <v>382</v>
      </c>
      <c r="B24" s="548"/>
      <c r="C24" s="548"/>
      <c r="D24" s="548"/>
      <c r="E24" s="404"/>
      <c r="F24" s="404"/>
      <c r="G24" s="404"/>
      <c r="H24" s="393"/>
    </row>
    <row r="25" spans="1:11" x14ac:dyDescent="0.25">
      <c r="A25" s="548"/>
      <c r="B25" s="548" t="s">
        <v>383</v>
      </c>
      <c r="C25" s="548"/>
      <c r="D25" s="548"/>
      <c r="E25" s="404"/>
      <c r="F25" s="404"/>
      <c r="G25" s="404"/>
      <c r="H25" s="394">
        <v>50349</v>
      </c>
      <c r="J25" s="394">
        <v>0</v>
      </c>
      <c r="K25" s="43"/>
    </row>
    <row r="26" spans="1:11" x14ac:dyDescent="0.25">
      <c r="A26" s="548"/>
      <c r="B26" s="548" t="s">
        <v>384</v>
      </c>
      <c r="C26" s="548"/>
      <c r="D26" s="548"/>
      <c r="E26" s="404"/>
      <c r="F26" s="404"/>
      <c r="G26" s="404"/>
      <c r="H26" s="394">
        <v>0</v>
      </c>
      <c r="J26" s="394">
        <v>0</v>
      </c>
      <c r="K26" s="43"/>
    </row>
    <row r="27" spans="1:11" x14ac:dyDescent="0.25">
      <c r="A27" s="548"/>
      <c r="B27" s="548" t="s">
        <v>385</v>
      </c>
      <c r="C27" s="548"/>
      <c r="D27" s="548"/>
      <c r="E27" s="404"/>
      <c r="F27" s="404"/>
      <c r="G27" s="404"/>
      <c r="H27" s="394">
        <v>0</v>
      </c>
      <c r="J27" s="5">
        <v>27854678</v>
      </c>
      <c r="K27" s="43"/>
    </row>
    <row r="28" spans="1:11" x14ac:dyDescent="0.25">
      <c r="A28" s="548"/>
      <c r="B28" s="548" t="s">
        <v>386</v>
      </c>
      <c r="C28" s="548"/>
      <c r="D28" s="548"/>
      <c r="E28" s="404"/>
      <c r="F28" s="404"/>
      <c r="G28" s="404"/>
      <c r="H28" s="394">
        <v>0</v>
      </c>
      <c r="J28" s="556">
        <v>617557</v>
      </c>
      <c r="K28" s="43"/>
    </row>
    <row r="29" spans="1:11" x14ac:dyDescent="0.25">
      <c r="A29" s="548"/>
      <c r="B29" s="548"/>
      <c r="C29" s="548"/>
      <c r="D29" s="428" t="s">
        <v>387</v>
      </c>
      <c r="E29" s="404"/>
      <c r="F29" s="404"/>
      <c r="G29" s="404"/>
      <c r="H29" s="415">
        <f>SUM(H25:H28)</f>
        <v>50349</v>
      </c>
      <c r="J29" s="415">
        <f>SUM(J25:J28)</f>
        <v>28472235</v>
      </c>
    </row>
    <row r="30" spans="1:11" x14ac:dyDescent="0.25">
      <c r="A30" s="548"/>
      <c r="B30" s="548"/>
      <c r="C30" s="548"/>
      <c r="D30" s="548"/>
      <c r="E30" s="404"/>
      <c r="F30" s="404"/>
      <c r="G30" s="404"/>
      <c r="H30" s="393"/>
    </row>
    <row r="31" spans="1:11" x14ac:dyDescent="0.25">
      <c r="A31" s="548"/>
      <c r="B31" s="548"/>
      <c r="C31" s="548"/>
      <c r="E31" s="548" t="s">
        <v>388</v>
      </c>
      <c r="F31" s="404"/>
      <c r="G31" s="404"/>
      <c r="H31" s="393">
        <f>+H22-H29</f>
        <v>-4302</v>
      </c>
      <c r="J31" s="393">
        <f>+J22-J29</f>
        <v>6812</v>
      </c>
    </row>
    <row r="32" spans="1:11" x14ac:dyDescent="0.25">
      <c r="A32" s="548"/>
      <c r="B32" s="548"/>
      <c r="C32" s="548"/>
      <c r="D32" s="548"/>
      <c r="E32" s="404"/>
      <c r="F32" s="404"/>
      <c r="G32" s="404"/>
      <c r="H32" s="393"/>
    </row>
    <row r="33" spans="1:10" x14ac:dyDescent="0.25">
      <c r="A33" s="404" t="s">
        <v>389</v>
      </c>
      <c r="B33" s="548"/>
      <c r="C33" s="548"/>
      <c r="D33" s="548"/>
      <c r="E33" s="404"/>
      <c r="F33" s="404"/>
      <c r="G33" s="404"/>
      <c r="H33" s="393">
        <v>918540</v>
      </c>
      <c r="J33" s="394">
        <v>0</v>
      </c>
    </row>
    <row r="34" spans="1:10" x14ac:dyDescent="0.25">
      <c r="B34" s="404" t="s">
        <v>390</v>
      </c>
      <c r="C34" s="404"/>
      <c r="D34" s="637"/>
      <c r="E34" s="404"/>
      <c r="F34" s="404"/>
      <c r="G34" s="404"/>
      <c r="H34" s="453">
        <v>0</v>
      </c>
      <c r="J34" s="453">
        <v>36253</v>
      </c>
    </row>
    <row r="35" spans="1:10" x14ac:dyDescent="0.25">
      <c r="A35" s="404" t="s">
        <v>391</v>
      </c>
      <c r="B35" s="404"/>
      <c r="C35" s="404"/>
      <c r="D35" s="637"/>
      <c r="E35" s="404"/>
      <c r="F35" s="404"/>
      <c r="G35" s="404"/>
      <c r="H35" s="676">
        <f>SUM(H33:H34)</f>
        <v>918540</v>
      </c>
      <c r="J35" s="676">
        <f>SUM(J33:J34)</f>
        <v>36253</v>
      </c>
    </row>
    <row r="36" spans="1:10" ht="18.600000000000001" customHeight="1" thickBot="1" x14ac:dyDescent="0.3">
      <c r="A36" s="404" t="s">
        <v>392</v>
      </c>
      <c r="B36" s="404"/>
      <c r="C36" s="404"/>
      <c r="D36" s="637"/>
      <c r="E36" s="404"/>
      <c r="F36" s="404"/>
      <c r="G36" s="637"/>
      <c r="H36" s="677">
        <f>H35+H31</f>
        <v>914238</v>
      </c>
      <c r="I36" s="57"/>
      <c r="J36" s="677">
        <f>J34+J31</f>
        <v>43065</v>
      </c>
    </row>
    <row r="37" spans="1:10" ht="13.8" thickTop="1" x14ac:dyDescent="0.25"/>
    <row r="38" spans="1:10" x14ac:dyDescent="0.25">
      <c r="A38" s="7" t="str">
        <f>'GWNetPos 68 Exh 1'!A61</f>
        <v>The notes to the financial statements are an integral part of this statement.</v>
      </c>
    </row>
    <row r="76" spans="5:5" x14ac:dyDescent="0.25">
      <c r="E76" s="635" t="s">
        <v>393</v>
      </c>
    </row>
  </sheetData>
  <customSheetViews>
    <customSheetView guid="{A8748736-0722-49EB-85B6-C9B52DDCFE0E}" showPageBreaks="1" printArea="1" topLeftCell="A13">
      <selection activeCell="Q42" sqref="Q42"/>
      <pageMargins left="0.75" right="0.75" top="1" bottom="1" header="0.5" footer="0.5"/>
      <printOptions horizontalCentered="1"/>
      <pageSetup scale="86" firstPageNumber="32" fitToHeight="0" orientation="portrait" useFirstPageNumber="1" r:id="rId1"/>
      <headerFooter alignWithMargins="0"/>
    </customSheetView>
  </customSheetViews>
  <mergeCells count="4">
    <mergeCell ref="A2:J2"/>
    <mergeCell ref="A3:J3"/>
    <mergeCell ref="A4:J4"/>
    <mergeCell ref="A5:J5"/>
  </mergeCells>
  <printOptions horizontalCentered="1"/>
  <pageMargins left="0.75" right="0.75" top="1" bottom="1" header="0.5" footer="0.5"/>
  <pageSetup scale="86" firstPageNumber="32" fitToHeight="0" orientation="portrait" useFirstPageNumber="1"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31"/>
  <sheetViews>
    <sheetView workbookViewId="0">
      <selection sqref="A1:Q1"/>
    </sheetView>
  </sheetViews>
  <sheetFormatPr defaultColWidth="8.88671875" defaultRowHeight="13.2" x14ac:dyDescent="0.25"/>
  <cols>
    <col min="1" max="1" width="42.44140625" style="81" customWidth="1"/>
    <col min="2" max="2" width="2.6640625" style="81" customWidth="1"/>
    <col min="3" max="3" width="13" style="81" customWidth="1"/>
    <col min="4" max="4" width="2.6640625" style="81" customWidth="1"/>
    <col min="5" max="5" width="12.6640625" style="81" customWidth="1"/>
    <col min="6" max="6" width="2.6640625" style="81" customWidth="1"/>
    <col min="7" max="7" width="12.6640625" style="81" customWidth="1"/>
    <col min="8" max="8" width="2.6640625" style="81" customWidth="1"/>
    <col min="9" max="9" width="12.6640625" style="81" customWidth="1"/>
    <col min="10" max="10" width="2.6640625" style="81" customWidth="1"/>
    <col min="11" max="11" width="12.6640625" style="81" customWidth="1"/>
    <col min="12" max="12" width="2.6640625" style="81" customWidth="1"/>
    <col min="13" max="13" width="12.6640625" style="81" customWidth="1"/>
    <col min="14" max="14" width="2.6640625" style="81" customWidth="1"/>
    <col min="15" max="15" width="12.6640625" style="81" customWidth="1"/>
    <col min="16" max="16" width="2.6640625" style="81" customWidth="1"/>
    <col min="17" max="17" width="12.6640625" style="81" customWidth="1"/>
    <col min="18" max="16384" width="8.88671875" style="81"/>
  </cols>
  <sheetData>
    <row r="1" spans="1:17" x14ac:dyDescent="0.25">
      <c r="A1" s="894" t="s">
        <v>1</v>
      </c>
      <c r="B1" s="894"/>
      <c r="C1" s="894"/>
      <c r="D1" s="894"/>
      <c r="E1" s="894"/>
      <c r="F1" s="894"/>
      <c r="G1" s="894"/>
      <c r="H1" s="894"/>
      <c r="I1" s="894"/>
      <c r="J1" s="894"/>
      <c r="K1" s="894"/>
      <c r="L1" s="894"/>
      <c r="M1" s="894"/>
      <c r="N1" s="894"/>
      <c r="O1" s="894"/>
      <c r="P1" s="894"/>
      <c r="Q1" s="894"/>
    </row>
    <row r="2" spans="1:17" ht="18.600000000000001" customHeight="1" x14ac:dyDescent="0.25">
      <c r="A2" s="894" t="s">
        <v>394</v>
      </c>
      <c r="B2" s="894"/>
      <c r="C2" s="894"/>
      <c r="D2" s="894"/>
      <c r="E2" s="894"/>
      <c r="F2" s="894"/>
      <c r="G2" s="894"/>
      <c r="H2" s="894"/>
      <c r="I2" s="894"/>
      <c r="J2" s="894"/>
      <c r="K2" s="894"/>
      <c r="L2" s="894"/>
      <c r="M2" s="894"/>
      <c r="N2" s="894"/>
      <c r="O2" s="894"/>
      <c r="P2" s="894"/>
      <c r="Q2" s="894"/>
    </row>
    <row r="3" spans="1:17" ht="12.75" customHeight="1" x14ac:dyDescent="0.25">
      <c r="A3" s="894" t="s">
        <v>395</v>
      </c>
      <c r="B3" s="894"/>
      <c r="C3" s="894"/>
      <c r="D3" s="894"/>
      <c r="E3" s="894"/>
      <c r="F3" s="894"/>
      <c r="G3" s="894"/>
      <c r="H3" s="894"/>
      <c r="I3" s="894"/>
      <c r="J3" s="894"/>
      <c r="K3" s="894"/>
      <c r="L3" s="894"/>
      <c r="M3" s="894"/>
      <c r="N3" s="894"/>
      <c r="O3" s="894"/>
      <c r="P3" s="894"/>
      <c r="Q3" s="894"/>
    </row>
    <row r="4" spans="1:17" x14ac:dyDescent="0.25">
      <c r="A4" s="898" t="s">
        <v>396</v>
      </c>
      <c r="B4" s="898"/>
      <c r="C4" s="898"/>
      <c r="D4" s="898"/>
      <c r="E4" s="898"/>
      <c r="F4" s="898"/>
      <c r="G4" s="898"/>
      <c r="H4" s="898"/>
      <c r="I4" s="898"/>
      <c r="J4" s="898"/>
      <c r="K4" s="898"/>
      <c r="L4" s="898"/>
      <c r="M4" s="898"/>
      <c r="N4" s="898"/>
      <c r="O4" s="898"/>
      <c r="P4" s="898"/>
      <c r="Q4" s="898"/>
    </row>
    <row r="5" spans="1:17" x14ac:dyDescent="0.25">
      <c r="A5" s="898"/>
      <c r="B5" s="898"/>
      <c r="C5" s="898"/>
      <c r="D5" s="898"/>
      <c r="E5" s="898"/>
      <c r="F5" s="898"/>
      <c r="G5" s="898"/>
      <c r="H5" s="898"/>
      <c r="I5" s="898"/>
      <c r="J5" s="898"/>
      <c r="K5" s="898"/>
      <c r="L5" s="898"/>
      <c r="M5" s="898"/>
      <c r="N5" s="898"/>
      <c r="O5" s="898"/>
      <c r="P5" s="898"/>
      <c r="Q5" s="484"/>
    </row>
    <row r="7" spans="1:17" x14ac:dyDescent="0.25">
      <c r="A7" s="484"/>
      <c r="B7" s="484"/>
      <c r="C7" s="484"/>
      <c r="D7" s="484"/>
      <c r="E7" s="484"/>
      <c r="F7" s="484"/>
      <c r="G7" s="484"/>
      <c r="H7" s="540"/>
      <c r="I7" s="484"/>
      <c r="J7" s="484"/>
      <c r="K7" s="484"/>
      <c r="L7" s="484"/>
      <c r="M7" s="484"/>
      <c r="N7" s="484"/>
      <c r="O7" s="484"/>
      <c r="P7" s="484"/>
      <c r="Q7" s="484"/>
    </row>
    <row r="8" spans="1:17" x14ac:dyDescent="0.25">
      <c r="A8" s="484"/>
      <c r="B8" s="484"/>
      <c r="C8" s="595">
        <v>2022</v>
      </c>
      <c r="D8" s="484"/>
      <c r="E8" s="595">
        <v>2021</v>
      </c>
      <c r="F8" s="484"/>
      <c r="G8" s="350">
        <v>2020</v>
      </c>
      <c r="H8" s="484"/>
      <c r="I8" s="350">
        <v>2019</v>
      </c>
      <c r="J8" s="502"/>
      <c r="K8" s="350">
        <v>2018</v>
      </c>
      <c r="L8" s="484"/>
      <c r="M8" s="350">
        <v>2017</v>
      </c>
      <c r="N8" s="484"/>
      <c r="O8" s="350">
        <v>2016</v>
      </c>
      <c r="P8" s="351"/>
      <c r="Q8" s="350">
        <v>2015</v>
      </c>
    </row>
    <row r="9" spans="1:17" x14ac:dyDescent="0.25">
      <c r="A9" s="484"/>
      <c r="B9" s="484"/>
      <c r="C9" s="404"/>
      <c r="D9" s="484"/>
      <c r="E9" s="484"/>
      <c r="F9" s="484"/>
      <c r="G9" s="484"/>
      <c r="H9" s="540"/>
      <c r="I9" s="484"/>
      <c r="J9" s="484"/>
      <c r="K9" s="484"/>
      <c r="L9" s="484"/>
      <c r="M9" s="678"/>
      <c r="N9" s="484"/>
      <c r="O9" s="678"/>
      <c r="P9" s="484"/>
      <c r="Q9" s="484"/>
    </row>
    <row r="10" spans="1:17" ht="26.4" x14ac:dyDescent="0.25">
      <c r="A10" s="342" t="s">
        <v>397</v>
      </c>
      <c r="B10" s="342"/>
      <c r="C10" s="513">
        <v>2.6327999999999998E-3</v>
      </c>
      <c r="D10" s="342"/>
      <c r="E10" s="343">
        <v>2.66E-3</v>
      </c>
      <c r="F10" s="343"/>
      <c r="G10" s="343">
        <v>2.3600000000000001E-3</v>
      </c>
      <c r="H10" s="342"/>
      <c r="I10" s="343">
        <v>2.33E-3</v>
      </c>
      <c r="J10" s="342"/>
      <c r="K10" s="679">
        <f>M10-0.004%</f>
        <v>2.2399999999999998E-3</v>
      </c>
      <c r="L10" s="484"/>
      <c r="M10" s="343">
        <v>2.2799999999999999E-3</v>
      </c>
      <c r="N10" s="680"/>
      <c r="O10" s="343">
        <v>2.1800000000000001E-3</v>
      </c>
      <c r="P10" s="484"/>
      <c r="Q10" s="343">
        <v>2.1900000000000001E-3</v>
      </c>
    </row>
    <row r="11" spans="1:17" ht="26.4" x14ac:dyDescent="0.25">
      <c r="A11" s="342" t="s">
        <v>398</v>
      </c>
      <c r="B11" s="342"/>
      <c r="C11" s="344">
        <v>6245902</v>
      </c>
      <c r="D11" s="342"/>
      <c r="E11" s="344">
        <v>4060841</v>
      </c>
      <c r="F11" s="344"/>
      <c r="G11" s="344">
        <v>5005952</v>
      </c>
      <c r="H11" s="342"/>
      <c r="I11" s="344">
        <v>1046857</v>
      </c>
      <c r="J11" s="342"/>
      <c r="K11" s="575">
        <f>M11+2200000</f>
        <v>854848</v>
      </c>
      <c r="L11" s="484"/>
      <c r="M11" s="344">
        <v>-1345152</v>
      </c>
      <c r="N11" s="408"/>
      <c r="O11" s="344">
        <v>2624121</v>
      </c>
      <c r="P11" s="484"/>
      <c r="Q11" s="344">
        <v>2745211</v>
      </c>
    </row>
    <row r="12" spans="1:17" x14ac:dyDescent="0.25">
      <c r="A12" s="342" t="s">
        <v>399</v>
      </c>
      <c r="B12" s="342"/>
      <c r="C12" s="597">
        <v>12184890</v>
      </c>
      <c r="D12" s="355"/>
      <c r="E12" s="597">
        <v>12136400</v>
      </c>
      <c r="F12" s="597"/>
      <c r="G12" s="598">
        <v>12087912</v>
      </c>
      <c r="H12" s="355"/>
      <c r="I12" s="598">
        <v>12200000</v>
      </c>
      <c r="J12" s="355"/>
      <c r="K12" s="430">
        <f>M12+28500</f>
        <v>12193883.149999999</v>
      </c>
      <c r="L12" s="404"/>
      <c r="M12" s="598">
        <v>12165383.149999999</v>
      </c>
      <c r="N12" s="412"/>
      <c r="O12" s="598">
        <v>11522166.57</v>
      </c>
      <c r="P12" s="404"/>
      <c r="Q12" s="598">
        <v>11765236</v>
      </c>
    </row>
    <row r="13" spans="1:17" ht="39.6" x14ac:dyDescent="0.25">
      <c r="A13" s="342" t="s">
        <v>400</v>
      </c>
      <c r="B13" s="342"/>
      <c r="C13" s="681">
        <f>C11/C12</f>
        <v>0.51259404065198788</v>
      </c>
      <c r="D13" s="342"/>
      <c r="E13" s="681">
        <f>E11/E12</f>
        <v>0.33460012853894072</v>
      </c>
      <c r="F13" s="681"/>
      <c r="G13" s="681">
        <f>G11/G12</f>
        <v>0.41412875937548188</v>
      </c>
      <c r="H13" s="342"/>
      <c r="I13" s="681">
        <f>I11/I12</f>
        <v>8.580795081967213E-2</v>
      </c>
      <c r="J13" s="342"/>
      <c r="K13" s="682">
        <f>M13+18.6%</f>
        <v>7.5427896892832358E-2</v>
      </c>
      <c r="L13" s="484"/>
      <c r="M13" s="681">
        <v>-0.11057210310716767</v>
      </c>
      <c r="N13" s="680"/>
      <c r="O13" s="346">
        <f>O11/O12</f>
        <v>0.22774544909221878</v>
      </c>
      <c r="P13" s="484"/>
      <c r="Q13" s="346">
        <f>Q11/Q12</f>
        <v>0.23333242104110788</v>
      </c>
    </row>
    <row r="14" spans="1:17" ht="26.4" x14ac:dyDescent="0.25">
      <c r="A14" s="342" t="s">
        <v>401</v>
      </c>
      <c r="B14" s="342"/>
      <c r="C14" s="402">
        <v>0.92</v>
      </c>
      <c r="D14" s="342"/>
      <c r="E14" s="402">
        <v>0.94179999999999997</v>
      </c>
      <c r="F14" s="402"/>
      <c r="G14" s="346">
        <v>0.91469999999999996</v>
      </c>
      <c r="H14" s="342"/>
      <c r="I14" s="346">
        <v>0.98089999999999999</v>
      </c>
      <c r="J14" s="342"/>
      <c r="K14" s="682">
        <f>M14-3.85%</f>
        <v>0.98790120978572693</v>
      </c>
      <c r="L14" s="484"/>
      <c r="M14" s="346">
        <v>1.0264012097857269</v>
      </c>
      <c r="N14" s="680"/>
      <c r="O14" s="346">
        <v>0.94345790240950211</v>
      </c>
      <c r="P14" s="484"/>
      <c r="Q14" s="346">
        <v>0.98219999999999996</v>
      </c>
    </row>
    <row r="16" spans="1:17" x14ac:dyDescent="0.25">
      <c r="A16" s="347" t="s">
        <v>402</v>
      </c>
      <c r="B16" s="347"/>
      <c r="C16" s="347"/>
      <c r="D16" s="347"/>
      <c r="E16" s="347"/>
      <c r="F16" s="347"/>
      <c r="G16" s="347"/>
      <c r="H16" s="347"/>
      <c r="I16" s="347"/>
      <c r="J16" s="347"/>
      <c r="K16" s="347"/>
      <c r="L16" s="347"/>
      <c r="M16" s="484"/>
      <c r="N16" s="484"/>
      <c r="O16" s="484"/>
      <c r="P16" s="399"/>
      <c r="Q16" s="484"/>
    </row>
    <row r="17" spans="1:17" x14ac:dyDescent="0.25">
      <c r="A17" s="347"/>
      <c r="B17" s="347"/>
      <c r="C17" s="347"/>
      <c r="D17" s="347"/>
      <c r="E17" s="347"/>
      <c r="F17" s="347"/>
      <c r="G17" s="347"/>
      <c r="H17" s="347"/>
      <c r="I17" s="347"/>
      <c r="J17" s="347"/>
      <c r="K17" s="347"/>
      <c r="L17" s="347"/>
      <c r="M17" s="484"/>
      <c r="N17" s="484"/>
      <c r="O17" s="484"/>
      <c r="P17" s="399"/>
      <c r="Q17" s="484"/>
    </row>
    <row r="19" spans="1:17" x14ac:dyDescent="0.25">
      <c r="A19" s="899" t="s">
        <v>403</v>
      </c>
      <c r="B19" s="900"/>
      <c r="C19" s="900"/>
      <c r="D19" s="900"/>
      <c r="E19" s="900"/>
      <c r="F19" s="900"/>
      <c r="G19" s="900"/>
      <c r="H19" s="900"/>
      <c r="I19" s="900"/>
      <c r="J19" s="900"/>
      <c r="K19" s="900"/>
      <c r="L19" s="900"/>
      <c r="M19" s="900"/>
      <c r="N19" s="900"/>
      <c r="O19" s="900"/>
      <c r="P19" s="900"/>
      <c r="Q19" s="901"/>
    </row>
    <row r="20" spans="1:17" x14ac:dyDescent="0.25">
      <c r="A20" s="902"/>
      <c r="B20" s="903"/>
      <c r="C20" s="903"/>
      <c r="D20" s="903"/>
      <c r="E20" s="903"/>
      <c r="F20" s="903"/>
      <c r="G20" s="903"/>
      <c r="H20" s="903"/>
      <c r="I20" s="903"/>
      <c r="J20" s="903"/>
      <c r="K20" s="903"/>
      <c r="L20" s="903"/>
      <c r="M20" s="903"/>
      <c r="N20" s="903"/>
      <c r="O20" s="903"/>
      <c r="P20" s="903"/>
      <c r="Q20" s="904"/>
    </row>
    <row r="21" spans="1:17" x14ac:dyDescent="0.25">
      <c r="A21" s="404"/>
      <c r="B21" s="404"/>
      <c r="C21" s="404"/>
      <c r="D21" s="404"/>
      <c r="E21" s="404"/>
      <c r="F21" s="404"/>
      <c r="G21" s="404"/>
      <c r="H21" s="404"/>
      <c r="I21" s="404"/>
      <c r="J21" s="404"/>
      <c r="K21" s="404"/>
      <c r="L21" s="404"/>
      <c r="M21" s="404"/>
      <c r="N21" s="404"/>
      <c r="O21" s="404"/>
      <c r="P21" s="484"/>
      <c r="Q21" s="484"/>
    </row>
    <row r="22" spans="1:17" x14ac:dyDescent="0.25">
      <c r="A22" s="899" t="s">
        <v>404</v>
      </c>
      <c r="B22" s="900"/>
      <c r="C22" s="900"/>
      <c r="D22" s="900"/>
      <c r="E22" s="900"/>
      <c r="F22" s="900"/>
      <c r="G22" s="900"/>
      <c r="H22" s="900"/>
      <c r="I22" s="900"/>
      <c r="J22" s="900"/>
      <c r="K22" s="900"/>
      <c r="L22" s="900"/>
      <c r="M22" s="900"/>
      <c r="N22" s="900"/>
      <c r="O22" s="900"/>
      <c r="P22" s="900"/>
      <c r="Q22" s="901"/>
    </row>
    <row r="23" spans="1:17" ht="32.25" customHeight="1" x14ac:dyDescent="0.25">
      <c r="A23" s="902"/>
      <c r="B23" s="903"/>
      <c r="C23" s="903"/>
      <c r="D23" s="903"/>
      <c r="E23" s="903"/>
      <c r="F23" s="903"/>
      <c r="G23" s="903"/>
      <c r="H23" s="903"/>
      <c r="I23" s="903"/>
      <c r="J23" s="903"/>
      <c r="K23" s="903"/>
      <c r="L23" s="903"/>
      <c r="M23" s="903"/>
      <c r="N23" s="903"/>
      <c r="O23" s="903"/>
      <c r="P23" s="903"/>
      <c r="Q23" s="904"/>
    </row>
    <row r="25" spans="1:17" ht="98.25" customHeight="1" x14ac:dyDescent="0.25">
      <c r="A25" s="895" t="s">
        <v>1111</v>
      </c>
      <c r="B25" s="896"/>
      <c r="C25" s="896"/>
      <c r="D25" s="896"/>
      <c r="E25" s="896"/>
      <c r="F25" s="896"/>
      <c r="G25" s="896"/>
      <c r="H25" s="896"/>
      <c r="I25" s="896"/>
      <c r="J25" s="896"/>
      <c r="K25" s="896"/>
      <c r="L25" s="896"/>
      <c r="M25" s="896"/>
      <c r="N25" s="896"/>
      <c r="O25" s="896"/>
      <c r="P25" s="896"/>
      <c r="Q25" s="897"/>
    </row>
    <row r="26" spans="1:17" x14ac:dyDescent="0.25">
      <c r="A26" s="357"/>
      <c r="B26" s="357"/>
      <c r="C26" s="357"/>
      <c r="D26" s="357"/>
      <c r="E26" s="357"/>
      <c r="F26" s="357"/>
      <c r="G26" s="514"/>
      <c r="H26" s="357"/>
      <c r="I26" s="514"/>
      <c r="J26" s="357"/>
      <c r="K26" s="357"/>
      <c r="L26" s="357"/>
      <c r="M26" s="514"/>
      <c r="N26" s="357"/>
      <c r="O26" s="357"/>
      <c r="P26" s="368"/>
      <c r="Q26" s="368"/>
    </row>
    <row r="27" spans="1:17" x14ac:dyDescent="0.25">
      <c r="A27" s="357"/>
      <c r="B27" s="357"/>
      <c r="C27" s="357"/>
      <c r="D27" s="357"/>
      <c r="E27" s="357"/>
      <c r="F27" s="357"/>
      <c r="G27" s="357"/>
      <c r="H27" s="357"/>
      <c r="I27" s="357"/>
      <c r="J27" s="357"/>
      <c r="K27" s="357"/>
      <c r="L27" s="357"/>
      <c r="M27" s="514"/>
      <c r="N27" s="357"/>
      <c r="O27" s="357"/>
      <c r="P27" s="368"/>
      <c r="Q27" s="368"/>
    </row>
    <row r="28" spans="1:17" x14ac:dyDescent="0.25">
      <c r="A28" s="357"/>
      <c r="B28" s="357"/>
      <c r="C28" s="357"/>
      <c r="D28" s="357"/>
      <c r="E28" s="357"/>
      <c r="F28" s="357"/>
      <c r="G28" s="357"/>
      <c r="H28" s="357"/>
      <c r="I28" s="357"/>
      <c r="J28" s="357"/>
      <c r="K28" s="357"/>
      <c r="L28" s="357"/>
      <c r="M28" s="546"/>
      <c r="N28" s="357"/>
      <c r="O28" s="357"/>
      <c r="P28" s="368"/>
      <c r="Q28" s="368"/>
    </row>
    <row r="29" spans="1:17" x14ac:dyDescent="0.25">
      <c r="A29" s="357"/>
      <c r="B29" s="357"/>
      <c r="C29" s="357"/>
      <c r="D29" s="357"/>
      <c r="E29" s="357"/>
      <c r="F29" s="357"/>
      <c r="G29" s="357"/>
      <c r="H29" s="357"/>
      <c r="I29" s="357"/>
      <c r="J29" s="357"/>
      <c r="K29" s="357"/>
      <c r="L29" s="357"/>
      <c r="M29" s="546"/>
      <c r="N29" s="357"/>
      <c r="O29" s="357"/>
      <c r="P29" s="368"/>
      <c r="Q29" s="368"/>
    </row>
    <row r="30" spans="1:17" x14ac:dyDescent="0.25">
      <c r="A30" s="357"/>
      <c r="B30" s="357"/>
      <c r="C30" s="357"/>
      <c r="D30" s="357"/>
      <c r="E30" s="357"/>
      <c r="F30" s="357"/>
      <c r="G30" s="357"/>
      <c r="H30" s="357"/>
      <c r="I30" s="357"/>
      <c r="J30" s="357"/>
      <c r="K30" s="357"/>
      <c r="L30" s="357"/>
      <c r="M30" s="357"/>
      <c r="N30" s="357"/>
      <c r="O30" s="357"/>
      <c r="P30" s="484"/>
      <c r="Q30" s="484"/>
    </row>
    <row r="31" spans="1:17" x14ac:dyDescent="0.25">
      <c r="A31" s="357"/>
      <c r="B31" s="357"/>
      <c r="C31" s="357"/>
      <c r="D31" s="357"/>
      <c r="E31" s="357"/>
      <c r="F31" s="357"/>
      <c r="G31" s="357"/>
      <c r="H31" s="357"/>
      <c r="I31" s="357"/>
      <c r="J31" s="357"/>
      <c r="K31" s="357"/>
      <c r="L31" s="357"/>
      <c r="M31" s="357"/>
      <c r="N31" s="357"/>
      <c r="O31" s="357"/>
      <c r="P31" s="484"/>
      <c r="Q31" s="484"/>
    </row>
  </sheetData>
  <customSheetViews>
    <customSheetView guid="{A8748736-0722-49EB-85B6-C9B52DDCFE0E}" showPageBreaks="1" fitToPage="1" printArea="1">
      <selection activeCell="A26" sqref="A26"/>
      <pageMargins left="0.7" right="0.7" top="0.75" bottom="0.75" header="0.3" footer="0.3"/>
      <pageSetup scale="55" orientation="portrait" r:id="rId1"/>
    </customSheetView>
    <customSheetView guid="{E0C60316-4586-4AAF-92CB-FA82BB1EB755}">
      <selection sqref="A1:I1"/>
      <pageMargins left="0" right="0" top="0" bottom="0" header="0" footer="0"/>
      <pageSetup scale="70" orientation="portrait" r:id="rId2"/>
    </customSheetView>
  </customSheetViews>
  <mergeCells count="8">
    <mergeCell ref="A1:Q1"/>
    <mergeCell ref="A25:Q25"/>
    <mergeCell ref="A4:Q4"/>
    <mergeCell ref="A5:P5"/>
    <mergeCell ref="A19:Q20"/>
    <mergeCell ref="A22:Q23"/>
    <mergeCell ref="A2:Q2"/>
    <mergeCell ref="A3:Q3"/>
  </mergeCells>
  <pageMargins left="0.7" right="0.7" top="0.75" bottom="0.75" header="0.3" footer="0.3"/>
  <pageSetup scale="55"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S28"/>
  <sheetViews>
    <sheetView workbookViewId="0">
      <selection sqref="A1:Q1"/>
    </sheetView>
  </sheetViews>
  <sheetFormatPr defaultColWidth="8.88671875" defaultRowHeight="13.2" x14ac:dyDescent="0.25"/>
  <cols>
    <col min="1" max="1" width="41.6640625" style="81" customWidth="1"/>
    <col min="2" max="2" width="2.6640625" style="81" customWidth="1"/>
    <col min="3" max="3" width="13.6640625" style="81" customWidth="1"/>
    <col min="4" max="4" width="2.6640625" style="81" customWidth="1"/>
    <col min="5" max="5" width="12.6640625" style="81" customWidth="1"/>
    <col min="6" max="6" width="2.6640625" style="81" customWidth="1"/>
    <col min="7" max="7" width="12.6640625" style="81" customWidth="1"/>
    <col min="8" max="8" width="2.6640625" style="81" customWidth="1"/>
    <col min="9" max="9" width="12.6640625" style="81" customWidth="1"/>
    <col min="10" max="10" width="2.6640625" style="81" customWidth="1"/>
    <col min="11" max="11" width="12.6640625" style="81" customWidth="1"/>
    <col min="12" max="12" width="2.6640625" style="81" customWidth="1"/>
    <col min="13" max="13" width="12.6640625" style="81" customWidth="1"/>
    <col min="14" max="14" width="2.6640625" style="81" customWidth="1"/>
    <col min="15" max="15" width="12.6640625" style="81" customWidth="1"/>
    <col min="16" max="16" width="2.6640625" style="36" customWidth="1"/>
    <col min="17" max="17" width="12.6640625" style="81" customWidth="1"/>
    <col min="18" max="16384" width="8.88671875" style="81"/>
  </cols>
  <sheetData>
    <row r="1" spans="1:19" x14ac:dyDescent="0.25">
      <c r="A1" s="905" t="s">
        <v>405</v>
      </c>
      <c r="B1" s="905"/>
      <c r="C1" s="905"/>
      <c r="D1" s="905"/>
      <c r="E1" s="905"/>
      <c r="F1" s="905"/>
      <c r="G1" s="905"/>
      <c r="H1" s="905"/>
      <c r="I1" s="905"/>
      <c r="J1" s="905"/>
      <c r="K1" s="905"/>
      <c r="L1" s="905"/>
      <c r="M1" s="905"/>
      <c r="N1" s="905"/>
      <c r="O1" s="905"/>
      <c r="P1" s="905"/>
      <c r="Q1" s="905"/>
      <c r="R1" s="484"/>
      <c r="S1" s="484"/>
    </row>
    <row r="2" spans="1:19" x14ac:dyDescent="0.25">
      <c r="A2" s="905" t="s">
        <v>395</v>
      </c>
      <c r="B2" s="905"/>
      <c r="C2" s="905"/>
      <c r="D2" s="905"/>
      <c r="E2" s="905"/>
      <c r="F2" s="905"/>
      <c r="G2" s="905"/>
      <c r="H2" s="905"/>
      <c r="I2" s="905"/>
      <c r="J2" s="905"/>
      <c r="K2" s="905"/>
      <c r="L2" s="905"/>
      <c r="M2" s="905"/>
      <c r="N2" s="905"/>
      <c r="O2" s="905"/>
      <c r="P2" s="905"/>
      <c r="Q2" s="905"/>
      <c r="R2" s="484"/>
      <c r="S2" s="484"/>
    </row>
    <row r="3" spans="1:19" x14ac:dyDescent="0.25">
      <c r="A3" s="898" t="s">
        <v>406</v>
      </c>
      <c r="B3" s="898"/>
      <c r="C3" s="898"/>
      <c r="D3" s="898"/>
      <c r="E3" s="898"/>
      <c r="F3" s="898"/>
      <c r="G3" s="898"/>
      <c r="H3" s="898"/>
      <c r="I3" s="898"/>
      <c r="J3" s="898"/>
      <c r="K3" s="898"/>
      <c r="L3" s="898"/>
      <c r="M3" s="898"/>
      <c r="N3" s="898"/>
      <c r="O3" s="898"/>
      <c r="P3" s="898"/>
      <c r="Q3" s="898"/>
      <c r="R3" s="484"/>
      <c r="S3" s="484"/>
    </row>
    <row r="4" spans="1:19" x14ac:dyDescent="0.25">
      <c r="A4" s="644"/>
      <c r="B4" s="644"/>
      <c r="C4" s="644"/>
      <c r="D4" s="644"/>
      <c r="E4" s="644"/>
      <c r="F4" s="644"/>
      <c r="G4" s="644"/>
      <c r="H4" s="644"/>
      <c r="I4" s="644"/>
      <c r="J4" s="644"/>
      <c r="K4" s="644"/>
      <c r="L4" s="644"/>
      <c r="M4" s="644"/>
      <c r="N4" s="644"/>
      <c r="O4" s="644"/>
      <c r="P4" s="644"/>
      <c r="Q4" s="644"/>
      <c r="R4" s="484"/>
      <c r="S4" s="484"/>
    </row>
    <row r="5" spans="1:19" x14ac:dyDescent="0.25">
      <c r="A5" s="644"/>
      <c r="B5" s="644"/>
      <c r="C5" s="644"/>
      <c r="D5" s="644"/>
      <c r="E5" s="644"/>
      <c r="F5" s="644"/>
      <c r="G5" s="644"/>
      <c r="H5" s="644"/>
      <c r="I5" s="644"/>
      <c r="J5" s="644"/>
      <c r="K5" s="644"/>
      <c r="L5" s="644"/>
      <c r="M5" s="644"/>
      <c r="N5" s="644"/>
      <c r="O5" s="644"/>
      <c r="P5" s="644"/>
      <c r="Q5" s="644"/>
      <c r="R5" s="484"/>
      <c r="S5" s="484"/>
    </row>
    <row r="6" spans="1:19" x14ac:dyDescent="0.25">
      <c r="A6" s="484"/>
      <c r="B6" s="484"/>
      <c r="C6" s="484"/>
      <c r="D6" s="484"/>
      <c r="E6" s="484"/>
      <c r="F6" s="484"/>
      <c r="G6" s="484"/>
      <c r="H6" s="540"/>
      <c r="I6" s="484"/>
      <c r="J6" s="484"/>
      <c r="K6" s="484"/>
      <c r="L6" s="484"/>
      <c r="M6" s="484"/>
      <c r="N6" s="484"/>
      <c r="O6" s="484"/>
      <c r="P6" s="435"/>
      <c r="Q6" s="484"/>
      <c r="R6" s="484"/>
      <c r="S6" s="484"/>
    </row>
    <row r="7" spans="1:19" x14ac:dyDescent="0.25">
      <c r="A7" s="484"/>
      <c r="B7" s="484"/>
      <c r="C7" s="350">
        <v>2022</v>
      </c>
      <c r="D7" s="484"/>
      <c r="E7" s="350">
        <v>2021</v>
      </c>
      <c r="F7" s="484"/>
      <c r="G7" s="350">
        <v>2020</v>
      </c>
      <c r="H7" s="484"/>
      <c r="I7" s="350">
        <v>2019</v>
      </c>
      <c r="J7" s="502"/>
      <c r="K7" s="350">
        <v>2018</v>
      </c>
      <c r="L7" s="484"/>
      <c r="M7" s="350">
        <v>2017</v>
      </c>
      <c r="N7" s="484"/>
      <c r="O7" s="350">
        <v>2016</v>
      </c>
      <c r="P7" s="807"/>
      <c r="Q7" s="350">
        <v>2015</v>
      </c>
      <c r="R7" s="484"/>
      <c r="S7" s="484"/>
    </row>
    <row r="8" spans="1:19" x14ac:dyDescent="0.25">
      <c r="A8" s="484"/>
      <c r="B8" s="484"/>
      <c r="C8" s="484"/>
      <c r="D8" s="484"/>
      <c r="E8" s="484"/>
      <c r="F8" s="484"/>
      <c r="G8" s="484"/>
      <c r="H8" s="540"/>
      <c r="I8" s="484"/>
      <c r="J8" s="484"/>
      <c r="K8" s="484"/>
      <c r="L8" s="484"/>
      <c r="M8" s="678"/>
      <c r="N8" s="644"/>
      <c r="O8" s="678"/>
      <c r="P8" s="683"/>
      <c r="Q8" s="484"/>
      <c r="R8" s="484"/>
      <c r="S8" s="484"/>
    </row>
    <row r="9" spans="1:19" x14ac:dyDescent="0.25">
      <c r="A9" s="347" t="s">
        <v>407</v>
      </c>
      <c r="B9" s="347"/>
      <c r="C9" s="408">
        <v>1285342</v>
      </c>
      <c r="D9" s="347"/>
      <c r="E9" s="408">
        <v>1001000</v>
      </c>
      <c r="F9" s="503"/>
      <c r="G9" s="345">
        <v>910000</v>
      </c>
      <c r="H9" s="347"/>
      <c r="I9" s="345">
        <v>880000</v>
      </c>
      <c r="J9" s="347"/>
      <c r="K9" s="345">
        <v>875000</v>
      </c>
      <c r="L9" s="484"/>
      <c r="M9" s="345">
        <v>864942.40375199995</v>
      </c>
      <c r="N9" s="435"/>
      <c r="O9" s="345">
        <v>850000</v>
      </c>
      <c r="P9" s="435"/>
      <c r="Q9" s="345">
        <v>838666</v>
      </c>
      <c r="R9" s="484"/>
      <c r="S9" s="484"/>
    </row>
    <row r="10" spans="1:19" ht="33" customHeight="1" x14ac:dyDescent="0.25">
      <c r="A10" s="353" t="s">
        <v>408</v>
      </c>
      <c r="B10" s="353"/>
      <c r="C10" s="499">
        <v>1285342</v>
      </c>
      <c r="D10" s="353"/>
      <c r="E10" s="499">
        <v>1001000</v>
      </c>
      <c r="F10" s="504"/>
      <c r="G10" s="356">
        <v>910000</v>
      </c>
      <c r="H10" s="353"/>
      <c r="I10" s="356">
        <v>880000</v>
      </c>
      <c r="J10" s="353"/>
      <c r="K10" s="356">
        <v>875000</v>
      </c>
      <c r="L10" s="684"/>
      <c r="M10" s="356">
        <v>864942.40375199995</v>
      </c>
      <c r="N10" s="435"/>
      <c r="O10" s="356">
        <v>850000</v>
      </c>
      <c r="P10" s="435"/>
      <c r="Q10" s="356">
        <v>838666</v>
      </c>
      <c r="R10" s="484"/>
      <c r="S10" s="484"/>
    </row>
    <row r="11" spans="1:19" ht="13.8" thickBot="1" x14ac:dyDescent="0.3">
      <c r="A11" s="347" t="s">
        <v>409</v>
      </c>
      <c r="B11" s="347"/>
      <c r="C11" s="349">
        <f>C9-C10</f>
        <v>0</v>
      </c>
      <c r="D11" s="347"/>
      <c r="E11" s="349">
        <f>E9-E10</f>
        <v>0</v>
      </c>
      <c r="F11" s="503"/>
      <c r="G11" s="349">
        <f>G9-G10</f>
        <v>0</v>
      </c>
      <c r="H11" s="347"/>
      <c r="I11" s="349">
        <f>I9-I10</f>
        <v>0</v>
      </c>
      <c r="J11" s="347"/>
      <c r="K11" s="349">
        <f>K9-K10</f>
        <v>0</v>
      </c>
      <c r="L11" s="484"/>
      <c r="M11" s="349">
        <v>0</v>
      </c>
      <c r="N11" s="435"/>
      <c r="O11" s="349">
        <v>0</v>
      </c>
      <c r="P11" s="435"/>
      <c r="Q11" s="349">
        <v>0</v>
      </c>
      <c r="R11" s="484"/>
      <c r="S11" s="484"/>
    </row>
    <row r="12" spans="1:19" ht="13.8" thickTop="1" x14ac:dyDescent="0.25">
      <c r="A12" s="347"/>
      <c r="B12" s="347"/>
      <c r="C12" s="347"/>
      <c r="D12" s="347"/>
      <c r="E12" s="347"/>
      <c r="F12" s="354"/>
      <c r="G12" s="347"/>
      <c r="H12" s="347"/>
      <c r="I12" s="347"/>
      <c r="J12" s="347"/>
      <c r="K12" s="347"/>
      <c r="L12" s="484"/>
      <c r="M12" s="347"/>
      <c r="N12" s="435"/>
      <c r="O12" s="347"/>
      <c r="P12" s="435"/>
      <c r="Q12" s="347"/>
      <c r="R12" s="484"/>
      <c r="S12" s="484"/>
    </row>
    <row r="13" spans="1:19" x14ac:dyDescent="0.25">
      <c r="A13" s="347" t="s">
        <v>399</v>
      </c>
      <c r="B13" s="347"/>
      <c r="C13" s="515">
        <v>16066775</v>
      </c>
      <c r="D13" s="347"/>
      <c r="E13" s="597">
        <v>12184890</v>
      </c>
      <c r="F13" s="355"/>
      <c r="G13" s="597">
        <v>12136400</v>
      </c>
      <c r="H13" s="597"/>
      <c r="I13" s="598">
        <v>12087912</v>
      </c>
      <c r="J13" s="355"/>
      <c r="K13" s="598">
        <v>12200000</v>
      </c>
      <c r="L13" s="355"/>
      <c r="M13" s="430">
        <v>12193883.149999999</v>
      </c>
      <c r="N13" s="404"/>
      <c r="O13" s="598">
        <v>12165383.149999999</v>
      </c>
      <c r="P13" s="412"/>
      <c r="Q13" s="598">
        <v>11522166.57</v>
      </c>
      <c r="R13" s="404"/>
      <c r="S13" s="598"/>
    </row>
    <row r="14" spans="1:19" x14ac:dyDescent="0.25">
      <c r="A14" s="347"/>
      <c r="B14" s="347"/>
      <c r="C14" s="347"/>
      <c r="D14" s="347"/>
      <c r="E14" s="347"/>
      <c r="F14" s="347"/>
      <c r="G14" s="347"/>
      <c r="H14" s="347"/>
      <c r="I14" s="347"/>
      <c r="J14" s="347"/>
      <c r="K14" s="347"/>
      <c r="L14" s="484"/>
      <c r="M14" s="347"/>
      <c r="N14" s="435"/>
      <c r="O14" s="347"/>
      <c r="P14" s="435"/>
      <c r="Q14" s="347"/>
      <c r="R14" s="484"/>
      <c r="S14" s="484"/>
    </row>
    <row r="15" spans="1:19" x14ac:dyDescent="0.25">
      <c r="A15" s="352" t="s">
        <v>410</v>
      </c>
      <c r="B15" s="352"/>
      <c r="C15" s="346">
        <f>C10/C13</f>
        <v>0.08</v>
      </c>
      <c r="D15" s="352"/>
      <c r="E15" s="346">
        <f>E9/E13</f>
        <v>8.2150926270159186E-2</v>
      </c>
      <c r="F15" s="346"/>
      <c r="G15" s="346">
        <f>G10/G13</f>
        <v>7.4981048745921361E-2</v>
      </c>
      <c r="H15" s="352"/>
      <c r="I15" s="346">
        <f>I10/I13</f>
        <v>7.2800000529454553E-2</v>
      </c>
      <c r="J15" s="347"/>
      <c r="K15" s="346">
        <f>K10/K13</f>
        <v>7.1721311475409832E-2</v>
      </c>
      <c r="L15" s="484"/>
      <c r="M15" s="346">
        <v>7.1098656991498047E-2</v>
      </c>
      <c r="N15" s="435"/>
      <c r="O15" s="346">
        <f>O10/O13</f>
        <v>6.9870384641358391E-2</v>
      </c>
      <c r="P15" s="435"/>
      <c r="Q15" s="346">
        <f>Q10/Q13</f>
        <v>7.2787178948064801E-2</v>
      </c>
      <c r="R15" s="484"/>
      <c r="S15" s="484"/>
    </row>
    <row r="16" spans="1:19" x14ac:dyDescent="0.25">
      <c r="A16" s="347"/>
      <c r="B16" s="347"/>
      <c r="C16" s="347"/>
      <c r="D16" s="347"/>
      <c r="E16" s="347"/>
      <c r="F16" s="347"/>
      <c r="G16" s="347"/>
      <c r="H16" s="347"/>
      <c r="I16" s="401"/>
      <c r="J16" s="347"/>
      <c r="K16" s="346"/>
      <c r="L16" s="347"/>
      <c r="M16" s="484"/>
      <c r="N16" s="484"/>
      <c r="O16" s="484"/>
      <c r="P16" s="435"/>
      <c r="Q16" s="484"/>
      <c r="R16" s="484"/>
      <c r="S16" s="484"/>
    </row>
    <row r="17" spans="1:19" x14ac:dyDescent="0.25">
      <c r="A17" s="484"/>
      <c r="B17" s="484"/>
      <c r="C17" s="484"/>
      <c r="D17" s="484"/>
      <c r="E17" s="484"/>
      <c r="F17" s="484"/>
      <c r="G17" s="484"/>
      <c r="H17" s="484"/>
      <c r="I17" s="685"/>
      <c r="J17" s="484"/>
      <c r="K17" s="484"/>
      <c r="L17" s="484"/>
      <c r="M17" s="484"/>
      <c r="N17" s="484"/>
      <c r="O17" s="484"/>
      <c r="P17" s="435"/>
      <c r="Q17" s="484"/>
      <c r="R17" s="484"/>
      <c r="S17" s="484"/>
    </row>
    <row r="19" spans="1:19" ht="13.95" customHeight="1" x14ac:dyDescent="0.25">
      <c r="A19" s="899" t="s">
        <v>404</v>
      </c>
      <c r="B19" s="900"/>
      <c r="C19" s="900"/>
      <c r="D19" s="900"/>
      <c r="E19" s="900"/>
      <c r="F19" s="900"/>
      <c r="G19" s="900"/>
      <c r="H19" s="900"/>
      <c r="I19" s="900"/>
      <c r="J19" s="900"/>
      <c r="K19" s="900"/>
      <c r="L19" s="900"/>
      <c r="M19" s="900"/>
      <c r="N19" s="900"/>
      <c r="O19" s="900"/>
      <c r="P19" s="900"/>
      <c r="Q19" s="901"/>
      <c r="R19" s="484"/>
      <c r="S19" s="484"/>
    </row>
    <row r="20" spans="1:19" x14ac:dyDescent="0.25">
      <c r="A20" s="902"/>
      <c r="B20" s="903"/>
      <c r="C20" s="903"/>
      <c r="D20" s="903"/>
      <c r="E20" s="903"/>
      <c r="F20" s="903"/>
      <c r="G20" s="903"/>
      <c r="H20" s="903"/>
      <c r="I20" s="903"/>
      <c r="J20" s="903"/>
      <c r="K20" s="903"/>
      <c r="L20" s="903"/>
      <c r="M20" s="903"/>
      <c r="N20" s="903"/>
      <c r="O20" s="903"/>
      <c r="P20" s="903"/>
      <c r="Q20" s="904"/>
      <c r="R20" s="484"/>
      <c r="S20" s="484"/>
    </row>
    <row r="22" spans="1:19" ht="91.2" customHeight="1" x14ac:dyDescent="0.25">
      <c r="A22" s="895" t="s">
        <v>1111</v>
      </c>
      <c r="B22" s="896"/>
      <c r="C22" s="896"/>
      <c r="D22" s="896"/>
      <c r="E22" s="896"/>
      <c r="F22" s="896"/>
      <c r="G22" s="896"/>
      <c r="H22" s="896"/>
      <c r="I22" s="896"/>
      <c r="J22" s="896"/>
      <c r="K22" s="896"/>
      <c r="L22" s="896"/>
      <c r="M22" s="896"/>
      <c r="N22" s="896"/>
      <c r="O22" s="896"/>
      <c r="P22" s="896"/>
      <c r="Q22" s="897"/>
      <c r="R22" s="609"/>
      <c r="S22" s="609"/>
    </row>
    <row r="23" spans="1:19" x14ac:dyDescent="0.25">
      <c r="A23" s="368"/>
      <c r="B23" s="368"/>
      <c r="C23" s="368"/>
      <c r="D23" s="368"/>
      <c r="E23" s="516"/>
      <c r="F23" s="368"/>
      <c r="G23" s="515"/>
      <c r="H23" s="368"/>
      <c r="I23" s="368"/>
      <c r="J23" s="368"/>
      <c r="K23" s="368"/>
      <c r="L23" s="368"/>
      <c r="M23" s="368"/>
      <c r="N23" s="368"/>
      <c r="O23" s="368"/>
      <c r="P23" s="368"/>
      <c r="Q23" s="368"/>
      <c r="R23" s="484"/>
      <c r="S23" s="484"/>
    </row>
    <row r="24" spans="1:19" x14ac:dyDescent="0.25">
      <c r="A24" s="368"/>
      <c r="B24" s="368"/>
      <c r="C24" s="368"/>
      <c r="D24" s="368"/>
      <c r="E24" s="368"/>
      <c r="F24" s="368"/>
      <c r="G24" s="368"/>
      <c r="H24" s="368"/>
      <c r="I24" s="368"/>
      <c r="J24" s="368"/>
      <c r="K24" s="368"/>
      <c r="L24" s="368"/>
      <c r="M24" s="368"/>
      <c r="N24" s="368"/>
      <c r="O24" s="368"/>
      <c r="P24" s="368"/>
      <c r="Q24" s="368"/>
      <c r="R24" s="484"/>
      <c r="S24" s="484"/>
    </row>
    <row r="25" spans="1:19" x14ac:dyDescent="0.25">
      <c r="A25" s="368"/>
      <c r="B25" s="368"/>
      <c r="C25" s="368"/>
      <c r="D25" s="368"/>
      <c r="E25" s="484"/>
      <c r="F25" s="368"/>
      <c r="G25" s="368"/>
      <c r="H25" s="368"/>
      <c r="I25" s="368"/>
      <c r="J25" s="368"/>
      <c r="K25" s="368"/>
      <c r="L25" s="368"/>
      <c r="M25" s="368"/>
      <c r="N25" s="368"/>
      <c r="O25" s="368"/>
      <c r="P25" s="368"/>
      <c r="Q25" s="368"/>
      <c r="R25" s="484"/>
      <c r="S25" s="484"/>
    </row>
    <row r="26" spans="1:19" x14ac:dyDescent="0.25">
      <c r="A26" s="368"/>
      <c r="B26" s="368"/>
      <c r="C26" s="368"/>
      <c r="D26" s="368"/>
      <c r="E26" s="368"/>
      <c r="F26" s="368"/>
      <c r="G26" s="368"/>
      <c r="H26" s="368"/>
      <c r="I26" s="368"/>
      <c r="J26" s="368"/>
      <c r="K26" s="368"/>
      <c r="L26" s="368"/>
      <c r="M26" s="368"/>
      <c r="N26" s="368"/>
      <c r="O26" s="368"/>
      <c r="P26" s="368"/>
      <c r="Q26" s="368"/>
      <c r="R26" s="484"/>
      <c r="S26" s="484"/>
    </row>
    <row r="27" spans="1:19" x14ac:dyDescent="0.25">
      <c r="A27" s="368"/>
      <c r="B27" s="368"/>
      <c r="C27" s="368"/>
      <c r="D27" s="368"/>
      <c r="E27" s="368"/>
      <c r="F27" s="368"/>
      <c r="G27" s="368"/>
      <c r="H27" s="368"/>
      <c r="I27" s="368"/>
      <c r="J27" s="368"/>
      <c r="K27" s="368"/>
      <c r="L27" s="368"/>
      <c r="M27" s="368"/>
      <c r="N27" s="368"/>
      <c r="O27" s="368"/>
      <c r="P27" s="368"/>
      <c r="Q27" s="484"/>
      <c r="R27" s="484"/>
      <c r="S27" s="484"/>
    </row>
    <row r="28" spans="1:19" x14ac:dyDescent="0.25">
      <c r="A28" s="368"/>
      <c r="B28" s="368"/>
      <c r="C28" s="368"/>
      <c r="D28" s="368"/>
      <c r="E28" s="368"/>
      <c r="F28" s="368"/>
      <c r="G28" s="368"/>
      <c r="H28" s="368"/>
      <c r="I28" s="368"/>
      <c r="J28" s="368"/>
      <c r="K28" s="368"/>
      <c r="L28" s="368"/>
      <c r="M28" s="368"/>
      <c r="N28" s="368"/>
      <c r="O28" s="368"/>
      <c r="P28" s="368"/>
      <c r="Q28" s="484"/>
      <c r="R28" s="484"/>
      <c r="S28" s="484"/>
    </row>
  </sheetData>
  <customSheetViews>
    <customSheetView guid="{A8748736-0722-49EB-85B6-C9B52DDCFE0E}" showPageBreaks="1" fitToPage="1" printArea="1">
      <selection activeCell="A23" sqref="A23"/>
      <pageMargins left="0.7" right="0.7" top="0.75" bottom="0.75" header="0.3" footer="0.3"/>
      <pageSetup scale="55" orientation="portrait" r:id="rId1"/>
    </customSheetView>
    <customSheetView guid="{E0C60316-4586-4AAF-92CB-FA82BB1EB755}">
      <selection activeCell="B7" sqref="B7"/>
      <pageMargins left="0" right="0" top="0" bottom="0" header="0" footer="0"/>
      <pageSetup scale="82" orientation="portrait" r:id="rId2"/>
    </customSheetView>
  </customSheetViews>
  <mergeCells count="5">
    <mergeCell ref="A19:Q20"/>
    <mergeCell ref="A1:Q1"/>
    <mergeCell ref="A2:Q2"/>
    <mergeCell ref="A3:Q3"/>
    <mergeCell ref="A22:Q22"/>
  </mergeCells>
  <pageMargins left="0.7" right="0.7" top="0.75" bottom="0.75" header="0.3" footer="0.3"/>
  <pageSetup scale="55"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30"/>
  <sheetViews>
    <sheetView workbookViewId="0">
      <selection sqref="A1:Q1"/>
    </sheetView>
  </sheetViews>
  <sheetFormatPr defaultColWidth="8.88671875" defaultRowHeight="13.2" x14ac:dyDescent="0.25"/>
  <cols>
    <col min="1" max="1" width="42.44140625" style="81" customWidth="1"/>
    <col min="2" max="2" width="2.6640625" style="81" customWidth="1"/>
    <col min="3" max="3" width="13" style="81" customWidth="1"/>
    <col min="4" max="4" width="2.6640625" style="81" customWidth="1"/>
    <col min="5" max="5" width="12.6640625" style="81" customWidth="1"/>
    <col min="6" max="6" width="2.6640625" style="81" customWidth="1"/>
    <col min="7" max="7" width="12.6640625" style="81" customWidth="1"/>
    <col min="8" max="8" width="2.6640625" style="81" customWidth="1"/>
    <col min="9" max="9" width="12.6640625" style="81" customWidth="1"/>
    <col min="10" max="10" width="2.6640625" style="81" customWidth="1"/>
    <col min="11" max="11" width="12.6640625" style="81" customWidth="1"/>
    <col min="12" max="12" width="2.6640625" style="81" customWidth="1"/>
    <col min="13" max="13" width="12.6640625" style="81" customWidth="1"/>
    <col min="14" max="14" width="2.6640625" style="81" customWidth="1"/>
    <col min="15" max="15" width="12.6640625" style="81" customWidth="1"/>
    <col min="16" max="16" width="2.6640625" style="81" customWidth="1"/>
    <col min="17" max="17" width="12.6640625" style="81" customWidth="1"/>
    <col min="18" max="16384" width="8.88671875" style="81"/>
  </cols>
  <sheetData>
    <row r="1" spans="1:17" x14ac:dyDescent="0.25">
      <c r="A1" s="894" t="s">
        <v>11</v>
      </c>
      <c r="B1" s="894"/>
      <c r="C1" s="894"/>
      <c r="D1" s="894"/>
      <c r="E1" s="894"/>
      <c r="F1" s="894"/>
      <c r="G1" s="894"/>
      <c r="H1" s="894"/>
      <c r="I1" s="894"/>
      <c r="J1" s="894"/>
      <c r="K1" s="894"/>
      <c r="L1" s="894"/>
      <c r="M1" s="894"/>
      <c r="N1" s="894"/>
      <c r="O1" s="894"/>
      <c r="P1" s="894"/>
      <c r="Q1" s="894"/>
    </row>
    <row r="2" spans="1:17" ht="16.2" customHeight="1" x14ac:dyDescent="0.25">
      <c r="A2" s="894" t="s">
        <v>411</v>
      </c>
      <c r="B2" s="894"/>
      <c r="C2" s="894"/>
      <c r="D2" s="894"/>
      <c r="E2" s="894"/>
      <c r="F2" s="894"/>
      <c r="G2" s="894"/>
      <c r="H2" s="894"/>
      <c r="I2" s="894"/>
      <c r="J2" s="894"/>
      <c r="K2" s="894"/>
      <c r="L2" s="894"/>
      <c r="M2" s="894"/>
      <c r="N2" s="894"/>
      <c r="O2" s="894"/>
      <c r="P2" s="894"/>
      <c r="Q2" s="894"/>
    </row>
    <row r="3" spans="1:17" ht="12.75" customHeight="1" x14ac:dyDescent="0.25">
      <c r="A3" s="894" t="s">
        <v>395</v>
      </c>
      <c r="B3" s="894"/>
      <c r="C3" s="894"/>
      <c r="D3" s="894"/>
      <c r="E3" s="894"/>
      <c r="F3" s="894"/>
      <c r="G3" s="894"/>
      <c r="H3" s="894"/>
      <c r="I3" s="894"/>
      <c r="J3" s="894"/>
      <c r="K3" s="894"/>
      <c r="L3" s="894"/>
      <c r="M3" s="894"/>
      <c r="N3" s="894"/>
      <c r="O3" s="894"/>
      <c r="P3" s="894"/>
      <c r="Q3" s="894"/>
    </row>
    <row r="4" spans="1:17" x14ac:dyDescent="0.25">
      <c r="A4" s="898" t="s">
        <v>396</v>
      </c>
      <c r="B4" s="898"/>
      <c r="C4" s="898"/>
      <c r="D4" s="898"/>
      <c r="E4" s="898"/>
      <c r="F4" s="898"/>
      <c r="G4" s="898"/>
      <c r="H4" s="898"/>
      <c r="I4" s="898"/>
      <c r="J4" s="898"/>
      <c r="K4" s="898"/>
      <c r="L4" s="898"/>
      <c r="M4" s="898"/>
      <c r="N4" s="898"/>
      <c r="O4" s="898"/>
      <c r="P4" s="898"/>
      <c r="Q4" s="898"/>
    </row>
    <row r="5" spans="1:17" x14ac:dyDescent="0.25">
      <c r="A5" s="898"/>
      <c r="B5" s="898"/>
      <c r="C5" s="898"/>
      <c r="D5" s="898"/>
      <c r="E5" s="898"/>
      <c r="F5" s="898"/>
      <c r="G5" s="898"/>
      <c r="H5" s="898"/>
      <c r="I5" s="898"/>
      <c r="J5" s="898"/>
      <c r="K5" s="898"/>
      <c r="L5" s="898"/>
      <c r="M5" s="898"/>
      <c r="N5" s="898"/>
      <c r="O5" s="898"/>
      <c r="P5" s="898"/>
      <c r="Q5" s="484"/>
    </row>
    <row r="7" spans="1:17" x14ac:dyDescent="0.25">
      <c r="A7" s="484"/>
      <c r="B7" s="484"/>
      <c r="C7" s="484"/>
      <c r="D7" s="484"/>
      <c r="E7" s="484"/>
      <c r="F7" s="484"/>
      <c r="G7" s="484"/>
      <c r="H7" s="540"/>
      <c r="I7" s="484"/>
      <c r="J7" s="484"/>
      <c r="K7" s="484"/>
      <c r="L7" s="484"/>
      <c r="M7" s="484"/>
      <c r="N7" s="484"/>
      <c r="O7" s="484"/>
      <c r="P7" s="484"/>
      <c r="Q7" s="484"/>
    </row>
    <row r="8" spans="1:17" x14ac:dyDescent="0.25">
      <c r="A8" s="484"/>
      <c r="B8" s="484"/>
      <c r="C8" s="595">
        <v>2022</v>
      </c>
      <c r="D8" s="484"/>
      <c r="E8" s="595">
        <v>2021</v>
      </c>
      <c r="F8" s="484"/>
      <c r="G8" s="350">
        <v>2020</v>
      </c>
      <c r="H8" s="484"/>
      <c r="I8" s="350">
        <v>2019</v>
      </c>
      <c r="J8" s="502"/>
      <c r="K8" s="350">
        <v>2018</v>
      </c>
      <c r="L8" s="484"/>
      <c r="M8" s="350">
        <v>2017</v>
      </c>
      <c r="N8" s="484"/>
      <c r="O8" s="350">
        <v>2016</v>
      </c>
      <c r="P8" s="351"/>
      <c r="Q8" s="350">
        <v>2015</v>
      </c>
    </row>
    <row r="9" spans="1:17" x14ac:dyDescent="0.25">
      <c r="A9" s="484"/>
      <c r="B9" s="484"/>
      <c r="C9" s="404"/>
      <c r="D9" s="484"/>
      <c r="E9" s="484"/>
      <c r="F9" s="484"/>
      <c r="G9" s="484"/>
      <c r="H9" s="540"/>
      <c r="I9" s="484"/>
      <c r="J9" s="484"/>
      <c r="K9" s="484"/>
      <c r="L9" s="484"/>
      <c r="M9" s="678"/>
      <c r="N9" s="484"/>
      <c r="O9" s="678"/>
      <c r="P9" s="484"/>
      <c r="Q9" s="484"/>
    </row>
    <row r="10" spans="1:17" ht="26.4" x14ac:dyDescent="0.25">
      <c r="A10" s="342" t="s">
        <v>412</v>
      </c>
      <c r="B10" s="342"/>
      <c r="C10" s="596">
        <v>5.2999999999999998E-4</v>
      </c>
      <c r="D10" s="342"/>
      <c r="E10" s="513">
        <f>0.00053+0.000027</f>
        <v>5.5699999999999999E-4</v>
      </c>
      <c r="F10" s="342"/>
      <c r="G10" s="343">
        <v>5.4000000000000001E-4</v>
      </c>
      <c r="H10" s="343"/>
      <c r="I10" s="343">
        <v>5.2999999999999998E-4</v>
      </c>
      <c r="J10" s="342"/>
      <c r="K10" s="343">
        <v>5.1999999999999995E-4</v>
      </c>
      <c r="L10" s="342"/>
      <c r="M10" s="679">
        <v>5.8E-4</v>
      </c>
      <c r="N10" s="484"/>
      <c r="O10" s="343">
        <v>5.5999999999999995E-4</v>
      </c>
      <c r="P10" s="680"/>
      <c r="Q10" s="343">
        <v>5.5000000000000003E-4</v>
      </c>
    </row>
    <row r="11" spans="1:17" ht="26.4" x14ac:dyDescent="0.25">
      <c r="A11" s="342" t="s">
        <v>413</v>
      </c>
      <c r="B11" s="342"/>
      <c r="C11" s="344">
        <v>42565</v>
      </c>
      <c r="D11" s="342"/>
      <c r="E11" s="344">
        <f>42565-3459</f>
        <v>39106</v>
      </c>
      <c r="F11" s="342"/>
      <c r="G11" s="344">
        <v>46988</v>
      </c>
      <c r="H11" s="344"/>
      <c r="I11" s="344">
        <v>43667</v>
      </c>
      <c r="J11" s="342"/>
      <c r="K11" s="344">
        <v>41238</v>
      </c>
      <c r="L11" s="342"/>
      <c r="M11" s="575">
        <v>38664</v>
      </c>
      <c r="N11" s="484"/>
      <c r="O11" s="344">
        <v>-22556</v>
      </c>
      <c r="P11" s="408"/>
      <c r="Q11" s="344">
        <v>45211</v>
      </c>
    </row>
    <row r="12" spans="1:17" x14ac:dyDescent="0.25">
      <c r="A12" s="342" t="s">
        <v>414</v>
      </c>
      <c r="B12" s="342"/>
      <c r="C12" s="344">
        <v>95203</v>
      </c>
      <c r="D12" s="342"/>
      <c r="E12" s="597">
        <v>91777</v>
      </c>
      <c r="F12" s="355"/>
      <c r="G12" s="597">
        <v>96543</v>
      </c>
      <c r="H12" s="597"/>
      <c r="I12" s="598">
        <v>93556</v>
      </c>
      <c r="J12" s="355"/>
      <c r="K12" s="598">
        <v>91258</v>
      </c>
      <c r="L12" s="355"/>
      <c r="M12" s="430">
        <v>87111</v>
      </c>
      <c r="N12" s="404"/>
      <c r="O12" s="598">
        <v>97775</v>
      </c>
      <c r="P12" s="412"/>
      <c r="Q12" s="598">
        <v>94552</v>
      </c>
    </row>
    <row r="13" spans="1:17" ht="39.6" x14ac:dyDescent="0.25">
      <c r="A13" s="342" t="s">
        <v>415</v>
      </c>
      <c r="B13" s="342"/>
      <c r="C13" s="686">
        <f>C11/C12</f>
        <v>0.44709725533859229</v>
      </c>
      <c r="D13" s="342"/>
      <c r="E13" s="681">
        <f>E11/E12</f>
        <v>0.42609804199309192</v>
      </c>
      <c r="F13" s="342"/>
      <c r="G13" s="681">
        <f>G11/G12</f>
        <v>0.48670540588131711</v>
      </c>
      <c r="H13" s="681"/>
      <c r="I13" s="681">
        <f>I11/I12</f>
        <v>0.46674718884945915</v>
      </c>
      <c r="J13" s="342"/>
      <c r="K13" s="681">
        <f>K11/K12</f>
        <v>0.45188367047272565</v>
      </c>
      <c r="L13" s="342"/>
      <c r="M13" s="681">
        <f>M11/M12</f>
        <v>0.44384750490753178</v>
      </c>
      <c r="N13" s="484"/>
      <c r="O13" s="681">
        <f>O11/O12</f>
        <v>-0.23069291741242648</v>
      </c>
      <c r="P13" s="680"/>
      <c r="Q13" s="681">
        <f>Q11/Q12</f>
        <v>0.47816016583467297</v>
      </c>
    </row>
    <row r="14" spans="1:17" ht="26.4" x14ac:dyDescent="0.25">
      <c r="A14" s="342" t="s">
        <v>401</v>
      </c>
      <c r="B14" s="342"/>
      <c r="C14" s="402">
        <v>0.8861</v>
      </c>
      <c r="D14" s="342"/>
      <c r="E14" s="402">
        <v>0.90859999999999996</v>
      </c>
      <c r="F14" s="342"/>
      <c r="G14" s="402">
        <v>0.9163</v>
      </c>
      <c r="H14" s="402"/>
      <c r="I14" s="346">
        <v>0.94179999999999997</v>
      </c>
      <c r="J14" s="342"/>
      <c r="K14" s="346">
        <v>0.98089999999999999</v>
      </c>
      <c r="L14" s="342"/>
      <c r="M14" s="682">
        <f>O14-3.85%</f>
        <v>0.98790120978572693</v>
      </c>
      <c r="N14" s="484"/>
      <c r="O14" s="346">
        <v>1.0264012097857269</v>
      </c>
      <c r="P14" s="680"/>
      <c r="Q14" s="346">
        <v>0.94345790240950211</v>
      </c>
    </row>
    <row r="16" spans="1:17" x14ac:dyDescent="0.25">
      <c r="A16" s="347" t="s">
        <v>402</v>
      </c>
      <c r="B16" s="347"/>
      <c r="C16" s="347"/>
      <c r="D16" s="347"/>
      <c r="E16" s="347"/>
      <c r="F16" s="347"/>
      <c r="G16" s="347"/>
      <c r="H16" s="347"/>
      <c r="I16" s="347"/>
      <c r="J16" s="347"/>
      <c r="K16" s="347"/>
      <c r="L16" s="347"/>
      <c r="M16" s="484"/>
      <c r="N16" s="484"/>
      <c r="O16" s="484"/>
      <c r="P16" s="399"/>
      <c r="Q16" s="484"/>
    </row>
    <row r="17" spans="1:17" x14ac:dyDescent="0.25">
      <c r="A17" s="347"/>
      <c r="B17" s="347"/>
      <c r="C17" s="347"/>
      <c r="D17" s="347"/>
      <c r="E17" s="347"/>
      <c r="F17" s="347"/>
      <c r="G17" s="347"/>
      <c r="H17" s="347"/>
      <c r="I17" s="347"/>
      <c r="J17" s="347"/>
      <c r="K17" s="347"/>
      <c r="L17" s="347"/>
      <c r="M17" s="484"/>
      <c r="N17" s="484"/>
      <c r="O17" s="484"/>
      <c r="P17" s="399"/>
      <c r="Q17" s="484"/>
    </row>
    <row r="19" spans="1:17" x14ac:dyDescent="0.25">
      <c r="A19" s="899" t="s">
        <v>403</v>
      </c>
      <c r="B19" s="900"/>
      <c r="C19" s="900"/>
      <c r="D19" s="900"/>
      <c r="E19" s="900"/>
      <c r="F19" s="900"/>
      <c r="G19" s="900"/>
      <c r="H19" s="900"/>
      <c r="I19" s="900"/>
      <c r="J19" s="900"/>
      <c r="K19" s="900"/>
      <c r="L19" s="900"/>
      <c r="M19" s="900"/>
      <c r="N19" s="900"/>
      <c r="O19" s="900"/>
      <c r="P19" s="900"/>
      <c r="Q19" s="901"/>
    </row>
    <row r="20" spans="1:17" x14ac:dyDescent="0.25">
      <c r="A20" s="902"/>
      <c r="B20" s="903"/>
      <c r="C20" s="903"/>
      <c r="D20" s="903"/>
      <c r="E20" s="903"/>
      <c r="F20" s="903"/>
      <c r="G20" s="903"/>
      <c r="H20" s="903"/>
      <c r="I20" s="903"/>
      <c r="J20" s="903"/>
      <c r="K20" s="903"/>
      <c r="L20" s="903"/>
      <c r="M20" s="903"/>
      <c r="N20" s="903"/>
      <c r="O20" s="903"/>
      <c r="P20" s="903"/>
      <c r="Q20" s="904"/>
    </row>
    <row r="21" spans="1:17" x14ac:dyDescent="0.25">
      <c r="A21" s="404"/>
      <c r="B21" s="404"/>
      <c r="C21" s="404"/>
      <c r="D21" s="404"/>
      <c r="E21" s="404"/>
      <c r="F21" s="404"/>
      <c r="G21" s="404"/>
      <c r="H21" s="404"/>
      <c r="I21" s="404"/>
      <c r="J21" s="404"/>
      <c r="K21" s="404"/>
      <c r="L21" s="404"/>
      <c r="M21" s="404"/>
      <c r="N21" s="404"/>
      <c r="O21" s="404"/>
      <c r="P21" s="484"/>
      <c r="Q21" s="484"/>
    </row>
    <row r="22" spans="1:17" x14ac:dyDescent="0.25">
      <c r="A22" s="899" t="s">
        <v>404</v>
      </c>
      <c r="B22" s="900"/>
      <c r="C22" s="900"/>
      <c r="D22" s="900"/>
      <c r="E22" s="900"/>
      <c r="F22" s="900"/>
      <c r="G22" s="900"/>
      <c r="H22" s="900"/>
      <c r="I22" s="900"/>
      <c r="J22" s="900"/>
      <c r="K22" s="900"/>
      <c r="L22" s="900"/>
      <c r="M22" s="900"/>
      <c r="N22" s="900"/>
      <c r="O22" s="900"/>
      <c r="P22" s="900"/>
      <c r="Q22" s="901"/>
    </row>
    <row r="23" spans="1:17" ht="32.25" customHeight="1" x14ac:dyDescent="0.25">
      <c r="A23" s="902"/>
      <c r="B23" s="903"/>
      <c r="C23" s="903"/>
      <c r="D23" s="903"/>
      <c r="E23" s="903"/>
      <c r="F23" s="903"/>
      <c r="G23" s="903"/>
      <c r="H23" s="903"/>
      <c r="I23" s="903"/>
      <c r="J23" s="903"/>
      <c r="K23" s="903"/>
      <c r="L23" s="903"/>
      <c r="M23" s="903"/>
      <c r="N23" s="903"/>
      <c r="O23" s="903"/>
      <c r="P23" s="903"/>
      <c r="Q23" s="904"/>
    </row>
    <row r="25" spans="1:17" ht="87" customHeight="1" x14ac:dyDescent="0.25">
      <c r="A25" s="895" t="s">
        <v>1111</v>
      </c>
      <c r="B25" s="896"/>
      <c r="C25" s="896"/>
      <c r="D25" s="896"/>
      <c r="E25" s="896"/>
      <c r="F25" s="896"/>
      <c r="G25" s="896"/>
      <c r="H25" s="896"/>
      <c r="I25" s="896"/>
      <c r="J25" s="896"/>
      <c r="K25" s="896"/>
      <c r="L25" s="896"/>
      <c r="M25" s="896"/>
      <c r="N25" s="896"/>
      <c r="O25" s="896"/>
      <c r="P25" s="896"/>
      <c r="Q25" s="897"/>
    </row>
    <row r="26" spans="1:17" ht="12.75" customHeight="1" x14ac:dyDescent="0.25">
      <c r="A26" s="357"/>
      <c r="B26" s="357"/>
      <c r="C26" s="357"/>
      <c r="D26" s="357"/>
      <c r="E26" s="357"/>
      <c r="F26" s="357"/>
      <c r="G26" s="357"/>
      <c r="H26" s="357"/>
      <c r="I26" s="357"/>
      <c r="J26" s="357"/>
      <c r="K26" s="357"/>
      <c r="L26" s="357"/>
      <c r="M26" s="514"/>
      <c r="N26" s="357"/>
      <c r="O26" s="357"/>
      <c r="P26" s="368"/>
      <c r="Q26" s="368"/>
    </row>
    <row r="27" spans="1:17" ht="12.75" customHeight="1" x14ac:dyDescent="0.25">
      <c r="A27" s="357"/>
      <c r="B27" s="357"/>
      <c r="C27" s="357"/>
      <c r="D27" s="357"/>
      <c r="E27" s="357"/>
      <c r="F27" s="357"/>
      <c r="G27" s="357"/>
      <c r="H27" s="357"/>
      <c r="I27" s="357"/>
      <c r="J27" s="357"/>
      <c r="K27" s="357"/>
      <c r="L27" s="357"/>
      <c r="M27" s="546"/>
      <c r="N27" s="357"/>
      <c r="O27" s="357"/>
      <c r="P27" s="368"/>
      <c r="Q27" s="368"/>
    </row>
    <row r="28" spans="1:17" ht="12.75" customHeight="1" x14ac:dyDescent="0.25">
      <c r="A28" s="357"/>
      <c r="B28" s="357"/>
      <c r="C28" s="357"/>
      <c r="D28" s="357"/>
      <c r="E28" s="357"/>
      <c r="F28" s="357"/>
      <c r="G28" s="357"/>
      <c r="H28" s="357"/>
      <c r="I28" s="357"/>
      <c r="J28" s="357"/>
      <c r="K28" s="357"/>
      <c r="L28" s="357"/>
      <c r="M28" s="546"/>
      <c r="N28" s="357"/>
      <c r="O28" s="357"/>
      <c r="P28" s="368"/>
      <c r="Q28" s="368"/>
    </row>
    <row r="29" spans="1:17" ht="12.75" customHeight="1" x14ac:dyDescent="0.25">
      <c r="A29" s="357"/>
      <c r="B29" s="357"/>
      <c r="C29" s="357"/>
      <c r="D29" s="357"/>
      <c r="E29" s="357"/>
      <c r="F29" s="357"/>
      <c r="G29" s="357"/>
      <c r="H29" s="357"/>
      <c r="I29" s="357"/>
      <c r="J29" s="357"/>
      <c r="K29" s="357"/>
      <c r="L29" s="357"/>
      <c r="M29" s="357"/>
      <c r="N29" s="357"/>
      <c r="O29" s="357"/>
      <c r="P29" s="484"/>
      <c r="Q29" s="484"/>
    </row>
    <row r="30" spans="1:17" ht="12.75" customHeight="1" x14ac:dyDescent="0.25">
      <c r="A30" s="357"/>
      <c r="B30" s="357"/>
      <c r="C30" s="357"/>
      <c r="D30" s="357"/>
      <c r="E30" s="357"/>
      <c r="F30" s="357"/>
      <c r="G30" s="357"/>
      <c r="H30" s="357"/>
      <c r="I30" s="357"/>
      <c r="J30" s="357"/>
      <c r="K30" s="357"/>
      <c r="L30" s="357"/>
      <c r="M30" s="357"/>
      <c r="N30" s="357"/>
      <c r="O30" s="357"/>
      <c r="P30" s="484"/>
      <c r="Q30" s="484"/>
    </row>
  </sheetData>
  <customSheetViews>
    <customSheetView guid="{A8748736-0722-49EB-85B6-C9B52DDCFE0E}" showPageBreaks="1" fitToPage="1" printArea="1">
      <selection activeCell="A26" sqref="A26"/>
      <pageMargins left="0.7" right="0.7" top="0.75" bottom="0.75" header="0.3" footer="0.3"/>
      <pageSetup scale="55" orientation="portrait" r:id="rId1"/>
    </customSheetView>
  </customSheetViews>
  <mergeCells count="8">
    <mergeCell ref="A25:Q25"/>
    <mergeCell ref="A22:Q23"/>
    <mergeCell ref="A1:Q1"/>
    <mergeCell ref="A2:Q2"/>
    <mergeCell ref="A3:Q3"/>
    <mergeCell ref="A4:Q4"/>
    <mergeCell ref="A5:P5"/>
    <mergeCell ref="A19:Q20"/>
  </mergeCells>
  <pageMargins left="0.7" right="0.7" top="0.75" bottom="0.75" header="0.3" footer="0.3"/>
  <pageSetup scale="55"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T29"/>
  <sheetViews>
    <sheetView workbookViewId="0">
      <selection sqref="A1:R1"/>
    </sheetView>
  </sheetViews>
  <sheetFormatPr defaultColWidth="8.88671875" defaultRowHeight="13.2" x14ac:dyDescent="0.25"/>
  <cols>
    <col min="1" max="1" width="41.6640625" style="81" customWidth="1"/>
    <col min="2" max="3" width="2.6640625" style="81" customWidth="1"/>
    <col min="4" max="4" width="10.33203125" style="81" customWidth="1"/>
    <col min="5" max="5" width="2.6640625" style="81" customWidth="1"/>
    <col min="6" max="6" width="12.6640625" style="81" customWidth="1"/>
    <col min="7" max="7" width="2.6640625" style="81" customWidth="1"/>
    <col min="8" max="8" width="12.6640625" style="81" customWidth="1"/>
    <col min="9" max="9" width="2.6640625" style="81" customWidth="1"/>
    <col min="10" max="10" width="12.6640625" style="81" customWidth="1"/>
    <col min="11" max="11" width="2.6640625" style="81" customWidth="1"/>
    <col min="12" max="12" width="12.6640625" style="81" customWidth="1"/>
    <col min="13" max="13" width="2.6640625" style="81" customWidth="1"/>
    <col min="14" max="14" width="12.6640625" style="81" customWidth="1"/>
    <col min="15" max="15" width="2.6640625" style="81" customWidth="1"/>
    <col min="16" max="16" width="12.6640625" style="81" customWidth="1"/>
    <col min="17" max="17" width="2.6640625" style="36" customWidth="1"/>
    <col min="18" max="18" width="12.6640625" style="81" customWidth="1"/>
    <col min="19" max="16384" width="8.88671875" style="81"/>
  </cols>
  <sheetData>
    <row r="1" spans="1:20" x14ac:dyDescent="0.25">
      <c r="A1" s="905" t="s">
        <v>416</v>
      </c>
      <c r="B1" s="905"/>
      <c r="C1" s="905"/>
      <c r="D1" s="905"/>
      <c r="E1" s="905"/>
      <c r="F1" s="905"/>
      <c r="G1" s="905"/>
      <c r="H1" s="905"/>
      <c r="I1" s="905"/>
      <c r="J1" s="905"/>
      <c r="K1" s="905"/>
      <c r="L1" s="905"/>
      <c r="M1" s="905"/>
      <c r="N1" s="905"/>
      <c r="O1" s="905"/>
      <c r="P1" s="905"/>
      <c r="Q1" s="905"/>
      <c r="R1" s="905"/>
      <c r="S1" s="484"/>
      <c r="T1" s="484"/>
    </row>
    <row r="2" spans="1:20" x14ac:dyDescent="0.25">
      <c r="A2" s="905" t="s">
        <v>395</v>
      </c>
      <c r="B2" s="905"/>
      <c r="C2" s="905"/>
      <c r="D2" s="905"/>
      <c r="E2" s="905"/>
      <c r="F2" s="905"/>
      <c r="G2" s="905"/>
      <c r="H2" s="905"/>
      <c r="I2" s="905"/>
      <c r="J2" s="905"/>
      <c r="K2" s="905"/>
      <c r="L2" s="905"/>
      <c r="M2" s="905"/>
      <c r="N2" s="905"/>
      <c r="O2" s="905"/>
      <c r="P2" s="905"/>
      <c r="Q2" s="905"/>
      <c r="R2" s="905"/>
      <c r="S2" s="484"/>
      <c r="T2" s="484"/>
    </row>
    <row r="3" spans="1:20" x14ac:dyDescent="0.25">
      <c r="A3" s="898" t="s">
        <v>417</v>
      </c>
      <c r="B3" s="898"/>
      <c r="C3" s="898"/>
      <c r="D3" s="898"/>
      <c r="E3" s="898"/>
      <c r="F3" s="898"/>
      <c r="G3" s="898"/>
      <c r="H3" s="898"/>
      <c r="I3" s="898"/>
      <c r="J3" s="898"/>
      <c r="K3" s="898"/>
      <c r="L3" s="898"/>
      <c r="M3" s="898"/>
      <c r="N3" s="898"/>
      <c r="O3" s="898"/>
      <c r="P3" s="898"/>
      <c r="Q3" s="898"/>
      <c r="R3" s="898"/>
      <c r="S3" s="484"/>
      <c r="T3" s="484"/>
    </row>
    <row r="4" spans="1:20" x14ac:dyDescent="0.25">
      <c r="A4" s="644"/>
      <c r="B4" s="644"/>
      <c r="C4" s="644"/>
      <c r="D4" s="644"/>
      <c r="E4" s="644"/>
      <c r="F4" s="644"/>
      <c r="G4" s="644"/>
      <c r="H4" s="644"/>
      <c r="I4" s="644"/>
      <c r="J4" s="644"/>
      <c r="K4" s="644"/>
      <c r="L4" s="644"/>
      <c r="M4" s="644"/>
      <c r="N4" s="644"/>
      <c r="O4" s="644"/>
      <c r="P4" s="644"/>
      <c r="Q4" s="644"/>
      <c r="R4" s="644"/>
      <c r="S4" s="484"/>
      <c r="T4" s="484"/>
    </row>
    <row r="5" spans="1:20" x14ac:dyDescent="0.25">
      <c r="A5" s="644"/>
      <c r="B5" s="644"/>
      <c r="C5" s="644"/>
      <c r="D5" s="644"/>
      <c r="E5" s="644"/>
      <c r="F5" s="644"/>
      <c r="G5" s="644"/>
      <c r="H5" s="644"/>
      <c r="I5" s="644"/>
      <c r="J5" s="644"/>
      <c r="K5" s="644"/>
      <c r="L5" s="644"/>
      <c r="M5" s="644"/>
      <c r="N5" s="644"/>
      <c r="O5" s="644"/>
      <c r="P5" s="644"/>
      <c r="Q5" s="644"/>
      <c r="R5" s="644"/>
      <c r="S5" s="484"/>
      <c r="T5" s="484"/>
    </row>
    <row r="6" spans="1:20" x14ac:dyDescent="0.25">
      <c r="A6" s="484"/>
      <c r="B6" s="484"/>
      <c r="C6" s="484"/>
      <c r="D6" s="484"/>
      <c r="E6" s="484"/>
      <c r="F6" s="484"/>
      <c r="G6" s="484"/>
      <c r="H6" s="484"/>
      <c r="I6" s="540"/>
      <c r="J6" s="484"/>
      <c r="K6" s="484"/>
      <c r="L6" s="484"/>
      <c r="M6" s="484"/>
      <c r="N6" s="484"/>
      <c r="O6" s="484"/>
      <c r="P6" s="484"/>
      <c r="Q6" s="435"/>
      <c r="R6" s="484"/>
      <c r="S6" s="484"/>
      <c r="T6" s="484"/>
    </row>
    <row r="7" spans="1:20" x14ac:dyDescent="0.25">
      <c r="A7" s="484"/>
      <c r="B7" s="484"/>
      <c r="C7" s="484"/>
      <c r="D7" s="595">
        <v>2022</v>
      </c>
      <c r="E7" s="484"/>
      <c r="F7" s="595">
        <v>2021</v>
      </c>
      <c r="G7" s="484"/>
      <c r="H7" s="350">
        <v>2020</v>
      </c>
      <c r="I7" s="484"/>
      <c r="J7" s="350">
        <v>2019</v>
      </c>
      <c r="K7" s="502"/>
      <c r="L7" s="350">
        <v>2018</v>
      </c>
      <c r="M7" s="484"/>
      <c r="N7" s="350">
        <v>2017</v>
      </c>
      <c r="O7" s="484"/>
      <c r="P7" s="350">
        <v>2016</v>
      </c>
      <c r="Q7" s="351"/>
      <c r="R7" s="350">
        <v>2015</v>
      </c>
      <c r="S7" s="484"/>
      <c r="T7" s="484"/>
    </row>
    <row r="8" spans="1:20" x14ac:dyDescent="0.25">
      <c r="A8" s="484"/>
      <c r="B8" s="484"/>
      <c r="C8" s="484"/>
      <c r="D8" s="484"/>
      <c r="E8" s="484"/>
      <c r="F8" s="484"/>
      <c r="G8" s="484"/>
      <c r="H8" s="484"/>
      <c r="I8" s="540"/>
      <c r="J8" s="484"/>
      <c r="K8" s="484"/>
      <c r="L8" s="484"/>
      <c r="M8" s="484"/>
      <c r="N8" s="678"/>
      <c r="O8" s="644"/>
      <c r="P8" s="678"/>
      <c r="Q8" s="683"/>
      <c r="R8" s="484"/>
      <c r="S8" s="484"/>
      <c r="T8" s="484"/>
    </row>
    <row r="9" spans="1:20" x14ac:dyDescent="0.25">
      <c r="A9" s="347" t="s">
        <v>407</v>
      </c>
      <c r="B9" s="347"/>
      <c r="C9" s="347"/>
      <c r="D9" s="408">
        <v>8672</v>
      </c>
      <c r="E9" s="347"/>
      <c r="F9" s="408">
        <v>7616</v>
      </c>
      <c r="G9" s="347"/>
      <c r="H9" s="408">
        <v>6883</v>
      </c>
      <c r="I9" s="503"/>
      <c r="J9" s="345">
        <v>7241</v>
      </c>
      <c r="K9" s="347"/>
      <c r="L9" s="345">
        <v>6810</v>
      </c>
      <c r="M9" s="347"/>
      <c r="N9" s="345">
        <v>6543</v>
      </c>
      <c r="O9" s="484"/>
      <c r="P9" s="345">
        <v>6193</v>
      </c>
      <c r="Q9" s="435"/>
      <c r="R9" s="345">
        <v>6854</v>
      </c>
      <c r="S9" s="484"/>
      <c r="T9" s="484"/>
    </row>
    <row r="10" spans="1:20" ht="33" customHeight="1" x14ac:dyDescent="0.25">
      <c r="A10" s="353" t="s">
        <v>408</v>
      </c>
      <c r="B10" s="353"/>
      <c r="C10" s="353"/>
      <c r="D10" s="499">
        <v>8672</v>
      </c>
      <c r="E10" s="353"/>
      <c r="F10" s="499">
        <v>7616</v>
      </c>
      <c r="G10" s="353"/>
      <c r="H10" s="499">
        <v>6883</v>
      </c>
      <c r="I10" s="504"/>
      <c r="J10" s="356">
        <v>7241</v>
      </c>
      <c r="K10" s="353"/>
      <c r="L10" s="356">
        <v>6810</v>
      </c>
      <c r="M10" s="353"/>
      <c r="N10" s="356">
        <v>6543</v>
      </c>
      <c r="O10" s="684"/>
      <c r="P10" s="356">
        <v>6193</v>
      </c>
      <c r="Q10" s="435"/>
      <c r="R10" s="356">
        <v>6854</v>
      </c>
      <c r="S10" s="484"/>
      <c r="T10" s="484"/>
    </row>
    <row r="11" spans="1:20" ht="13.8" thickBot="1" x14ac:dyDescent="0.3">
      <c r="A11" s="347" t="s">
        <v>409</v>
      </c>
      <c r="B11" s="347"/>
      <c r="C11" s="347"/>
      <c r="D11" s="349">
        <f>D9-D10</f>
        <v>0</v>
      </c>
      <c r="E11" s="347"/>
      <c r="F11" s="349">
        <f>F9-G10</f>
        <v>7616</v>
      </c>
      <c r="G11" s="347"/>
      <c r="H11" s="349">
        <f>H9-H10</f>
        <v>0</v>
      </c>
      <c r="I11" s="503"/>
      <c r="J11" s="349">
        <f>J9-J10</f>
        <v>0</v>
      </c>
      <c r="K11" s="347"/>
      <c r="L11" s="349">
        <f>L9-L10</f>
        <v>0</v>
      </c>
      <c r="M11" s="347"/>
      <c r="N11" s="349">
        <f>N9-N10</f>
        <v>0</v>
      </c>
      <c r="O11" s="484"/>
      <c r="P11" s="349">
        <v>0</v>
      </c>
      <c r="Q11" s="435"/>
      <c r="R11" s="349">
        <v>0</v>
      </c>
      <c r="S11" s="484"/>
      <c r="T11" s="484"/>
    </row>
    <row r="12" spans="1:20" ht="13.8" thickTop="1" x14ac:dyDescent="0.25">
      <c r="A12" s="347"/>
      <c r="B12" s="347"/>
      <c r="C12" s="347"/>
      <c r="D12" s="347"/>
      <c r="E12" s="347"/>
      <c r="F12" s="347"/>
      <c r="G12" s="347"/>
      <c r="H12" s="347"/>
      <c r="I12" s="354"/>
      <c r="J12" s="347"/>
      <c r="K12" s="347"/>
      <c r="L12" s="347"/>
      <c r="M12" s="347"/>
      <c r="N12" s="347"/>
      <c r="O12" s="484"/>
      <c r="P12" s="347"/>
      <c r="Q12" s="435"/>
      <c r="R12" s="347"/>
      <c r="S12" s="484"/>
      <c r="T12" s="484"/>
    </row>
    <row r="13" spans="1:20" x14ac:dyDescent="0.25">
      <c r="A13" s="347" t="s">
        <v>399</v>
      </c>
      <c r="B13" s="347"/>
      <c r="C13" s="347"/>
      <c r="D13" s="344">
        <v>96887</v>
      </c>
      <c r="E13" s="347"/>
      <c r="F13" s="344">
        <v>95203</v>
      </c>
      <c r="G13" s="342"/>
      <c r="H13" s="597">
        <v>91777</v>
      </c>
      <c r="I13" s="355"/>
      <c r="J13" s="597">
        <v>96543</v>
      </c>
      <c r="K13" s="597"/>
      <c r="L13" s="598">
        <v>93556</v>
      </c>
      <c r="M13" s="355"/>
      <c r="N13" s="598">
        <v>91258</v>
      </c>
      <c r="O13" s="355"/>
      <c r="P13" s="430">
        <v>87111</v>
      </c>
      <c r="Q13" s="404"/>
      <c r="R13" s="598">
        <v>97775</v>
      </c>
      <c r="S13" s="404"/>
      <c r="T13" s="598"/>
    </row>
    <row r="14" spans="1:20" x14ac:dyDescent="0.25">
      <c r="A14" s="347"/>
      <c r="B14" s="347"/>
      <c r="C14" s="347"/>
      <c r="D14" s="347"/>
      <c r="E14" s="347"/>
      <c r="F14" s="347"/>
      <c r="G14" s="347"/>
      <c r="H14" s="347"/>
      <c r="I14" s="347"/>
      <c r="J14" s="347"/>
      <c r="K14" s="347"/>
      <c r="L14" s="347"/>
      <c r="M14" s="347"/>
      <c r="N14" s="347"/>
      <c r="O14" s="484"/>
      <c r="P14" s="347"/>
      <c r="Q14" s="435"/>
      <c r="R14" s="347"/>
      <c r="S14" s="484"/>
      <c r="T14" s="484"/>
    </row>
    <row r="15" spans="1:20" x14ac:dyDescent="0.25">
      <c r="A15" s="352" t="s">
        <v>410</v>
      </c>
      <c r="B15" s="352"/>
      <c r="C15" s="352"/>
      <c r="D15" s="346">
        <f>D10/D13</f>
        <v>8.950633211886011E-2</v>
      </c>
      <c r="E15" s="352"/>
      <c r="F15" s="629">
        <f>G10/F13</f>
        <v>0</v>
      </c>
      <c r="G15" s="352"/>
      <c r="H15" s="346">
        <f>H10/H13</f>
        <v>7.4997003606568094E-2</v>
      </c>
      <c r="I15" s="346"/>
      <c r="J15" s="346">
        <f>J10/J13</f>
        <v>7.5002848471665481E-2</v>
      </c>
      <c r="K15" s="352"/>
      <c r="L15" s="346">
        <f>L10/L13</f>
        <v>7.2790628073025776E-2</v>
      </c>
      <c r="M15" s="347"/>
      <c r="N15" s="346">
        <f>N10/N13</f>
        <v>7.1697823752438147E-2</v>
      </c>
      <c r="O15" s="484"/>
      <c r="P15" s="346">
        <f>P10/P13</f>
        <v>7.1093202925003735E-2</v>
      </c>
      <c r="Q15" s="435"/>
      <c r="R15" s="346">
        <f>R10/R13</f>
        <v>7.0099718742009723E-2</v>
      </c>
      <c r="S15" s="484"/>
      <c r="T15" s="484"/>
    </row>
    <row r="16" spans="1:20" x14ac:dyDescent="0.25">
      <c r="A16" s="347"/>
      <c r="B16" s="347"/>
      <c r="C16" s="347"/>
      <c r="D16" s="347"/>
      <c r="E16" s="347"/>
      <c r="F16" s="347"/>
      <c r="G16" s="347"/>
      <c r="H16" s="347"/>
      <c r="I16" s="347"/>
      <c r="J16" s="401"/>
      <c r="K16" s="347"/>
      <c r="L16" s="346"/>
      <c r="M16" s="347"/>
      <c r="N16" s="484"/>
      <c r="O16" s="484"/>
      <c r="P16" s="484"/>
      <c r="Q16" s="435"/>
      <c r="R16" s="484"/>
      <c r="S16" s="484"/>
      <c r="T16" s="484"/>
    </row>
    <row r="17" spans="1:18" x14ac:dyDescent="0.25">
      <c r="A17" s="484"/>
      <c r="B17" s="484"/>
      <c r="C17" s="484"/>
      <c r="D17" s="484"/>
      <c r="E17" s="484"/>
      <c r="F17" s="484"/>
      <c r="G17" s="484"/>
      <c r="H17" s="484"/>
      <c r="I17" s="484"/>
      <c r="J17" s="685"/>
      <c r="K17" s="484"/>
      <c r="L17" s="484"/>
      <c r="M17" s="484"/>
      <c r="N17" s="484"/>
      <c r="O17" s="484"/>
      <c r="P17" s="484"/>
      <c r="Q17" s="435"/>
      <c r="R17" s="484"/>
    </row>
    <row r="19" spans="1:18" ht="13.95" customHeight="1" x14ac:dyDescent="0.25">
      <c r="A19" s="899" t="s">
        <v>404</v>
      </c>
      <c r="B19" s="900"/>
      <c r="C19" s="900"/>
      <c r="D19" s="900"/>
      <c r="E19" s="900"/>
      <c r="F19" s="900"/>
      <c r="G19" s="900"/>
      <c r="H19" s="900"/>
      <c r="I19" s="900"/>
      <c r="J19" s="900"/>
      <c r="K19" s="900"/>
      <c r="L19" s="900"/>
      <c r="M19" s="900"/>
      <c r="N19" s="900"/>
      <c r="O19" s="900"/>
      <c r="P19" s="900"/>
      <c r="Q19" s="900"/>
      <c r="R19" s="901"/>
    </row>
    <row r="20" spans="1:18" x14ac:dyDescent="0.25">
      <c r="A20" s="902"/>
      <c r="B20" s="903"/>
      <c r="C20" s="903"/>
      <c r="D20" s="903"/>
      <c r="E20" s="903"/>
      <c r="F20" s="903"/>
      <c r="G20" s="903"/>
      <c r="H20" s="903"/>
      <c r="I20" s="903"/>
      <c r="J20" s="903"/>
      <c r="K20" s="903"/>
      <c r="L20" s="903"/>
      <c r="M20" s="903"/>
      <c r="N20" s="903"/>
      <c r="O20" s="903"/>
      <c r="P20" s="903"/>
      <c r="Q20" s="903"/>
      <c r="R20" s="904"/>
    </row>
    <row r="22" spans="1:18" ht="97.5" customHeight="1" x14ac:dyDescent="0.25">
      <c r="A22" s="895" t="s">
        <v>1111</v>
      </c>
      <c r="B22" s="896"/>
      <c r="C22" s="896"/>
      <c r="D22" s="896"/>
      <c r="E22" s="896"/>
      <c r="F22" s="896"/>
      <c r="G22" s="896"/>
      <c r="H22" s="896"/>
      <c r="I22" s="896"/>
      <c r="J22" s="896"/>
      <c r="K22" s="896"/>
      <c r="L22" s="896"/>
      <c r="M22" s="896"/>
      <c r="N22" s="896"/>
      <c r="O22" s="896"/>
      <c r="P22" s="896"/>
      <c r="Q22" s="896"/>
      <c r="R22" s="897"/>
    </row>
    <row r="23" spans="1:18" x14ac:dyDescent="0.25">
      <c r="A23" s="368"/>
      <c r="B23" s="368"/>
      <c r="C23" s="368"/>
      <c r="D23" s="368"/>
      <c r="E23" s="368"/>
      <c r="F23" s="368"/>
      <c r="G23" s="368"/>
      <c r="H23" s="517"/>
      <c r="I23" s="368"/>
      <c r="J23" s="368"/>
      <c r="K23" s="368"/>
      <c r="L23" s="368"/>
      <c r="M23" s="368"/>
      <c r="N23" s="368"/>
      <c r="O23" s="368"/>
      <c r="P23" s="368"/>
      <c r="Q23" s="368"/>
      <c r="R23" s="368"/>
    </row>
    <row r="24" spans="1:18" x14ac:dyDescent="0.25">
      <c r="A24" s="368"/>
      <c r="B24" s="368"/>
      <c r="C24" s="368"/>
      <c r="D24" s="368"/>
      <c r="E24" s="368"/>
      <c r="F24" s="516"/>
      <c r="G24" s="368"/>
      <c r="H24" s="515"/>
      <c r="I24" s="368"/>
      <c r="J24" s="368"/>
      <c r="K24" s="368"/>
      <c r="L24" s="368"/>
      <c r="M24" s="368"/>
      <c r="N24" s="368"/>
      <c r="O24" s="368"/>
      <c r="P24" s="368"/>
      <c r="Q24" s="368"/>
      <c r="R24" s="368"/>
    </row>
    <row r="25" spans="1:18" x14ac:dyDescent="0.25">
      <c r="A25" s="368"/>
      <c r="B25" s="368"/>
      <c r="C25" s="368"/>
      <c r="D25" s="368"/>
      <c r="E25" s="368"/>
      <c r="F25" s="368"/>
      <c r="G25" s="368"/>
      <c r="H25" s="368"/>
      <c r="I25" s="368"/>
      <c r="J25" s="368"/>
      <c r="K25" s="368"/>
      <c r="L25" s="368"/>
      <c r="M25" s="368"/>
      <c r="N25" s="368"/>
      <c r="O25" s="368"/>
      <c r="P25" s="368"/>
      <c r="Q25" s="368"/>
      <c r="R25" s="368"/>
    </row>
    <row r="26" spans="1:18" x14ac:dyDescent="0.25">
      <c r="A26" s="368"/>
      <c r="B26" s="368"/>
      <c r="C26" s="368"/>
      <c r="D26" s="368"/>
      <c r="E26" s="368"/>
      <c r="F26" s="484"/>
      <c r="G26" s="368"/>
      <c r="H26" s="368"/>
      <c r="I26" s="368"/>
      <c r="J26" s="368"/>
      <c r="K26" s="368"/>
      <c r="L26" s="368"/>
      <c r="M26" s="368"/>
      <c r="N26" s="368"/>
      <c r="O26" s="368"/>
      <c r="P26" s="368"/>
      <c r="Q26" s="368"/>
      <c r="R26" s="368"/>
    </row>
    <row r="27" spans="1:18" x14ac:dyDescent="0.25">
      <c r="A27" s="368"/>
      <c r="B27" s="368"/>
      <c r="C27" s="368"/>
      <c r="D27" s="368"/>
      <c r="E27" s="368"/>
      <c r="F27" s="368"/>
      <c r="G27" s="368"/>
      <c r="H27" s="368"/>
      <c r="I27" s="368"/>
      <c r="J27" s="368"/>
      <c r="K27" s="368"/>
      <c r="L27" s="368"/>
      <c r="M27" s="368"/>
      <c r="N27" s="368"/>
      <c r="O27" s="368"/>
      <c r="P27" s="368"/>
      <c r="Q27" s="368"/>
      <c r="R27" s="368"/>
    </row>
    <row r="28" spans="1:18" x14ac:dyDescent="0.25">
      <c r="A28" s="368"/>
      <c r="B28" s="368"/>
      <c r="C28" s="368"/>
      <c r="D28" s="368"/>
      <c r="E28" s="368"/>
      <c r="F28" s="368"/>
      <c r="G28" s="368"/>
      <c r="H28" s="368"/>
      <c r="I28" s="368"/>
      <c r="J28" s="368"/>
      <c r="K28" s="368"/>
      <c r="L28" s="368"/>
      <c r="M28" s="368"/>
      <c r="N28" s="368"/>
      <c r="O28" s="368"/>
      <c r="P28" s="368"/>
      <c r="Q28" s="368"/>
      <c r="R28" s="484"/>
    </row>
    <row r="29" spans="1:18" x14ac:dyDescent="0.25">
      <c r="A29" s="368"/>
      <c r="B29" s="368"/>
      <c r="C29" s="368"/>
      <c r="D29" s="368"/>
      <c r="E29" s="368"/>
      <c r="F29" s="368"/>
      <c r="G29" s="368"/>
      <c r="H29" s="368"/>
      <c r="I29" s="368"/>
      <c r="J29" s="368"/>
      <c r="K29" s="368"/>
      <c r="L29" s="368"/>
      <c r="M29" s="368"/>
      <c r="N29" s="368"/>
      <c r="O29" s="368"/>
      <c r="P29" s="368"/>
      <c r="Q29" s="368"/>
      <c r="R29" s="484"/>
    </row>
  </sheetData>
  <customSheetViews>
    <customSheetView guid="{A8748736-0722-49EB-85B6-C9B52DDCFE0E}" showPageBreaks="1" fitToPage="1" printArea="1">
      <selection activeCell="A23" sqref="A23"/>
      <pageMargins left="0.7" right="0.7" top="0.75" bottom="0.75" header="0.3" footer="0.3"/>
      <pageSetup scale="55" orientation="portrait" r:id="rId1"/>
    </customSheetView>
  </customSheetViews>
  <mergeCells count="5">
    <mergeCell ref="A1:R1"/>
    <mergeCell ref="A2:R2"/>
    <mergeCell ref="A3:R3"/>
    <mergeCell ref="A19:R20"/>
    <mergeCell ref="A22:R22"/>
  </mergeCells>
  <pageMargins left="0.7" right="0.7" top="0.75" bottom="0.75" header="0.3" footer="0.3"/>
  <pageSetup scale="55"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29"/>
  <sheetViews>
    <sheetView workbookViewId="0">
      <selection sqref="A1:P1"/>
    </sheetView>
  </sheetViews>
  <sheetFormatPr defaultColWidth="8.88671875" defaultRowHeight="13.2" x14ac:dyDescent="0.25"/>
  <cols>
    <col min="1" max="1" width="61" style="81" customWidth="1"/>
    <col min="2" max="2" width="2.6640625" style="81" customWidth="1"/>
    <col min="3" max="3" width="12.88671875" style="81" customWidth="1"/>
    <col min="4" max="4" width="2.6640625" style="81" customWidth="1"/>
    <col min="5" max="5" width="9.6640625" style="81" customWidth="1"/>
    <col min="6" max="6" width="2.6640625" style="81" customWidth="1"/>
    <col min="7" max="7" width="9.6640625" style="81" customWidth="1"/>
    <col min="8" max="8" width="2.6640625" style="501" customWidth="1"/>
    <col min="9" max="9" width="9.6640625" style="81" customWidth="1"/>
    <col min="10" max="10" width="2.6640625" style="81" customWidth="1"/>
    <col min="11" max="11" width="10.6640625" style="81" customWidth="1"/>
    <col min="12" max="12" width="2.6640625" style="81" customWidth="1"/>
    <col min="13" max="13" width="10.33203125" style="81" customWidth="1"/>
    <col min="14" max="14" width="2.6640625" style="81" customWidth="1"/>
    <col min="15" max="15" width="9.6640625" style="81" customWidth="1"/>
    <col min="16" max="16" width="2.6640625" style="81" customWidth="1"/>
    <col min="17" max="17" width="9.6640625" style="81" customWidth="1"/>
    <col min="18" max="16384" width="8.88671875" style="81"/>
  </cols>
  <sheetData>
    <row r="1" spans="1:17" x14ac:dyDescent="0.25">
      <c r="A1" s="898"/>
      <c r="B1" s="898"/>
      <c r="C1" s="898"/>
      <c r="D1" s="898"/>
      <c r="E1" s="898"/>
      <c r="F1" s="898"/>
      <c r="G1" s="898"/>
      <c r="H1" s="898"/>
      <c r="I1" s="898"/>
      <c r="J1" s="898"/>
      <c r="K1" s="898"/>
      <c r="L1" s="898"/>
      <c r="M1" s="898"/>
      <c r="N1" s="898"/>
      <c r="O1" s="898"/>
      <c r="P1" s="898"/>
      <c r="Q1" s="484"/>
    </row>
    <row r="2" spans="1:17" ht="28.2" customHeight="1" x14ac:dyDescent="0.3">
      <c r="A2" s="909" t="s">
        <v>418</v>
      </c>
      <c r="B2" s="909"/>
      <c r="C2" s="909"/>
      <c r="D2" s="909"/>
      <c r="E2" s="909"/>
      <c r="F2" s="909"/>
      <c r="G2" s="909"/>
      <c r="H2" s="909"/>
      <c r="I2" s="909"/>
      <c r="J2" s="909"/>
      <c r="K2" s="909"/>
      <c r="L2" s="909"/>
      <c r="M2" s="909"/>
      <c r="N2" s="909"/>
      <c r="O2" s="909"/>
      <c r="P2" s="909"/>
      <c r="Q2" s="909"/>
    </row>
    <row r="3" spans="1:17" ht="15.6" x14ac:dyDescent="0.3">
      <c r="A3" s="909" t="s">
        <v>419</v>
      </c>
      <c r="B3" s="909"/>
      <c r="C3" s="909"/>
      <c r="D3" s="909"/>
      <c r="E3" s="909"/>
      <c r="F3" s="909"/>
      <c r="G3" s="909"/>
      <c r="H3" s="909"/>
      <c r="I3" s="909"/>
      <c r="J3" s="909"/>
      <c r="K3" s="909"/>
      <c r="L3" s="909"/>
      <c r="M3" s="909"/>
      <c r="N3" s="909"/>
      <c r="O3" s="909"/>
      <c r="P3" s="909"/>
      <c r="Q3" s="909"/>
    </row>
    <row r="4" spans="1:17" ht="15" x14ac:dyDescent="0.25">
      <c r="A4" s="910" t="s">
        <v>396</v>
      </c>
      <c r="B4" s="910"/>
      <c r="C4" s="910"/>
      <c r="D4" s="910"/>
      <c r="E4" s="910"/>
      <c r="F4" s="910"/>
      <c r="G4" s="910"/>
      <c r="H4" s="910"/>
      <c r="I4" s="910"/>
      <c r="J4" s="910"/>
      <c r="K4" s="910"/>
      <c r="L4" s="910"/>
      <c r="M4" s="910"/>
      <c r="N4" s="910"/>
      <c r="O4" s="910"/>
      <c r="P4" s="910"/>
      <c r="Q4" s="910"/>
    </row>
    <row r="5" spans="1:17" x14ac:dyDescent="0.25">
      <c r="A5" s="898"/>
      <c r="B5" s="898"/>
      <c r="C5" s="898"/>
      <c r="D5" s="898"/>
      <c r="E5" s="898"/>
      <c r="F5" s="898"/>
      <c r="G5" s="898"/>
      <c r="H5" s="898"/>
      <c r="I5" s="898"/>
      <c r="J5" s="898"/>
      <c r="K5" s="898"/>
      <c r="L5" s="898"/>
      <c r="M5" s="898"/>
      <c r="N5" s="898"/>
      <c r="O5" s="898"/>
      <c r="P5" s="898"/>
      <c r="Q5" s="484"/>
    </row>
    <row r="8" spans="1:17" x14ac:dyDescent="0.25">
      <c r="A8" s="484"/>
      <c r="B8" s="484"/>
      <c r="C8" s="350">
        <f>E8+1</f>
        <v>2022</v>
      </c>
      <c r="D8" s="350"/>
      <c r="E8" s="350">
        <f>G8+1</f>
        <v>2021</v>
      </c>
      <c r="F8" s="350"/>
      <c r="G8" s="350">
        <f t="shared" ref="G8:O8" si="0">I8+1</f>
        <v>2020</v>
      </c>
      <c r="H8" s="350"/>
      <c r="I8" s="350">
        <f t="shared" si="0"/>
        <v>2019</v>
      </c>
      <c r="J8" s="350"/>
      <c r="K8" s="350">
        <f t="shared" si="0"/>
        <v>2018</v>
      </c>
      <c r="L8" s="350"/>
      <c r="M8" s="350">
        <f t="shared" si="0"/>
        <v>2017</v>
      </c>
      <c r="N8" s="350"/>
      <c r="O8" s="350">
        <f t="shared" si="0"/>
        <v>2016</v>
      </c>
      <c r="P8" s="484"/>
      <c r="Q8" s="350">
        <v>2015</v>
      </c>
    </row>
    <row r="9" spans="1:17" x14ac:dyDescent="0.25">
      <c r="A9" s="484"/>
      <c r="B9" s="484"/>
      <c r="C9" s="484"/>
      <c r="D9" s="484"/>
      <c r="E9" s="484"/>
      <c r="F9" s="484"/>
      <c r="G9" s="484"/>
      <c r="H9" s="540"/>
      <c r="I9" s="484"/>
      <c r="J9" s="484"/>
      <c r="K9" s="484"/>
      <c r="L9" s="484"/>
      <c r="M9" s="678"/>
      <c r="N9" s="484"/>
      <c r="O9" s="678"/>
      <c r="P9" s="484"/>
      <c r="Q9" s="678"/>
    </row>
    <row r="10" spans="1:17" x14ac:dyDescent="0.25">
      <c r="A10" s="354" t="s">
        <v>397</v>
      </c>
      <c r="B10" s="354"/>
      <c r="C10" s="343">
        <v>4.5890000000000002E-3</v>
      </c>
      <c r="D10" s="354"/>
      <c r="E10" s="343">
        <f>0.45522%</f>
        <v>4.5522000000000002E-3</v>
      </c>
      <c r="F10" s="343"/>
      <c r="G10" s="343">
        <v>4.4999999999999997E-3</v>
      </c>
      <c r="H10" s="354"/>
      <c r="I10" s="343">
        <v>4.2399999999999998E-3</v>
      </c>
      <c r="J10" s="354"/>
      <c r="K10" s="343">
        <v>4.5500000000000002E-3</v>
      </c>
      <c r="L10" s="680"/>
      <c r="M10" s="343">
        <v>4.5900000000000003E-3</v>
      </c>
      <c r="N10" s="484"/>
      <c r="O10" s="343">
        <v>4.5700000000000003E-3</v>
      </c>
      <c r="P10" s="484"/>
      <c r="Q10" s="343">
        <v>4.5199999999999997E-3</v>
      </c>
    </row>
    <row r="11" spans="1:17" x14ac:dyDescent="0.25">
      <c r="A11" s="352" t="s">
        <v>398</v>
      </c>
      <c r="B11" s="352"/>
      <c r="C11" s="400">
        <v>-76023</v>
      </c>
      <c r="D11" s="352"/>
      <c r="E11" s="400">
        <v>-77702</v>
      </c>
      <c r="F11" s="398"/>
      <c r="G11" s="344">
        <v>-84103</v>
      </c>
      <c r="H11" s="352"/>
      <c r="I11" s="344">
        <v>-98279</v>
      </c>
      <c r="J11" s="352"/>
      <c r="K11" s="344">
        <v>-102287</v>
      </c>
      <c r="L11" s="408"/>
      <c r="M11" s="344">
        <v>-98062</v>
      </c>
      <c r="N11" s="484"/>
      <c r="O11" s="344">
        <v>-97084</v>
      </c>
      <c r="P11" s="484"/>
      <c r="Q11" s="344">
        <v>-96488</v>
      </c>
    </row>
    <row r="12" spans="1:17" x14ac:dyDescent="0.25">
      <c r="A12" s="355" t="s">
        <v>401</v>
      </c>
      <c r="B12" s="355"/>
      <c r="C12" s="403">
        <v>1.5330999999999999</v>
      </c>
      <c r="D12" s="355"/>
      <c r="E12" s="403">
        <v>1.5377000000000001</v>
      </c>
      <c r="F12" s="403"/>
      <c r="G12" s="346">
        <v>1.6016999999999999</v>
      </c>
      <c r="H12" s="355"/>
      <c r="I12" s="346">
        <v>1.9729000000000001</v>
      </c>
      <c r="J12" s="355"/>
      <c r="K12" s="346">
        <v>1.9388000000000001</v>
      </c>
      <c r="L12" s="680"/>
      <c r="M12" s="346">
        <v>1.905</v>
      </c>
      <c r="N12" s="484"/>
      <c r="O12" s="346">
        <v>1.8875</v>
      </c>
      <c r="P12" s="484"/>
      <c r="Q12" s="346">
        <v>1.8965000000000001</v>
      </c>
    </row>
    <row r="13" spans="1:17" x14ac:dyDescent="0.25">
      <c r="A13" s="355"/>
      <c r="B13" s="355"/>
      <c r="C13" s="355"/>
      <c r="D13" s="355"/>
      <c r="E13" s="403"/>
      <c r="F13" s="355"/>
      <c r="G13" s="403"/>
      <c r="H13" s="403"/>
      <c r="I13" s="346"/>
      <c r="J13" s="355"/>
      <c r="K13" s="346"/>
      <c r="L13" s="355"/>
      <c r="M13" s="346"/>
      <c r="N13" s="680"/>
      <c r="O13" s="346"/>
      <c r="P13" s="484"/>
      <c r="Q13" s="343"/>
    </row>
    <row r="15" spans="1:17" x14ac:dyDescent="0.25">
      <c r="A15" s="347" t="s">
        <v>402</v>
      </c>
      <c r="B15" s="347"/>
      <c r="C15" s="347"/>
      <c r="D15" s="347"/>
      <c r="E15" s="347"/>
      <c r="F15" s="347"/>
      <c r="G15" s="347"/>
      <c r="H15" s="354"/>
      <c r="I15" s="347"/>
      <c r="J15" s="347"/>
      <c r="K15" s="347"/>
      <c r="L15" s="347"/>
      <c r="M15" s="484"/>
      <c r="N15" s="484"/>
      <c r="O15" s="484"/>
      <c r="P15" s="484"/>
      <c r="Q15" s="484"/>
    </row>
    <row r="16" spans="1:17" x14ac:dyDescent="0.25">
      <c r="A16" s="347"/>
      <c r="B16" s="347"/>
      <c r="C16" s="347"/>
      <c r="D16" s="347"/>
      <c r="E16" s="347"/>
      <c r="F16" s="347"/>
      <c r="G16" s="347"/>
      <c r="H16" s="354"/>
      <c r="I16" s="347"/>
      <c r="J16" s="347"/>
      <c r="K16" s="347"/>
      <c r="L16" s="347"/>
      <c r="M16" s="484"/>
      <c r="N16" s="484"/>
      <c r="O16" s="484"/>
      <c r="P16" s="484"/>
      <c r="Q16" s="484"/>
    </row>
    <row r="18" spans="1:17" ht="12.75" customHeight="1" x14ac:dyDescent="0.25">
      <c r="A18" s="911" t="s">
        <v>420</v>
      </c>
      <c r="B18" s="912"/>
      <c r="C18" s="912"/>
      <c r="D18" s="912"/>
      <c r="E18" s="912"/>
      <c r="F18" s="912"/>
      <c r="G18" s="912"/>
      <c r="H18" s="912"/>
      <c r="I18" s="912"/>
      <c r="J18" s="912"/>
      <c r="K18" s="912"/>
      <c r="L18" s="912"/>
      <c r="M18" s="912"/>
      <c r="N18" s="912"/>
      <c r="O18" s="912"/>
      <c r="P18" s="912"/>
      <c r="Q18" s="913"/>
    </row>
    <row r="19" spans="1:17" x14ac:dyDescent="0.25">
      <c r="A19" s="914"/>
      <c r="B19" s="915"/>
      <c r="C19" s="915"/>
      <c r="D19" s="915"/>
      <c r="E19" s="915"/>
      <c r="F19" s="915"/>
      <c r="G19" s="915"/>
      <c r="H19" s="915"/>
      <c r="I19" s="915"/>
      <c r="J19" s="915"/>
      <c r="K19" s="915"/>
      <c r="L19" s="915"/>
      <c r="M19" s="915"/>
      <c r="N19" s="915"/>
      <c r="O19" s="915"/>
      <c r="P19" s="915"/>
      <c r="Q19" s="916"/>
    </row>
    <row r="20" spans="1:17" x14ac:dyDescent="0.25">
      <c r="A20" s="484"/>
      <c r="B20" s="484"/>
      <c r="C20" s="484"/>
      <c r="D20" s="484"/>
      <c r="E20" s="484"/>
      <c r="F20" s="484"/>
      <c r="G20" s="484"/>
      <c r="H20" s="540"/>
      <c r="I20" s="484"/>
      <c r="J20" s="484"/>
      <c r="K20" s="484"/>
      <c r="L20" s="484"/>
      <c r="M20" s="484"/>
      <c r="N20" s="484"/>
      <c r="O20" s="484"/>
      <c r="P20" s="484"/>
      <c r="Q20" s="484"/>
    </row>
    <row r="21" spans="1:17" ht="78.75" customHeight="1" x14ac:dyDescent="0.25">
      <c r="A21" s="906" t="s">
        <v>1112</v>
      </c>
      <c r="B21" s="907"/>
      <c r="C21" s="907"/>
      <c r="D21" s="907"/>
      <c r="E21" s="907"/>
      <c r="F21" s="907"/>
      <c r="G21" s="907"/>
      <c r="H21" s="907"/>
      <c r="I21" s="907"/>
      <c r="J21" s="907"/>
      <c r="K21" s="907"/>
      <c r="L21" s="907"/>
      <c r="M21" s="907"/>
      <c r="N21" s="907"/>
      <c r="O21" s="907"/>
      <c r="P21" s="907"/>
      <c r="Q21" s="908"/>
    </row>
    <row r="22" spans="1:17" x14ac:dyDescent="0.25">
      <c r="A22" s="368"/>
      <c r="B22" s="368"/>
      <c r="C22" s="368"/>
      <c r="D22" s="368"/>
      <c r="E22" s="368"/>
      <c r="F22" s="368"/>
      <c r="G22" s="368"/>
      <c r="H22" s="368"/>
      <c r="I22" s="368"/>
      <c r="J22" s="368"/>
      <c r="K22" s="368"/>
      <c r="L22" s="368"/>
      <c r="M22" s="368"/>
      <c r="N22" s="368"/>
      <c r="O22" s="368"/>
      <c r="P22" s="368"/>
      <c r="Q22" s="368"/>
    </row>
    <row r="23" spans="1:17" x14ac:dyDescent="0.25">
      <c r="A23" s="368"/>
      <c r="B23" s="368"/>
      <c r="C23" s="368"/>
      <c r="D23" s="368"/>
      <c r="E23" s="368"/>
      <c r="F23" s="368"/>
      <c r="G23" s="368"/>
      <c r="H23" s="368"/>
      <c r="I23" s="368"/>
      <c r="J23" s="368"/>
      <c r="K23" s="368"/>
      <c r="L23" s="368"/>
      <c r="M23" s="368"/>
      <c r="N23" s="368"/>
      <c r="O23" s="368"/>
      <c r="P23" s="368"/>
      <c r="Q23" s="368"/>
    </row>
    <row r="24" spans="1:17" x14ac:dyDescent="0.25">
      <c r="A24" s="368"/>
      <c r="B24" s="368"/>
      <c r="C24" s="368"/>
      <c r="D24" s="368"/>
      <c r="E24" s="368"/>
      <c r="F24" s="368"/>
      <c r="G24" s="368"/>
      <c r="H24" s="368"/>
      <c r="I24" s="368"/>
      <c r="J24" s="368"/>
      <c r="K24" s="368"/>
      <c r="L24" s="368"/>
      <c r="M24" s="368"/>
      <c r="N24" s="368"/>
      <c r="O24" s="368"/>
      <c r="P24" s="368"/>
      <c r="Q24" s="368"/>
    </row>
    <row r="25" spans="1:17" x14ac:dyDescent="0.25">
      <c r="A25" s="368"/>
      <c r="B25" s="368"/>
      <c r="C25" s="368"/>
      <c r="D25" s="368"/>
      <c r="E25" s="368"/>
      <c r="F25" s="368"/>
      <c r="G25" s="368"/>
      <c r="H25" s="368"/>
      <c r="I25" s="368"/>
      <c r="J25" s="368"/>
      <c r="K25" s="368"/>
      <c r="L25" s="368"/>
      <c r="M25" s="368"/>
      <c r="N25" s="368"/>
      <c r="O25" s="368"/>
      <c r="P25" s="368"/>
      <c r="Q25" s="368"/>
    </row>
    <row r="26" spans="1:17" x14ac:dyDescent="0.25">
      <c r="A26" s="367"/>
      <c r="B26" s="367"/>
      <c r="C26" s="367"/>
      <c r="D26" s="367"/>
      <c r="E26" s="367"/>
      <c r="F26" s="367"/>
      <c r="G26" s="367"/>
      <c r="H26" s="367"/>
      <c r="I26" s="367"/>
      <c r="J26" s="484"/>
      <c r="K26" s="519"/>
      <c r="L26" s="519"/>
      <c r="M26" s="519"/>
      <c r="N26" s="367"/>
      <c r="O26" s="367"/>
      <c r="P26" s="367"/>
      <c r="Q26" s="610"/>
    </row>
    <row r="27" spans="1:17" x14ac:dyDescent="0.25">
      <c r="A27" s="367"/>
      <c r="B27" s="367"/>
      <c r="C27" s="367"/>
      <c r="D27" s="367"/>
      <c r="E27" s="367"/>
      <c r="F27" s="367"/>
      <c r="G27" s="367"/>
      <c r="H27" s="367"/>
      <c r="I27" s="367"/>
      <c r="J27" s="367"/>
      <c r="K27" s="367"/>
      <c r="L27" s="367"/>
      <c r="M27" s="367"/>
      <c r="N27" s="367"/>
      <c r="O27" s="367"/>
      <c r="P27" s="367"/>
      <c r="Q27" s="610"/>
    </row>
    <row r="28" spans="1:17" x14ac:dyDescent="0.25">
      <c r="A28" s="367"/>
      <c r="B28" s="367"/>
      <c r="C28" s="367"/>
      <c r="D28" s="367"/>
      <c r="E28" s="367"/>
      <c r="F28" s="367"/>
      <c r="G28" s="367"/>
      <c r="H28" s="367"/>
      <c r="I28" s="367"/>
      <c r="J28" s="367"/>
      <c r="K28" s="367"/>
      <c r="L28" s="367"/>
      <c r="M28" s="518"/>
      <c r="N28" s="367"/>
      <c r="O28" s="367"/>
      <c r="P28" s="367"/>
      <c r="Q28" s="610"/>
    </row>
    <row r="29" spans="1:17" x14ac:dyDescent="0.25">
      <c r="A29" s="435"/>
      <c r="B29" s="435"/>
      <c r="C29" s="435"/>
      <c r="D29" s="435"/>
      <c r="E29" s="435"/>
      <c r="F29" s="435"/>
      <c r="G29" s="435"/>
      <c r="H29" s="435"/>
      <c r="I29" s="435"/>
      <c r="J29" s="435"/>
      <c r="K29" s="435"/>
      <c r="L29" s="435"/>
      <c r="M29" s="435"/>
      <c r="N29" s="435"/>
      <c r="O29" s="435"/>
      <c r="P29" s="435"/>
      <c r="Q29" s="435"/>
    </row>
  </sheetData>
  <customSheetViews>
    <customSheetView guid="{A8748736-0722-49EB-85B6-C9B52DDCFE0E}" showPageBreaks="1" fitToPage="1" printArea="1">
      <selection activeCell="A22" sqref="A22"/>
      <colBreaks count="1" manualBreakCount="1">
        <brk id="17" max="1048575" man="1"/>
      </colBreaks>
      <pageMargins left="0.7" right="0.7" top="0.75" bottom="0.75" header="0.3" footer="0.3"/>
      <pageSetup scale="55" orientation="portrait" r:id="rId1"/>
    </customSheetView>
    <customSheetView guid="{E0C60316-4586-4AAF-92CB-FA82BB1EB755}">
      <selection sqref="A1:I1"/>
      <colBreaks count="1" manualBreakCount="1">
        <brk id="10" max="26" man="1"/>
      </colBreaks>
      <pageMargins left="0" right="0" top="0" bottom="0" header="0" footer="0"/>
      <pageSetup scale="83" orientation="portrait" r:id="rId2"/>
    </customSheetView>
  </customSheetViews>
  <mergeCells count="7">
    <mergeCell ref="A21:Q21"/>
    <mergeCell ref="A1:P1"/>
    <mergeCell ref="A5:P5"/>
    <mergeCell ref="A2:Q2"/>
    <mergeCell ref="A3:Q3"/>
    <mergeCell ref="A4:Q4"/>
    <mergeCell ref="A18:Q19"/>
  </mergeCells>
  <pageMargins left="0.7" right="0.7" top="0.75" bottom="0.75" header="0.3" footer="0.3"/>
  <pageSetup scale="55" orientation="portrait" r:id="rId3"/>
  <colBreaks count="1" manualBreakCount="1">
    <brk id="17"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6"/>
  <sheetViews>
    <sheetView workbookViewId="0">
      <selection sqref="A1:Q1"/>
    </sheetView>
  </sheetViews>
  <sheetFormatPr defaultColWidth="8.88671875" defaultRowHeight="13.2" x14ac:dyDescent="0.25"/>
  <cols>
    <col min="1" max="1" width="29.88671875" style="81" bestFit="1" customWidth="1"/>
    <col min="2" max="2" width="2.6640625" style="81" customWidth="1"/>
    <col min="3" max="3" width="11" style="81" customWidth="1"/>
    <col min="4" max="4" width="2.6640625" style="81" customWidth="1"/>
    <col min="5" max="5" width="8.6640625" style="81" customWidth="1"/>
    <col min="6" max="6" width="2.6640625" style="81" customWidth="1"/>
    <col min="7" max="7" width="8.6640625" style="81" customWidth="1"/>
    <col min="8" max="8" width="2.6640625" style="81" customWidth="1"/>
    <col min="9" max="9" width="8.6640625" style="81" customWidth="1"/>
    <col min="10" max="10" width="2.6640625" style="81" customWidth="1"/>
    <col min="11" max="11" width="8.6640625" style="81" customWidth="1"/>
    <col min="12" max="12" width="2.6640625" style="81" customWidth="1"/>
    <col min="13" max="13" width="8.6640625" style="81" customWidth="1"/>
    <col min="14" max="14" width="2.6640625" style="81" customWidth="1"/>
    <col min="15" max="15" width="8.6640625" style="81" customWidth="1"/>
    <col min="16" max="16" width="2.6640625" style="36" customWidth="1"/>
    <col min="17" max="17" width="8.6640625" style="81" customWidth="1"/>
    <col min="18" max="16384" width="8.88671875" style="81"/>
  </cols>
  <sheetData>
    <row r="1" spans="1:17" x14ac:dyDescent="0.25">
      <c r="A1" s="905" t="s">
        <v>405</v>
      </c>
      <c r="B1" s="905"/>
      <c r="C1" s="905"/>
      <c r="D1" s="905"/>
      <c r="E1" s="905"/>
      <c r="F1" s="905"/>
      <c r="G1" s="905"/>
      <c r="H1" s="905"/>
      <c r="I1" s="905"/>
      <c r="J1" s="905"/>
      <c r="K1" s="905"/>
      <c r="L1" s="905"/>
      <c r="M1" s="905"/>
      <c r="N1" s="905"/>
      <c r="O1" s="905"/>
      <c r="P1" s="905"/>
      <c r="Q1" s="905"/>
    </row>
    <row r="2" spans="1:17" x14ac:dyDescent="0.25">
      <c r="A2" s="905" t="s">
        <v>419</v>
      </c>
      <c r="B2" s="905"/>
      <c r="C2" s="905"/>
      <c r="D2" s="905"/>
      <c r="E2" s="905"/>
      <c r="F2" s="905"/>
      <c r="G2" s="905"/>
      <c r="H2" s="905"/>
      <c r="I2" s="905"/>
      <c r="J2" s="905"/>
      <c r="K2" s="905"/>
      <c r="L2" s="905"/>
      <c r="M2" s="905"/>
      <c r="N2" s="905"/>
      <c r="O2" s="905"/>
      <c r="P2" s="905"/>
      <c r="Q2" s="905"/>
    </row>
    <row r="3" spans="1:17" x14ac:dyDescent="0.25">
      <c r="A3" s="898" t="s">
        <v>417</v>
      </c>
      <c r="B3" s="898"/>
      <c r="C3" s="898"/>
      <c r="D3" s="898"/>
      <c r="E3" s="898"/>
      <c r="F3" s="898"/>
      <c r="G3" s="898"/>
      <c r="H3" s="898"/>
      <c r="I3" s="898"/>
      <c r="J3" s="898"/>
      <c r="K3" s="898"/>
      <c r="L3" s="898"/>
      <c r="M3" s="898"/>
      <c r="N3" s="898"/>
      <c r="O3" s="898"/>
      <c r="P3" s="898"/>
      <c r="Q3" s="898"/>
    </row>
    <row r="4" spans="1:17" x14ac:dyDescent="0.25">
      <c r="A4" s="644"/>
      <c r="B4" s="644"/>
      <c r="C4" s="644"/>
      <c r="D4" s="644"/>
      <c r="E4" s="644"/>
      <c r="F4" s="644"/>
      <c r="G4" s="644"/>
      <c r="H4" s="644"/>
      <c r="I4" s="644"/>
      <c r="J4" s="644"/>
      <c r="K4" s="644"/>
      <c r="L4" s="644"/>
      <c r="M4" s="644"/>
      <c r="N4" s="644"/>
      <c r="O4" s="644"/>
      <c r="P4" s="644"/>
      <c r="Q4" s="644"/>
    </row>
    <row r="5" spans="1:17" x14ac:dyDescent="0.25">
      <c r="A5" s="644"/>
      <c r="B5" s="644"/>
      <c r="C5" s="644"/>
      <c r="D5" s="644"/>
      <c r="E5" s="644"/>
      <c r="F5" s="644"/>
      <c r="G5" s="644"/>
      <c r="H5" s="644"/>
      <c r="I5" s="644"/>
      <c r="J5" s="644"/>
      <c r="K5" s="644"/>
      <c r="L5" s="644"/>
      <c r="M5" s="644"/>
      <c r="N5" s="644"/>
      <c r="O5" s="644"/>
      <c r="P5" s="644"/>
      <c r="Q5" s="644"/>
    </row>
    <row r="7" spans="1:17" x14ac:dyDescent="0.25">
      <c r="A7" s="484"/>
      <c r="B7" s="484"/>
      <c r="C7" s="369">
        <f>E7+1</f>
        <v>2022</v>
      </c>
      <c r="D7" s="369"/>
      <c r="E7" s="369">
        <f>G7+1</f>
        <v>2021</v>
      </c>
      <c r="F7" s="369"/>
      <c r="G7" s="369">
        <f t="shared" ref="G7:O7" si="0">I7+1</f>
        <v>2020</v>
      </c>
      <c r="H7" s="369"/>
      <c r="I7" s="369">
        <f t="shared" si="0"/>
        <v>2019</v>
      </c>
      <c r="J7" s="369"/>
      <c r="K7" s="369">
        <f t="shared" si="0"/>
        <v>2018</v>
      </c>
      <c r="L7" s="369"/>
      <c r="M7" s="369">
        <f t="shared" si="0"/>
        <v>2017</v>
      </c>
      <c r="N7" s="369"/>
      <c r="O7" s="369">
        <f t="shared" si="0"/>
        <v>2016</v>
      </c>
      <c r="P7" s="683"/>
      <c r="Q7" s="369">
        <v>2015</v>
      </c>
    </row>
    <row r="8" spans="1:17" x14ac:dyDescent="0.25">
      <c r="A8" s="484"/>
      <c r="B8" s="484"/>
      <c r="C8" s="484"/>
      <c r="D8" s="484"/>
      <c r="E8" s="484"/>
      <c r="F8" s="484"/>
      <c r="G8" s="484"/>
      <c r="H8" s="484"/>
      <c r="I8" s="484"/>
      <c r="J8" s="484"/>
      <c r="K8" s="484"/>
      <c r="L8" s="484"/>
      <c r="M8" s="678"/>
      <c r="N8" s="644"/>
      <c r="O8" s="678"/>
      <c r="P8" s="683"/>
      <c r="Q8" s="678"/>
    </row>
    <row r="9" spans="1:17" x14ac:dyDescent="0.25">
      <c r="A9" s="347" t="s">
        <v>407</v>
      </c>
      <c r="B9" s="347"/>
      <c r="C9" s="345">
        <v>4000</v>
      </c>
      <c r="D9" s="347"/>
      <c r="E9" s="345">
        <v>3200</v>
      </c>
      <c r="F9" s="347"/>
      <c r="G9" s="345">
        <v>3800</v>
      </c>
      <c r="H9" s="347"/>
      <c r="I9" s="345">
        <v>4500</v>
      </c>
      <c r="J9" s="347"/>
      <c r="K9" s="345">
        <v>4000</v>
      </c>
      <c r="L9" s="484"/>
      <c r="M9" s="345">
        <v>3685</v>
      </c>
      <c r="N9" s="435"/>
      <c r="O9" s="345">
        <v>3595</v>
      </c>
      <c r="P9" s="435"/>
      <c r="Q9" s="345">
        <v>4635</v>
      </c>
    </row>
    <row r="10" spans="1:17" ht="27" customHeight="1" x14ac:dyDescent="0.25">
      <c r="A10" s="353" t="s">
        <v>408</v>
      </c>
      <c r="B10" s="353"/>
      <c r="C10" s="348">
        <v>4000</v>
      </c>
      <c r="D10" s="353"/>
      <c r="E10" s="348">
        <v>3200</v>
      </c>
      <c r="F10" s="353"/>
      <c r="G10" s="348">
        <v>3800</v>
      </c>
      <c r="H10" s="353"/>
      <c r="I10" s="348">
        <v>4500</v>
      </c>
      <c r="J10" s="353"/>
      <c r="K10" s="348">
        <v>4000</v>
      </c>
      <c r="L10" s="484"/>
      <c r="M10" s="348">
        <f>M9</f>
        <v>3685</v>
      </c>
      <c r="N10" s="435"/>
      <c r="O10" s="348">
        <v>3595</v>
      </c>
      <c r="P10" s="435"/>
      <c r="Q10" s="348">
        <v>4635</v>
      </c>
    </row>
    <row r="11" spans="1:17" ht="13.8" thickBot="1" x14ac:dyDescent="0.3">
      <c r="A11" s="347" t="s">
        <v>409</v>
      </c>
      <c r="B11" s="347"/>
      <c r="C11" s="349">
        <f>C9-C10</f>
        <v>0</v>
      </c>
      <c r="D11" s="347"/>
      <c r="E11" s="349">
        <f>E9-E10</f>
        <v>0</v>
      </c>
      <c r="F11" s="347"/>
      <c r="G11" s="349">
        <f>G9-G10</f>
        <v>0</v>
      </c>
      <c r="H11" s="347"/>
      <c r="I11" s="349">
        <f>I9-I10</f>
        <v>0</v>
      </c>
      <c r="J11" s="347"/>
      <c r="K11" s="349">
        <f>K9-K10</f>
        <v>0</v>
      </c>
      <c r="L11" s="484"/>
      <c r="M11" s="349">
        <f>M9-M10</f>
        <v>0</v>
      </c>
      <c r="N11" s="435"/>
      <c r="O11" s="349">
        <f>O9-O10</f>
        <v>0</v>
      </c>
      <c r="P11" s="435"/>
      <c r="Q11" s="349">
        <f>Q9-Q10</f>
        <v>0</v>
      </c>
    </row>
    <row r="12" spans="1:17" ht="13.8" thickTop="1" x14ac:dyDescent="0.25">
      <c r="A12" s="347"/>
      <c r="B12" s="347"/>
      <c r="C12" s="347"/>
      <c r="D12" s="347"/>
      <c r="E12" s="347"/>
      <c r="F12" s="347"/>
      <c r="G12" s="347"/>
      <c r="H12" s="347"/>
      <c r="I12" s="347"/>
      <c r="J12" s="347"/>
      <c r="K12" s="347"/>
      <c r="L12" s="347"/>
      <c r="M12" s="347"/>
      <c r="N12" s="484"/>
      <c r="O12" s="347"/>
      <c r="P12" s="435"/>
      <c r="Q12" s="484"/>
    </row>
    <row r="13" spans="1:17" x14ac:dyDescent="0.25">
      <c r="A13" s="347"/>
      <c r="B13" s="347"/>
      <c r="C13" s="347"/>
      <c r="D13" s="347"/>
      <c r="E13" s="347"/>
      <c r="F13" s="347"/>
      <c r="G13" s="347"/>
      <c r="H13" s="347"/>
      <c r="I13" s="347"/>
      <c r="J13" s="347"/>
      <c r="K13" s="347"/>
      <c r="L13" s="347"/>
      <c r="M13" s="484"/>
      <c r="N13" s="484"/>
      <c r="O13" s="484"/>
      <c r="P13" s="435"/>
      <c r="Q13" s="484"/>
    </row>
    <row r="14" spans="1:17" ht="13.95" customHeight="1" x14ac:dyDescent="0.25">
      <c r="A14" s="911" t="s">
        <v>420</v>
      </c>
      <c r="B14" s="912"/>
      <c r="C14" s="912"/>
      <c r="D14" s="912"/>
      <c r="E14" s="912"/>
      <c r="F14" s="912"/>
      <c r="G14" s="912"/>
      <c r="H14" s="912"/>
      <c r="I14" s="912"/>
      <c r="J14" s="912"/>
      <c r="K14" s="912"/>
      <c r="L14" s="912"/>
      <c r="M14" s="912"/>
      <c r="N14" s="912"/>
      <c r="O14" s="912"/>
      <c r="P14" s="912"/>
      <c r="Q14" s="913"/>
    </row>
    <row r="15" spans="1:17" ht="21.75" customHeight="1" x14ac:dyDescent="0.25">
      <c r="A15" s="914"/>
      <c r="B15" s="915"/>
      <c r="C15" s="915"/>
      <c r="D15" s="915"/>
      <c r="E15" s="915"/>
      <c r="F15" s="915"/>
      <c r="G15" s="915"/>
      <c r="H15" s="915"/>
      <c r="I15" s="915"/>
      <c r="J15" s="915"/>
      <c r="K15" s="915"/>
      <c r="L15" s="915"/>
      <c r="M15" s="915"/>
      <c r="N15" s="915"/>
      <c r="O15" s="915"/>
      <c r="P15" s="915"/>
      <c r="Q15" s="916"/>
    </row>
    <row r="16" spans="1:17" x14ac:dyDescent="0.25">
      <c r="A16" s="484"/>
      <c r="B16" s="484"/>
      <c r="C16" s="484"/>
      <c r="D16" s="484"/>
      <c r="E16" s="484"/>
      <c r="F16" s="484"/>
      <c r="G16" s="484"/>
      <c r="H16" s="484"/>
      <c r="I16" s="484"/>
      <c r="J16" s="484"/>
      <c r="K16" s="484"/>
      <c r="L16" s="484"/>
      <c r="M16" s="484"/>
      <c r="N16" s="484"/>
      <c r="O16" s="484"/>
      <c r="P16" s="435"/>
      <c r="Q16" s="484"/>
    </row>
    <row r="17" spans="1:17" x14ac:dyDescent="0.25">
      <c r="A17" s="610"/>
      <c r="B17" s="610"/>
      <c r="C17" s="610"/>
      <c r="D17" s="610"/>
      <c r="E17" s="610"/>
      <c r="F17" s="610"/>
      <c r="G17" s="610"/>
      <c r="H17" s="610"/>
      <c r="I17" s="611"/>
      <c r="J17" s="611"/>
      <c r="K17" s="611"/>
      <c r="L17" s="611"/>
      <c r="M17" s="611"/>
      <c r="N17" s="611"/>
      <c r="O17" s="611"/>
      <c r="P17" s="610"/>
      <c r="Q17" s="484"/>
    </row>
    <row r="18" spans="1:17" ht="102" customHeight="1" x14ac:dyDescent="0.25">
      <c r="A18" s="906" t="s">
        <v>1112</v>
      </c>
      <c r="B18" s="907"/>
      <c r="C18" s="907"/>
      <c r="D18" s="907"/>
      <c r="E18" s="907"/>
      <c r="F18" s="907"/>
      <c r="G18" s="907"/>
      <c r="H18" s="907"/>
      <c r="I18" s="907"/>
      <c r="J18" s="907"/>
      <c r="K18" s="907"/>
      <c r="L18" s="907"/>
      <c r="M18" s="907"/>
      <c r="N18" s="907"/>
      <c r="O18" s="907"/>
      <c r="P18" s="907"/>
      <c r="Q18" s="908"/>
    </row>
    <row r="19" spans="1:17" x14ac:dyDescent="0.25">
      <c r="A19" s="368"/>
      <c r="B19" s="368"/>
      <c r="C19" s="368"/>
      <c r="D19" s="368"/>
      <c r="E19" s="368"/>
      <c r="F19" s="368"/>
      <c r="G19" s="368"/>
      <c r="H19" s="368"/>
      <c r="I19" s="368"/>
      <c r="J19" s="368"/>
      <c r="K19" s="368"/>
      <c r="L19" s="368"/>
      <c r="M19" s="368"/>
      <c r="N19" s="368"/>
      <c r="O19" s="368"/>
      <c r="P19" s="368"/>
      <c r="Q19" s="484"/>
    </row>
    <row r="20" spans="1:17" x14ac:dyDescent="0.25">
      <c r="A20" s="368"/>
      <c r="B20" s="368"/>
      <c r="C20" s="368"/>
      <c r="D20" s="368"/>
      <c r="E20" s="368"/>
      <c r="F20" s="368"/>
      <c r="G20" s="368"/>
      <c r="H20" s="368"/>
      <c r="I20" s="368"/>
      <c r="J20" s="368"/>
      <c r="K20" s="368"/>
      <c r="L20" s="368"/>
      <c r="M20" s="368"/>
      <c r="N20" s="368"/>
      <c r="O20" s="368"/>
      <c r="P20" s="368"/>
      <c r="Q20" s="484"/>
    </row>
    <row r="21" spans="1:17" x14ac:dyDescent="0.25">
      <c r="A21" s="368"/>
      <c r="B21" s="368"/>
      <c r="C21" s="368"/>
      <c r="D21" s="368"/>
      <c r="E21" s="368"/>
      <c r="F21" s="368"/>
      <c r="G21" s="368"/>
      <c r="H21" s="368"/>
      <c r="I21" s="368"/>
      <c r="J21" s="368"/>
      <c r="K21" s="368"/>
      <c r="L21" s="368"/>
      <c r="M21" s="368"/>
      <c r="N21" s="368"/>
      <c r="O21" s="368"/>
      <c r="P21" s="368"/>
      <c r="Q21" s="484"/>
    </row>
    <row r="22" spans="1:17" x14ac:dyDescent="0.25">
      <c r="A22" s="368"/>
      <c r="B22" s="368"/>
      <c r="C22" s="368"/>
      <c r="D22" s="368"/>
      <c r="E22" s="368"/>
      <c r="F22" s="368"/>
      <c r="G22" s="368"/>
      <c r="H22" s="368"/>
      <c r="I22" s="368"/>
      <c r="J22" s="368"/>
      <c r="K22" s="368"/>
      <c r="L22" s="368"/>
      <c r="M22" s="368"/>
      <c r="N22" s="368"/>
      <c r="O22" s="368"/>
      <c r="P22" s="368"/>
      <c r="Q22" s="484"/>
    </row>
    <row r="23" spans="1:17" x14ac:dyDescent="0.25">
      <c r="A23" s="368"/>
      <c r="B23" s="368"/>
      <c r="C23" s="368"/>
      <c r="D23" s="368"/>
      <c r="E23" s="368"/>
      <c r="F23" s="368"/>
      <c r="G23" s="368"/>
      <c r="H23" s="368"/>
      <c r="I23" s="368"/>
      <c r="J23" s="368"/>
      <c r="K23" s="368"/>
      <c r="L23" s="368"/>
      <c r="M23" s="368"/>
      <c r="N23" s="368"/>
      <c r="O23" s="368"/>
      <c r="P23" s="368"/>
      <c r="Q23" s="484"/>
    </row>
    <row r="24" spans="1:17" x14ac:dyDescent="0.25">
      <c r="A24" s="368"/>
      <c r="B24" s="368"/>
      <c r="C24" s="368"/>
      <c r="D24" s="368"/>
      <c r="E24" s="368"/>
      <c r="F24" s="368"/>
      <c r="G24" s="368"/>
      <c r="H24" s="368"/>
      <c r="I24" s="368"/>
      <c r="J24" s="368"/>
      <c r="K24" s="368"/>
      <c r="L24" s="368"/>
      <c r="M24" s="368"/>
      <c r="N24" s="368"/>
      <c r="O24" s="368"/>
      <c r="P24" s="368"/>
      <c r="Q24" s="484"/>
    </row>
    <row r="25" spans="1:17" x14ac:dyDescent="0.25">
      <c r="A25" s="368"/>
      <c r="B25" s="368"/>
      <c r="C25" s="368"/>
      <c r="D25" s="368"/>
      <c r="E25" s="368"/>
      <c r="F25" s="368"/>
      <c r="G25" s="368"/>
      <c r="H25" s="368"/>
      <c r="I25" s="368"/>
      <c r="J25" s="368"/>
      <c r="K25" s="368"/>
      <c r="L25" s="368"/>
      <c r="M25" s="368"/>
      <c r="N25" s="368"/>
      <c r="O25" s="368"/>
      <c r="P25" s="368"/>
      <c r="Q25" s="484"/>
    </row>
    <row r="26" spans="1:17" x14ac:dyDescent="0.25">
      <c r="A26" s="368"/>
      <c r="B26" s="368"/>
      <c r="C26" s="368"/>
      <c r="D26" s="368"/>
      <c r="E26" s="368"/>
      <c r="F26" s="368"/>
      <c r="G26" s="368"/>
      <c r="H26" s="368"/>
      <c r="I26" s="368"/>
      <c r="J26" s="368"/>
      <c r="K26" s="368"/>
      <c r="L26" s="368"/>
      <c r="M26" s="368"/>
      <c r="N26" s="368"/>
      <c r="O26" s="368"/>
      <c r="P26" s="368"/>
      <c r="Q26" s="484"/>
    </row>
  </sheetData>
  <customSheetViews>
    <customSheetView guid="{A8748736-0722-49EB-85B6-C9B52DDCFE0E}" showPageBreaks="1" fitToPage="1" printArea="1">
      <selection activeCell="A19" sqref="A19"/>
      <pageMargins left="0.7" right="0.7" top="0.75" bottom="0.75" header="0.3" footer="0.3"/>
      <pageSetup scale="74" orientation="portrait" r:id="rId1"/>
    </customSheetView>
    <customSheetView guid="{E0C60316-4586-4AAF-92CB-FA82BB1EB755}">
      <selection sqref="A1:I1"/>
      <pageMargins left="0" right="0" top="0" bottom="0" header="0" footer="0"/>
      <pageSetup orientation="portrait" r:id="rId2"/>
    </customSheetView>
  </customSheetViews>
  <mergeCells count="5">
    <mergeCell ref="A1:Q1"/>
    <mergeCell ref="A2:Q2"/>
    <mergeCell ref="A3:Q3"/>
    <mergeCell ref="A14:Q15"/>
    <mergeCell ref="A18:Q18"/>
  </mergeCells>
  <pageMargins left="0.7" right="0.7" top="0.75" bottom="0.75" header="0.3" footer="0.3"/>
  <pageSetup scale="74" orientation="portrait"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33"/>
  <sheetViews>
    <sheetView workbookViewId="0">
      <selection sqref="A1:K1"/>
    </sheetView>
  </sheetViews>
  <sheetFormatPr defaultRowHeight="13.2" x14ac:dyDescent="0.25"/>
  <cols>
    <col min="1" max="1" width="44.88671875" customWidth="1"/>
    <col min="2" max="2" width="1.5546875" customWidth="1"/>
    <col min="3" max="3" width="11.109375" customWidth="1"/>
    <col min="4" max="4" width="2.44140625" customWidth="1"/>
    <col min="5" max="5" width="12.6640625" customWidth="1"/>
    <col min="6" max="6" width="2.6640625" customWidth="1"/>
    <col min="7" max="7" width="12.6640625" customWidth="1"/>
    <col min="8" max="8" width="2.6640625" customWidth="1"/>
    <col min="9" max="9" width="12.6640625" customWidth="1"/>
    <col min="10" max="10" width="2.6640625" customWidth="1"/>
    <col min="11" max="11" width="12.6640625" style="375" customWidth="1"/>
    <col min="12" max="12" width="10" bestFit="1" customWidth="1"/>
    <col min="13" max="13" width="11.33203125" hidden="1" customWidth="1"/>
    <col min="14" max="14" width="10.33203125" bestFit="1" customWidth="1"/>
  </cols>
  <sheetData>
    <row r="1" spans="1:18" x14ac:dyDescent="0.25">
      <c r="A1" s="859" t="s">
        <v>1</v>
      </c>
      <c r="B1" s="859"/>
      <c r="C1" s="859"/>
      <c r="D1" s="859"/>
      <c r="E1" s="859"/>
      <c r="F1" s="859"/>
      <c r="G1" s="859"/>
      <c r="H1" s="859"/>
      <c r="I1" s="859"/>
      <c r="J1" s="859"/>
      <c r="K1" s="859"/>
    </row>
    <row r="2" spans="1:18" x14ac:dyDescent="0.25">
      <c r="A2" s="859" t="s">
        <v>421</v>
      </c>
      <c r="B2" s="859"/>
      <c r="C2" s="859"/>
      <c r="D2" s="859"/>
      <c r="E2" s="859"/>
      <c r="F2" s="859"/>
      <c r="G2" s="859"/>
      <c r="H2" s="859"/>
      <c r="I2" s="859"/>
      <c r="J2" s="859"/>
      <c r="K2" s="859"/>
    </row>
    <row r="3" spans="1:18" x14ac:dyDescent="0.25">
      <c r="A3" s="859" t="s">
        <v>422</v>
      </c>
      <c r="B3" s="859"/>
      <c r="C3" s="859"/>
      <c r="D3" s="859"/>
      <c r="E3" s="859"/>
      <c r="F3" s="859"/>
      <c r="G3" s="859"/>
      <c r="H3" s="859"/>
      <c r="I3" s="859"/>
      <c r="J3" s="859"/>
      <c r="K3" s="859"/>
    </row>
    <row r="4" spans="1:18" x14ac:dyDescent="0.25">
      <c r="A4" s="898" t="s">
        <v>423</v>
      </c>
      <c r="B4" s="898"/>
      <c r="C4" s="898"/>
      <c r="D4" s="898"/>
      <c r="E4" s="898"/>
      <c r="F4" s="898"/>
      <c r="G4" s="898"/>
      <c r="H4" s="898"/>
      <c r="I4" s="898"/>
      <c r="J4" s="898"/>
      <c r="K4" s="898"/>
      <c r="L4" s="593"/>
      <c r="M4" s="593"/>
      <c r="N4" s="593"/>
      <c r="O4" s="593"/>
      <c r="P4" s="593"/>
      <c r="Q4" s="593"/>
      <c r="R4" s="593"/>
    </row>
    <row r="5" spans="1:18" x14ac:dyDescent="0.25">
      <c r="A5" s="645"/>
      <c r="B5" s="645"/>
      <c r="C5" s="645"/>
      <c r="D5" s="645"/>
      <c r="E5" s="645"/>
      <c r="F5" s="645"/>
      <c r="G5" s="645"/>
      <c r="H5" s="645"/>
      <c r="I5" s="645"/>
      <c r="J5" s="645"/>
      <c r="K5" s="645"/>
    </row>
    <row r="6" spans="1:18" x14ac:dyDescent="0.25">
      <c r="A6" s="484"/>
      <c r="B6" s="484"/>
      <c r="C6" s="369">
        <v>2022</v>
      </c>
      <c r="D6" s="484"/>
      <c r="E6" s="369">
        <v>2021</v>
      </c>
      <c r="F6" s="484"/>
      <c r="G6" s="369">
        <v>2020</v>
      </c>
      <c r="H6" s="484"/>
      <c r="I6" s="369">
        <v>2019</v>
      </c>
      <c r="J6" s="484"/>
      <c r="K6" s="369">
        <v>2018</v>
      </c>
    </row>
    <row r="7" spans="1:18" x14ac:dyDescent="0.25">
      <c r="A7" s="637" t="s">
        <v>424</v>
      </c>
      <c r="B7" s="637"/>
      <c r="C7" s="408">
        <f>E15</f>
        <v>218891.34588499996</v>
      </c>
      <c r="D7" s="637"/>
      <c r="E7" s="408">
        <f>G15</f>
        <v>201631.93050499997</v>
      </c>
      <c r="F7" s="408"/>
      <c r="G7" s="408">
        <f>I15</f>
        <v>215553</v>
      </c>
      <c r="H7" s="484"/>
      <c r="I7" s="408">
        <v>218226</v>
      </c>
      <c r="J7" s="484"/>
      <c r="K7" s="408">
        <v>216975</v>
      </c>
      <c r="M7" s="383"/>
    </row>
    <row r="8" spans="1:18" x14ac:dyDescent="0.25">
      <c r="A8" s="637" t="s">
        <v>425</v>
      </c>
      <c r="B8" s="637"/>
      <c r="C8" s="393">
        <f>0.5*(7090461)*0.00203</f>
        <v>7196.8179150000005</v>
      </c>
      <c r="D8" s="637"/>
      <c r="E8" s="406">
        <f>0.5*5778581*0.00203</f>
        <v>5865.2597150000001</v>
      </c>
      <c r="F8" s="406"/>
      <c r="G8" s="531">
        <f>4662+2017</f>
        <v>6679</v>
      </c>
      <c r="H8" s="484"/>
      <c r="I8" s="531">
        <v>7324.1913999999997</v>
      </c>
      <c r="J8" s="484"/>
      <c r="K8" s="531">
        <v>6944</v>
      </c>
      <c r="M8" s="383"/>
      <c r="P8" s="383"/>
    </row>
    <row r="9" spans="1:18" x14ac:dyDescent="0.25">
      <c r="A9" s="637" t="s">
        <v>426</v>
      </c>
      <c r="B9" s="637"/>
      <c r="C9" s="522">
        <f>0.5*(6721102)*0.00203</f>
        <v>6821.9185300000008</v>
      </c>
      <c r="D9" s="637"/>
      <c r="E9" s="522">
        <f>0.5*5328296*0.00203</f>
        <v>5408.2204400000001</v>
      </c>
      <c r="F9" s="522"/>
      <c r="G9" s="531">
        <f>0.5*7313608*0.00203-1</f>
        <v>7422.3121200000005</v>
      </c>
      <c r="H9" s="484"/>
      <c r="I9" s="531">
        <v>6816</v>
      </c>
      <c r="J9" s="484"/>
      <c r="K9" s="531">
        <v>7211</v>
      </c>
      <c r="M9" s="383"/>
    </row>
    <row r="10" spans="1:18" x14ac:dyDescent="0.25">
      <c r="A10" s="405" t="s">
        <v>427</v>
      </c>
      <c r="B10" s="405"/>
      <c r="C10" s="524">
        <v>0</v>
      </c>
      <c r="D10" s="405"/>
      <c r="E10" s="524">
        <f>0.5*18621115*0.00203</f>
        <v>18900.431725000002</v>
      </c>
      <c r="F10" s="524"/>
      <c r="G10" s="531">
        <v>0</v>
      </c>
      <c r="H10" s="484"/>
      <c r="I10" s="531">
        <v>0</v>
      </c>
      <c r="J10" s="484"/>
      <c r="K10" s="531">
        <v>0</v>
      </c>
      <c r="M10" s="383"/>
    </row>
    <row r="11" spans="1:18" ht="39.6" x14ac:dyDescent="0.25">
      <c r="A11" s="642" t="s">
        <v>428</v>
      </c>
      <c r="B11" s="642"/>
      <c r="C11" s="525">
        <f>0.5*(893502)*0.00203</f>
        <v>906.90453000000002</v>
      </c>
      <c r="D11" s="641"/>
      <c r="E11" s="525">
        <f>0.5*8581482*0.00203</f>
        <v>8710.2042300000012</v>
      </c>
      <c r="F11" s="525"/>
      <c r="G11" s="531">
        <f>0.5*3249924*0.00203</f>
        <v>3298.6728600000001</v>
      </c>
      <c r="H11" s="484"/>
      <c r="I11" s="531">
        <v>3553</v>
      </c>
      <c r="J11" s="484"/>
      <c r="K11" s="531">
        <v>7352</v>
      </c>
      <c r="M11" s="383"/>
      <c r="N11" s="520"/>
    </row>
    <row r="12" spans="1:18" x14ac:dyDescent="0.25">
      <c r="A12" s="405" t="s">
        <v>429</v>
      </c>
      <c r="B12" s="405"/>
      <c r="C12" s="524">
        <f>0.5*(5051096)*0.00203</f>
        <v>5126.8624399999999</v>
      </c>
      <c r="D12" s="405"/>
      <c r="E12" s="524">
        <f>0-0.5*(5674582)*0.00203</f>
        <v>-5759.7007300000005</v>
      </c>
      <c r="F12" s="524"/>
      <c r="G12" s="531">
        <f>-1005965*0.00203*0.5</f>
        <v>-1021.054475</v>
      </c>
      <c r="H12" s="484"/>
      <c r="I12" s="531">
        <v>-4968</v>
      </c>
      <c r="J12" s="484"/>
      <c r="K12" s="531">
        <v>-3669</v>
      </c>
      <c r="M12" s="383"/>
      <c r="Q12" s="545"/>
    </row>
    <row r="13" spans="1:18" x14ac:dyDescent="0.25">
      <c r="A13" s="405" t="s">
        <v>383</v>
      </c>
      <c r="B13" s="405"/>
      <c r="C13" s="524">
        <f>-0.5*(16031418)*0.00203</f>
        <v>-16271.889270000001</v>
      </c>
      <c r="D13" s="405"/>
      <c r="E13" s="524">
        <f>-15300-16497+15932</f>
        <v>-15865</v>
      </c>
      <c r="F13" s="524"/>
      <c r="G13" s="531">
        <f>-15300-15000</f>
        <v>-30300</v>
      </c>
      <c r="H13" s="484"/>
      <c r="I13" s="531">
        <v>-15951</v>
      </c>
      <c r="J13" s="484"/>
      <c r="K13" s="531">
        <v>-16587</v>
      </c>
      <c r="M13" s="508"/>
      <c r="N13" s="498"/>
    </row>
    <row r="14" spans="1:18" x14ac:dyDescent="0.25">
      <c r="A14" s="405" t="s">
        <v>430</v>
      </c>
      <c r="B14" s="405"/>
      <c r="C14" s="524"/>
      <c r="D14" s="405"/>
      <c r="E14" s="523">
        <v>0</v>
      </c>
      <c r="F14" s="523"/>
      <c r="G14" s="531">
        <v>0</v>
      </c>
      <c r="H14" s="484"/>
      <c r="I14" s="531"/>
      <c r="J14" s="484"/>
      <c r="K14" s="531"/>
      <c r="M14" s="383"/>
    </row>
    <row r="15" spans="1:18" ht="13.8" thickBot="1" x14ac:dyDescent="0.3">
      <c r="A15" s="405" t="s">
        <v>431</v>
      </c>
      <c r="B15" s="405"/>
      <c r="C15" s="592">
        <f>SUM(C7:C14)</f>
        <v>222671.96002999993</v>
      </c>
      <c r="D15" s="405"/>
      <c r="E15" s="592">
        <f>SUM(E7:E14)</f>
        <v>218891.34588499996</v>
      </c>
      <c r="F15" s="612"/>
      <c r="G15" s="592">
        <f>SUM(G7:G14)</f>
        <v>201631.93050499997</v>
      </c>
      <c r="H15" s="484"/>
      <c r="I15" s="592">
        <v>215553</v>
      </c>
      <c r="J15" s="484"/>
      <c r="K15" s="592">
        <f>SUM(K7:K14)</f>
        <v>218226</v>
      </c>
      <c r="L15" s="375"/>
      <c r="M15" s="383"/>
      <c r="N15" s="385"/>
    </row>
    <row r="16" spans="1:18" ht="13.8" thickTop="1" x14ac:dyDescent="0.25">
      <c r="A16" s="528"/>
      <c r="B16" s="528"/>
      <c r="C16" s="528"/>
      <c r="D16" s="528"/>
      <c r="E16" s="528"/>
      <c r="F16" s="528"/>
      <c r="G16" s="526"/>
      <c r="H16" s="372"/>
      <c r="I16" s="521"/>
      <c r="J16" s="372"/>
      <c r="K16" s="531"/>
      <c r="L16" s="382"/>
      <c r="M16" s="383"/>
      <c r="N16" s="527"/>
      <c r="O16" s="527"/>
    </row>
    <row r="17" spans="1:18" x14ac:dyDescent="0.25">
      <c r="A17" s="528"/>
      <c r="B17" s="528"/>
      <c r="C17" s="528"/>
      <c r="D17" s="528"/>
      <c r="E17" s="528"/>
      <c r="F17" s="528"/>
      <c r="G17" s="526"/>
      <c r="H17" s="372"/>
      <c r="I17" s="521"/>
      <c r="J17" s="372"/>
      <c r="K17" s="531"/>
      <c r="L17" s="382"/>
      <c r="M17" s="383"/>
      <c r="N17" s="527"/>
      <c r="O17" s="527"/>
      <c r="R17" s="498"/>
    </row>
    <row r="18" spans="1:18" x14ac:dyDescent="0.25">
      <c r="A18" s="347" t="s">
        <v>432</v>
      </c>
      <c r="B18" s="347"/>
      <c r="C18" s="347"/>
      <c r="D18" s="347"/>
      <c r="E18" s="347"/>
      <c r="F18" s="347"/>
      <c r="G18" s="347"/>
      <c r="H18" s="347"/>
      <c r="I18" s="347"/>
      <c r="J18" s="347"/>
      <c r="K18" s="531"/>
      <c r="L18" s="527"/>
    </row>
    <row r="19" spans="1:18" x14ac:dyDescent="0.25">
      <c r="A19" s="372"/>
      <c r="B19" s="372"/>
      <c r="C19" s="372"/>
      <c r="D19" s="372"/>
      <c r="E19" s="372"/>
      <c r="F19" s="372"/>
      <c r="G19" s="372"/>
      <c r="H19" s="372"/>
      <c r="I19" s="524"/>
      <c r="J19" s="372"/>
      <c r="K19" s="531"/>
      <c r="N19" s="498"/>
    </row>
    <row r="20" spans="1:18" ht="13.8" thickBot="1" x14ac:dyDescent="0.3">
      <c r="A20" s="42"/>
      <c r="B20" s="42"/>
      <c r="C20" s="42"/>
      <c r="D20" s="42"/>
      <c r="E20" s="42"/>
      <c r="F20" s="42"/>
      <c r="G20" s="42"/>
      <c r="H20" s="42"/>
      <c r="I20" s="42"/>
      <c r="J20" s="42"/>
      <c r="K20" s="613"/>
      <c r="N20" s="498"/>
    </row>
    <row r="21" spans="1:18" x14ac:dyDescent="0.25">
      <c r="A21" s="917" t="s">
        <v>433</v>
      </c>
      <c r="B21" s="918"/>
      <c r="C21" s="918"/>
      <c r="D21" s="918"/>
      <c r="E21" s="918"/>
      <c r="F21" s="918"/>
      <c r="G21" s="918"/>
      <c r="H21" s="918"/>
      <c r="I21" s="918"/>
      <c r="J21" s="918"/>
      <c r="K21" s="919"/>
      <c r="O21" s="484"/>
      <c r="P21" s="484"/>
    </row>
    <row r="22" spans="1:18" x14ac:dyDescent="0.25">
      <c r="A22" s="920"/>
      <c r="B22" s="921"/>
      <c r="C22" s="921"/>
      <c r="D22" s="921"/>
      <c r="E22" s="921"/>
      <c r="F22" s="921"/>
      <c r="G22" s="921"/>
      <c r="H22" s="921"/>
      <c r="I22" s="921"/>
      <c r="J22" s="921"/>
      <c r="K22" s="922"/>
      <c r="O22" s="484"/>
      <c r="P22" s="498"/>
    </row>
    <row r="23" spans="1:18" ht="13.8" thickBot="1" x14ac:dyDescent="0.3">
      <c r="A23" s="923"/>
      <c r="B23" s="924"/>
      <c r="C23" s="924"/>
      <c r="D23" s="924"/>
      <c r="E23" s="924"/>
      <c r="F23" s="924"/>
      <c r="G23" s="924"/>
      <c r="H23" s="924"/>
      <c r="I23" s="924"/>
      <c r="J23" s="924"/>
      <c r="K23" s="925"/>
      <c r="P23" s="498"/>
    </row>
    <row r="24" spans="1:18" x14ac:dyDescent="0.25">
      <c r="A24" s="42"/>
      <c r="B24" s="42"/>
      <c r="C24" s="42"/>
      <c r="D24" s="42"/>
      <c r="E24" s="42"/>
      <c r="F24" s="42"/>
      <c r="G24" s="42"/>
      <c r="H24" s="42"/>
      <c r="I24" s="42"/>
      <c r="J24" s="42"/>
      <c r="K24" s="531"/>
    </row>
    <row r="25" spans="1:18" ht="105" customHeight="1" x14ac:dyDescent="0.25">
      <c r="A25" s="906" t="s">
        <v>1112</v>
      </c>
      <c r="B25" s="907"/>
      <c r="C25" s="907"/>
      <c r="D25" s="907"/>
      <c r="E25" s="907"/>
      <c r="F25" s="907"/>
      <c r="G25" s="907"/>
      <c r="H25" s="907"/>
      <c r="I25" s="907"/>
      <c r="J25" s="907"/>
      <c r="K25" s="908"/>
    </row>
    <row r="26" spans="1:18" x14ac:dyDescent="0.25">
      <c r="A26" s="372"/>
      <c r="B26" s="372"/>
      <c r="C26" s="372"/>
      <c r="D26" s="372"/>
      <c r="E26" s="372"/>
      <c r="F26" s="372"/>
      <c r="G26" s="529"/>
      <c r="H26" s="372"/>
      <c r="I26" s="372"/>
      <c r="J26" s="372"/>
    </row>
    <row r="27" spans="1:18" x14ac:dyDescent="0.25">
      <c r="A27" s="373"/>
      <c r="B27" s="373"/>
      <c r="C27" s="373"/>
      <c r="D27" s="373"/>
      <c r="E27" s="373"/>
      <c r="F27" s="373"/>
      <c r="G27" s="373"/>
      <c r="H27" s="373"/>
      <c r="I27" s="373"/>
      <c r="J27" s="373"/>
    </row>
    <row r="29" spans="1:18" ht="38.25" customHeight="1" x14ac:dyDescent="0.25">
      <c r="A29" s="927"/>
      <c r="B29" s="927"/>
      <c r="C29" s="927"/>
      <c r="D29" s="927"/>
      <c r="E29" s="927"/>
      <c r="F29" s="927"/>
      <c r="G29" s="927"/>
      <c r="H29" s="927"/>
      <c r="I29" s="927"/>
      <c r="J29" s="374"/>
    </row>
    <row r="30" spans="1:18" ht="40.5" customHeight="1" x14ac:dyDescent="0.25">
      <c r="A30" s="926"/>
      <c r="B30" s="926"/>
      <c r="C30" s="926"/>
      <c r="D30" s="926"/>
      <c r="E30" s="926"/>
      <c r="F30" s="926"/>
      <c r="G30" s="926"/>
      <c r="H30" s="926"/>
      <c r="I30" s="926"/>
      <c r="J30" s="926"/>
      <c r="K30" s="926"/>
    </row>
    <row r="33" spans="7:7" x14ac:dyDescent="0.25">
      <c r="G33" s="410"/>
    </row>
  </sheetData>
  <customSheetViews>
    <customSheetView guid="{A8748736-0722-49EB-85B6-C9B52DDCFE0E}" fitToPage="1" hiddenColumns="1">
      <selection activeCell="A26" sqref="A26"/>
      <pageMargins left="0.7" right="0.7" top="0.75" bottom="0.75" header="0.3" footer="0.3"/>
      <pageSetup scale="77" orientation="portrait" r:id="rId1"/>
    </customSheetView>
    <customSheetView guid="{E0C60316-4586-4AAF-92CB-FA82BB1EB755}">
      <selection activeCell="E19" sqref="E19"/>
      <pageMargins left="0" right="0" top="0" bottom="0" header="0" footer="0"/>
      <pageSetup orientation="portrait" r:id="rId2"/>
    </customSheetView>
  </customSheetViews>
  <mergeCells count="8">
    <mergeCell ref="A1:K1"/>
    <mergeCell ref="A2:K2"/>
    <mergeCell ref="A3:K3"/>
    <mergeCell ref="A21:K23"/>
    <mergeCell ref="A30:K30"/>
    <mergeCell ref="A29:I29"/>
    <mergeCell ref="A4:K4"/>
    <mergeCell ref="A25:K25"/>
  </mergeCells>
  <pageMargins left="0.7" right="0.7" top="0.75" bottom="0.75" header="0.3" footer="0.3"/>
  <pageSetup scale="77"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9"/>
  <sheetViews>
    <sheetView workbookViewId="0"/>
  </sheetViews>
  <sheetFormatPr defaultColWidth="9.109375" defaultRowHeight="13.2" x14ac:dyDescent="0.25"/>
  <cols>
    <col min="1" max="1" width="30.6640625" style="7" customWidth="1"/>
    <col min="2" max="9" width="15.6640625" style="7" customWidth="1"/>
    <col min="10" max="10" width="11.5546875" style="7" bestFit="1" customWidth="1"/>
    <col min="11" max="16384" width="9.109375" style="7"/>
  </cols>
  <sheetData>
    <row r="1" spans="1:10" x14ac:dyDescent="0.25">
      <c r="A1" s="38"/>
      <c r="B1" s="38"/>
      <c r="C1" s="38"/>
      <c r="D1" s="38"/>
      <c r="E1" s="635" t="s">
        <v>58</v>
      </c>
      <c r="F1" s="38"/>
      <c r="G1" s="38"/>
      <c r="H1" s="38"/>
      <c r="J1" s="635" t="s">
        <v>58</v>
      </c>
    </row>
    <row r="2" spans="1:10" x14ac:dyDescent="0.25">
      <c r="A2" s="34" t="s">
        <v>1</v>
      </c>
      <c r="B2" s="34"/>
      <c r="C2" s="34"/>
      <c r="D2" s="34"/>
      <c r="E2" s="34"/>
      <c r="F2" s="53"/>
      <c r="G2" s="53"/>
      <c r="H2" s="53"/>
      <c r="I2" s="635"/>
    </row>
    <row r="3" spans="1:10" x14ac:dyDescent="0.25">
      <c r="A3" s="34" t="s">
        <v>59</v>
      </c>
      <c r="B3" s="34"/>
      <c r="C3" s="34"/>
      <c r="D3" s="34"/>
      <c r="E3" s="34"/>
      <c r="F3" s="53"/>
      <c r="G3" s="53"/>
      <c r="H3" s="53"/>
      <c r="I3" s="53"/>
    </row>
    <row r="4" spans="1:10" x14ac:dyDescent="0.25">
      <c r="A4" s="34" t="s">
        <v>60</v>
      </c>
      <c r="B4" s="34"/>
      <c r="C4" s="34"/>
      <c r="D4" s="34"/>
      <c r="E4" s="34"/>
      <c r="F4" s="53"/>
      <c r="G4" s="53"/>
      <c r="H4" s="53"/>
      <c r="I4" s="53"/>
    </row>
    <row r="5" spans="1:10" x14ac:dyDescent="0.25">
      <c r="A5" s="38"/>
      <c r="B5" s="38"/>
      <c r="C5" s="38"/>
      <c r="D5" s="38"/>
      <c r="E5" s="38"/>
      <c r="F5" s="38"/>
      <c r="G5" s="38"/>
      <c r="H5" s="38"/>
      <c r="I5" s="38"/>
    </row>
    <row r="6" spans="1:10" x14ac:dyDescent="0.25">
      <c r="A6" s="38"/>
      <c r="B6" s="38"/>
      <c r="C6" s="857" t="s">
        <v>61</v>
      </c>
      <c r="D6" s="857"/>
      <c r="E6" s="857"/>
      <c r="F6" s="857" t="s">
        <v>62</v>
      </c>
      <c r="G6" s="857"/>
      <c r="H6" s="857"/>
      <c r="I6" s="857"/>
      <c r="J6" s="54"/>
    </row>
    <row r="7" spans="1:10" x14ac:dyDescent="0.25">
      <c r="A7" s="38"/>
      <c r="B7" s="38"/>
      <c r="C7" s="38"/>
      <c r="D7" s="38"/>
      <c r="E7" s="38"/>
      <c r="F7" s="864" t="s">
        <v>4</v>
      </c>
      <c r="G7" s="864"/>
      <c r="H7" s="864"/>
      <c r="I7" s="39" t="s">
        <v>5</v>
      </c>
      <c r="J7" s="44"/>
    </row>
    <row r="8" spans="1:10" ht="63.75" customHeight="1" x14ac:dyDescent="0.25">
      <c r="A8" s="55" t="s">
        <v>63</v>
      </c>
      <c r="B8" s="634" t="s">
        <v>64</v>
      </c>
      <c r="C8" s="655" t="s">
        <v>65</v>
      </c>
      <c r="D8" s="655" t="s">
        <v>66</v>
      </c>
      <c r="E8" s="655" t="s">
        <v>67</v>
      </c>
      <c r="F8" s="655" t="s">
        <v>6</v>
      </c>
      <c r="G8" s="655" t="s">
        <v>7</v>
      </c>
      <c r="H8" s="634" t="s">
        <v>8</v>
      </c>
      <c r="I8" s="1" t="s">
        <v>9</v>
      </c>
      <c r="J8" s="1" t="s">
        <v>10</v>
      </c>
    </row>
    <row r="9" spans="1:10" x14ac:dyDescent="0.25">
      <c r="A9" s="38" t="s">
        <v>68</v>
      </c>
      <c r="B9" s="38"/>
      <c r="C9" s="38"/>
      <c r="D9" s="38"/>
      <c r="E9" s="38"/>
      <c r="F9" s="38"/>
      <c r="G9" s="38"/>
      <c r="H9" s="38"/>
      <c r="I9" s="38"/>
    </row>
    <row r="10" spans="1:10" x14ac:dyDescent="0.25">
      <c r="A10" s="33" t="s">
        <v>69</v>
      </c>
    </row>
    <row r="11" spans="1:10" x14ac:dyDescent="0.25">
      <c r="A11" s="4" t="s">
        <v>70</v>
      </c>
      <c r="B11" s="412">
        <f>7078711+52578-50585+60357</f>
        <v>7141061</v>
      </c>
      <c r="C11" s="12">
        <v>485657</v>
      </c>
      <c r="D11" s="12">
        <v>0</v>
      </c>
      <c r="E11" s="12">
        <v>0</v>
      </c>
      <c r="F11" s="12">
        <f>SUM(C11:E11)-B11</f>
        <v>-6655404</v>
      </c>
      <c r="G11" s="12">
        <v>0</v>
      </c>
      <c r="H11" s="12">
        <f t="shared" ref="H11:H18" si="0">SUM(F11:G11)</f>
        <v>-6655404</v>
      </c>
      <c r="I11" s="12"/>
    </row>
    <row r="12" spans="1:10" x14ac:dyDescent="0.25">
      <c r="A12" s="4" t="s">
        <v>44</v>
      </c>
      <c r="B12" s="5">
        <v>7275482</v>
      </c>
      <c r="C12" s="5">
        <v>1827892</v>
      </c>
      <c r="D12" s="5">
        <v>141485</v>
      </c>
      <c r="E12" s="5">
        <v>0</v>
      </c>
      <c r="F12" s="5">
        <f t="shared" ref="F12:F18" si="1">SUM(C12:E12)-B12</f>
        <v>-5306105</v>
      </c>
      <c r="G12" s="5">
        <v>0</v>
      </c>
      <c r="H12" s="5">
        <f t="shared" si="0"/>
        <v>-5306105</v>
      </c>
      <c r="I12" s="5"/>
    </row>
    <row r="13" spans="1:10" x14ac:dyDescent="0.25">
      <c r="A13" s="4" t="s">
        <v>71</v>
      </c>
      <c r="B13" s="5">
        <v>1134158</v>
      </c>
      <c r="C13" s="5">
        <v>0</v>
      </c>
      <c r="D13" s="5">
        <v>0</v>
      </c>
      <c r="E13" s="5">
        <v>0</v>
      </c>
      <c r="F13" s="5">
        <f t="shared" si="1"/>
        <v>-1134158</v>
      </c>
      <c r="G13" s="5">
        <v>0</v>
      </c>
      <c r="H13" s="5">
        <f t="shared" si="0"/>
        <v>-1134158</v>
      </c>
      <c r="I13" s="5"/>
    </row>
    <row r="14" spans="1:10" x14ac:dyDescent="0.25">
      <c r="A14" s="4" t="s">
        <v>72</v>
      </c>
      <c r="B14" s="5">
        <v>1136399</v>
      </c>
      <c r="C14" s="5">
        <v>0</v>
      </c>
      <c r="D14" s="5">
        <v>0</v>
      </c>
      <c r="E14" s="5">
        <v>0</v>
      </c>
      <c r="F14" s="5">
        <f t="shared" si="1"/>
        <v>-1136399</v>
      </c>
      <c r="G14" s="5">
        <v>0</v>
      </c>
      <c r="H14" s="5">
        <f t="shared" si="0"/>
        <v>-1136399</v>
      </c>
      <c r="I14" s="5"/>
    </row>
    <row r="15" spans="1:10" x14ac:dyDescent="0.25">
      <c r="A15" s="4" t="s">
        <v>73</v>
      </c>
      <c r="B15" s="5">
        <v>22424065</v>
      </c>
      <c r="C15" s="5">
        <v>100000</v>
      </c>
      <c r="D15" s="5">
        <f>13144196-619059</f>
        <v>12525137</v>
      </c>
      <c r="E15" s="5">
        <v>0</v>
      </c>
      <c r="F15" s="5">
        <f t="shared" si="1"/>
        <v>-9798928</v>
      </c>
      <c r="G15" s="5">
        <v>0</v>
      </c>
      <c r="H15" s="5">
        <f t="shared" si="0"/>
        <v>-9798928</v>
      </c>
      <c r="I15" s="5"/>
    </row>
    <row r="16" spans="1:10" x14ac:dyDescent="0.25">
      <c r="A16" s="4" t="s">
        <v>74</v>
      </c>
      <c r="B16" s="5">
        <v>2353261</v>
      </c>
      <c r="C16" s="5">
        <v>578373</v>
      </c>
      <c r="D16" s="5">
        <v>0</v>
      </c>
      <c r="E16" s="5">
        <v>102832</v>
      </c>
      <c r="F16" s="5">
        <f t="shared" si="1"/>
        <v>-1672056</v>
      </c>
      <c r="G16" s="5">
        <v>0</v>
      </c>
      <c r="H16" s="5">
        <f t="shared" si="0"/>
        <v>-1672056</v>
      </c>
      <c r="I16" s="5"/>
    </row>
    <row r="17" spans="1:10" x14ac:dyDescent="0.25">
      <c r="A17" s="4" t="s">
        <v>45</v>
      </c>
      <c r="B17" s="5">
        <v>43118616</v>
      </c>
      <c r="C17" s="5">
        <v>0</v>
      </c>
      <c r="D17" s="393">
        <v>683529</v>
      </c>
      <c r="E17" s="5">
        <v>0</v>
      </c>
      <c r="F17" s="5">
        <f t="shared" si="1"/>
        <v>-42435087</v>
      </c>
      <c r="G17" s="5">
        <v>0</v>
      </c>
      <c r="H17" s="5">
        <f t="shared" si="0"/>
        <v>-42435087</v>
      </c>
      <c r="I17" s="5"/>
    </row>
    <row r="18" spans="1:10" x14ac:dyDescent="0.25">
      <c r="A18" s="4" t="s">
        <v>75</v>
      </c>
      <c r="B18" s="6">
        <v>695925</v>
      </c>
      <c r="C18" s="6">
        <v>0</v>
      </c>
      <c r="D18" s="6">
        <v>0</v>
      </c>
      <c r="E18" s="6">
        <v>0</v>
      </c>
      <c r="F18" s="6">
        <f t="shared" si="1"/>
        <v>-695925</v>
      </c>
      <c r="G18" s="6">
        <v>0</v>
      </c>
      <c r="H18" s="6">
        <f t="shared" si="0"/>
        <v>-695925</v>
      </c>
      <c r="I18" s="2"/>
    </row>
    <row r="19" spans="1:10" x14ac:dyDescent="0.25">
      <c r="A19" s="47" t="s">
        <v>76</v>
      </c>
      <c r="B19" s="46">
        <f t="shared" ref="B19:G19" si="2">SUM(B11:B18)</f>
        <v>85278967</v>
      </c>
      <c r="C19" s="46">
        <f t="shared" si="2"/>
        <v>2991922</v>
      </c>
      <c r="D19" s="46">
        <f t="shared" si="2"/>
        <v>13350151</v>
      </c>
      <c r="E19" s="46">
        <f t="shared" si="2"/>
        <v>102832</v>
      </c>
      <c r="F19" s="46">
        <f t="shared" si="2"/>
        <v>-68834062</v>
      </c>
      <c r="G19" s="46">
        <f t="shared" si="2"/>
        <v>0</v>
      </c>
      <c r="H19" s="46">
        <f>SUM(F19:G19)</f>
        <v>-68834062</v>
      </c>
      <c r="I19" s="2"/>
    </row>
    <row r="20" spans="1:10" x14ac:dyDescent="0.25">
      <c r="A20" s="33"/>
      <c r="I20" s="32"/>
    </row>
    <row r="21" spans="1:10" x14ac:dyDescent="0.25">
      <c r="A21" s="33" t="s">
        <v>77</v>
      </c>
      <c r="I21" s="32"/>
    </row>
    <row r="22" spans="1:10" x14ac:dyDescent="0.25">
      <c r="A22" s="4" t="s">
        <v>78</v>
      </c>
      <c r="B22" s="5">
        <v>286728</v>
      </c>
      <c r="C22" s="5">
        <v>225995</v>
      </c>
      <c r="D22" s="5">
        <v>100</v>
      </c>
      <c r="E22" s="5">
        <v>0</v>
      </c>
      <c r="F22" s="5">
        <v>0</v>
      </c>
      <c r="G22" s="56">
        <f>SUM(C22:E22)-B22</f>
        <v>-60633</v>
      </c>
      <c r="H22" s="5">
        <f>SUM(F22:G22)</f>
        <v>-60633</v>
      </c>
      <c r="I22" s="32"/>
    </row>
    <row r="23" spans="1:10" x14ac:dyDescent="0.25">
      <c r="A23" s="4" t="s">
        <v>79</v>
      </c>
      <c r="B23" s="6">
        <v>483282</v>
      </c>
      <c r="C23" s="6">
        <f>779108+1000</f>
        <v>780108</v>
      </c>
      <c r="D23" s="6">
        <f>7100+5000</f>
        <v>12100</v>
      </c>
      <c r="E23" s="6">
        <f>125348+530</f>
        <v>125878</v>
      </c>
      <c r="F23" s="6">
        <v>0</v>
      </c>
      <c r="G23" s="2">
        <f>SUM(C23:E23)-B23</f>
        <v>434804</v>
      </c>
      <c r="H23" s="2">
        <f>SUM(F23:G23)</f>
        <v>434804</v>
      </c>
      <c r="I23" s="32"/>
    </row>
    <row r="24" spans="1:10" x14ac:dyDescent="0.25">
      <c r="A24" s="47" t="s">
        <v>80</v>
      </c>
      <c r="B24" s="46">
        <f t="shared" ref="B24:H24" si="3">SUM(B22:B23)</f>
        <v>770010</v>
      </c>
      <c r="C24" s="46">
        <f t="shared" si="3"/>
        <v>1006103</v>
      </c>
      <c r="D24" s="46">
        <f t="shared" si="3"/>
        <v>12200</v>
      </c>
      <c r="E24" s="46">
        <f t="shared" si="3"/>
        <v>125878</v>
      </c>
      <c r="F24" s="46">
        <f t="shared" si="3"/>
        <v>0</v>
      </c>
      <c r="G24" s="46">
        <f t="shared" si="3"/>
        <v>374171</v>
      </c>
      <c r="H24" s="46">
        <f t="shared" si="3"/>
        <v>374171</v>
      </c>
      <c r="I24" s="32"/>
    </row>
    <row r="25" spans="1:10" ht="13.8" thickBot="1" x14ac:dyDescent="0.3">
      <c r="A25" s="102" t="s">
        <v>81</v>
      </c>
      <c r="B25" s="48">
        <f t="shared" ref="B25:H25" si="4">+B19+B24</f>
        <v>86048977</v>
      </c>
      <c r="C25" s="48">
        <f t="shared" si="4"/>
        <v>3998025</v>
      </c>
      <c r="D25" s="48">
        <f t="shared" si="4"/>
        <v>13362351</v>
      </c>
      <c r="E25" s="48">
        <f t="shared" si="4"/>
        <v>228710</v>
      </c>
      <c r="F25" s="415">
        <f t="shared" si="4"/>
        <v>-68834062</v>
      </c>
      <c r="G25" s="46">
        <f t="shared" si="4"/>
        <v>374171</v>
      </c>
      <c r="H25" s="46">
        <f t="shared" si="4"/>
        <v>-68459891</v>
      </c>
      <c r="I25" s="45"/>
    </row>
    <row r="26" spans="1:10" ht="13.8" thickTop="1" x14ac:dyDescent="0.25">
      <c r="A26" s="33"/>
      <c r="I26" s="32"/>
    </row>
    <row r="27" spans="1:10" x14ac:dyDescent="0.25">
      <c r="A27" s="33" t="s">
        <v>82</v>
      </c>
    </row>
    <row r="28" spans="1:10" x14ac:dyDescent="0.25">
      <c r="A28" s="4" t="s">
        <v>83</v>
      </c>
      <c r="B28" s="12">
        <f>38441831+2033573+144537</f>
        <v>40619941</v>
      </c>
      <c r="C28" s="12">
        <v>43127674</v>
      </c>
      <c r="D28" s="12">
        <v>1241035</v>
      </c>
      <c r="E28" s="12">
        <v>974775</v>
      </c>
      <c r="I28" s="12">
        <f>SUM(C28:E28)-B28</f>
        <v>4723543</v>
      </c>
      <c r="J28" s="57">
        <v>0</v>
      </c>
    </row>
    <row r="29" spans="1:10" x14ac:dyDescent="0.25">
      <c r="A29" s="4" t="s">
        <v>84</v>
      </c>
      <c r="B29" s="6">
        <f>2532470+2773+127850</f>
        <v>2663093</v>
      </c>
      <c r="C29" s="6">
        <v>2661222</v>
      </c>
      <c r="D29" s="6">
        <v>0</v>
      </c>
      <c r="E29" s="6">
        <v>0</v>
      </c>
      <c r="I29" s="6">
        <v>0</v>
      </c>
      <c r="J29" s="58">
        <f>+SUM(C29:E29)-B29</f>
        <v>-1871</v>
      </c>
    </row>
    <row r="30" spans="1:10" ht="13.8" thickBot="1" x14ac:dyDescent="0.3">
      <c r="A30" s="33" t="s">
        <v>85</v>
      </c>
      <c r="B30" s="48">
        <f>SUM(B28:B29)</f>
        <v>43283034</v>
      </c>
      <c r="C30" s="48">
        <f>SUM(C28:C29)</f>
        <v>45788896</v>
      </c>
      <c r="D30" s="48">
        <f>SUM(D28:D29)</f>
        <v>1241035</v>
      </c>
      <c r="E30" s="48">
        <f>SUM(E28:E29)</f>
        <v>974775</v>
      </c>
      <c r="I30" s="46">
        <f>SUM(I28:I29)</f>
        <v>4723543</v>
      </c>
      <c r="J30" s="46">
        <f>SUM(J28:J29)</f>
        <v>-1871</v>
      </c>
    </row>
    <row r="31" spans="1:10" ht="13.8" thickTop="1" x14ac:dyDescent="0.25"/>
    <row r="32" spans="1:10" x14ac:dyDescent="0.25">
      <c r="B32" s="7" t="s">
        <v>86</v>
      </c>
    </row>
    <row r="33" spans="2:10" x14ac:dyDescent="0.25">
      <c r="B33" s="4" t="s">
        <v>87</v>
      </c>
      <c r="F33" s="5"/>
      <c r="G33" s="5"/>
      <c r="H33" s="5"/>
      <c r="I33" s="5"/>
    </row>
    <row r="34" spans="2:10" x14ac:dyDescent="0.25">
      <c r="B34" s="47" t="s">
        <v>88</v>
      </c>
      <c r="F34" s="5">
        <f>55714915-10945+210632-421264</f>
        <v>55493338</v>
      </c>
      <c r="G34" s="5">
        <v>0</v>
      </c>
      <c r="H34" s="5">
        <f t="shared" ref="H34:H39" si="5">SUM(F34:G34)</f>
        <v>55493338</v>
      </c>
      <c r="I34" s="5">
        <v>0</v>
      </c>
    </row>
    <row r="35" spans="2:10" x14ac:dyDescent="0.25">
      <c r="B35" s="47" t="s">
        <v>89</v>
      </c>
      <c r="F35" s="5">
        <f>13276224-50000</f>
        <v>13226224</v>
      </c>
      <c r="G35" s="5">
        <v>0</v>
      </c>
      <c r="H35" s="5">
        <f t="shared" si="5"/>
        <v>13226224</v>
      </c>
      <c r="I35" s="5"/>
    </row>
    <row r="36" spans="2:10" x14ac:dyDescent="0.25">
      <c r="B36" s="47" t="s">
        <v>90</v>
      </c>
      <c r="F36" s="5">
        <v>276471</v>
      </c>
      <c r="G36" s="5">
        <v>0</v>
      </c>
      <c r="H36" s="5">
        <f t="shared" si="5"/>
        <v>276471</v>
      </c>
      <c r="I36" s="5">
        <v>0</v>
      </c>
    </row>
    <row r="37" spans="2:10" x14ac:dyDescent="0.25">
      <c r="B37" s="4" t="s">
        <v>91</v>
      </c>
      <c r="F37" s="5">
        <v>145522</v>
      </c>
      <c r="G37" s="5">
        <v>101000</v>
      </c>
      <c r="H37" s="5">
        <f t="shared" si="5"/>
        <v>246522</v>
      </c>
      <c r="I37" s="5">
        <v>0</v>
      </c>
    </row>
    <row r="38" spans="2:10" x14ac:dyDescent="0.25">
      <c r="B38" s="4" t="s">
        <v>92</v>
      </c>
      <c r="F38" s="5">
        <f>1599396-549</f>
        <v>1598847</v>
      </c>
      <c r="G38" s="5">
        <v>5960</v>
      </c>
      <c r="H38" s="5">
        <f t="shared" si="5"/>
        <v>1604807</v>
      </c>
      <c r="I38" s="5">
        <v>636856</v>
      </c>
      <c r="J38" s="5">
        <v>7971</v>
      </c>
    </row>
    <row r="39" spans="2:10" x14ac:dyDescent="0.25">
      <c r="B39" s="4" t="s">
        <v>93</v>
      </c>
      <c r="F39" s="5">
        <f>149594+549</f>
        <v>150143</v>
      </c>
      <c r="G39" s="5">
        <v>0</v>
      </c>
      <c r="H39" s="5">
        <f t="shared" si="5"/>
        <v>150143</v>
      </c>
      <c r="I39" s="5">
        <v>0</v>
      </c>
      <c r="J39" s="5">
        <v>0</v>
      </c>
    </row>
    <row r="40" spans="2:10" x14ac:dyDescent="0.25">
      <c r="B40" s="4" t="s">
        <v>94</v>
      </c>
      <c r="F40" s="415">
        <f>SUM(F34:F39)</f>
        <v>70890545</v>
      </c>
      <c r="G40" s="415">
        <f>SUM(G34:G39)</f>
        <v>106960</v>
      </c>
      <c r="H40" s="415">
        <f>SUM(H34:H39)</f>
        <v>70997505</v>
      </c>
      <c r="I40" s="5"/>
      <c r="J40" s="5"/>
    </row>
    <row r="41" spans="2:10" x14ac:dyDescent="0.25">
      <c r="B41" s="59" t="s">
        <v>95</v>
      </c>
      <c r="F41" s="5">
        <v>27482</v>
      </c>
      <c r="G41" s="5" t="s">
        <v>96</v>
      </c>
      <c r="H41" s="5">
        <f>SUM(F41:G41)</f>
        <v>27482</v>
      </c>
      <c r="I41" s="5">
        <v>0</v>
      </c>
      <c r="J41" s="5">
        <v>0</v>
      </c>
    </row>
    <row r="42" spans="2:10" x14ac:dyDescent="0.25">
      <c r="B42" s="7" t="s">
        <v>97</v>
      </c>
      <c r="F42" s="6">
        <v>-100000</v>
      </c>
      <c r="G42" s="6">
        <v>100000</v>
      </c>
      <c r="H42" s="6">
        <f>SUM(F42:G42)</f>
        <v>0</v>
      </c>
      <c r="I42" s="6">
        <v>0</v>
      </c>
      <c r="J42" s="6">
        <v>0</v>
      </c>
    </row>
    <row r="43" spans="2:10" x14ac:dyDescent="0.25">
      <c r="B43" s="50" t="s">
        <v>98</v>
      </c>
      <c r="F43" s="46">
        <f>SUM(F34:F39,F41:F42)</f>
        <v>70818027</v>
      </c>
      <c r="G43" s="46">
        <f>SUM(G34:G39,G41:G42)</f>
        <v>206960</v>
      </c>
      <c r="H43" s="46">
        <f>SUM(H34:H39,H41:H42)</f>
        <v>71024987</v>
      </c>
      <c r="I43" s="46">
        <f>SUM(I34:I42)</f>
        <v>636856</v>
      </c>
      <c r="J43" s="46">
        <f>SUM(J34:J42)</f>
        <v>7971</v>
      </c>
    </row>
    <row r="44" spans="2:10" x14ac:dyDescent="0.25">
      <c r="B44" s="429" t="s">
        <v>99</v>
      </c>
      <c r="C44" s="404"/>
      <c r="D44" s="404"/>
      <c r="F44" s="5">
        <f>+F25+F43</f>
        <v>1983965</v>
      </c>
      <c r="G44" s="5">
        <f>+G25+G43</f>
        <v>581131</v>
      </c>
      <c r="H44" s="5">
        <f>+H25+H43</f>
        <v>2565096</v>
      </c>
      <c r="I44" s="5">
        <f>+I30+I43</f>
        <v>5360399</v>
      </c>
      <c r="J44" s="5">
        <f>+J30+J43</f>
        <v>6100</v>
      </c>
    </row>
    <row r="45" spans="2:10" x14ac:dyDescent="0.25">
      <c r="B45" s="404" t="s">
        <v>100</v>
      </c>
      <c r="C45" s="404"/>
      <c r="D45" s="404"/>
      <c r="F45" s="2">
        <f>16267159+1500000</f>
        <v>17767159</v>
      </c>
      <c r="G45" s="2">
        <f>6641235</f>
        <v>6641235</v>
      </c>
      <c r="H45" s="2">
        <f>SUM(F45:G45)</f>
        <v>24408394</v>
      </c>
      <c r="I45" s="2">
        <v>34459415</v>
      </c>
      <c r="J45" s="2">
        <v>385935</v>
      </c>
    </row>
    <row r="46" spans="2:10" ht="13.8" thickBot="1" x14ac:dyDescent="0.3">
      <c r="B46" s="404" t="s">
        <v>101</v>
      </c>
      <c r="C46" s="404"/>
      <c r="D46" s="404"/>
      <c r="F46" s="48">
        <f>F44+F45</f>
        <v>19751124</v>
      </c>
      <c r="G46" s="48">
        <f>G44+G45</f>
        <v>7222366</v>
      </c>
      <c r="H46" s="48">
        <f>H44+H45</f>
        <v>26973490</v>
      </c>
      <c r="I46" s="48">
        <f>I44+I45</f>
        <v>39819814</v>
      </c>
      <c r="J46" s="48">
        <f>J44+J45</f>
        <v>392035</v>
      </c>
    </row>
    <row r="47" spans="2:10" ht="13.8" thickTop="1" x14ac:dyDescent="0.25"/>
    <row r="48" spans="2:10" x14ac:dyDescent="0.25">
      <c r="E48" s="31"/>
    </row>
    <row r="49" spans="1:1" x14ac:dyDescent="0.25">
      <c r="A49" s="7" t="e">
        <f>+#REF!</f>
        <v>#REF!</v>
      </c>
    </row>
  </sheetData>
  <customSheetViews>
    <customSheetView guid="{A8748736-0722-49EB-85B6-C9B52DDCFE0E}" state="hidden">
      <colBreaks count="1" manualBreakCount="1">
        <brk id="5" max="1048575" man="1"/>
      </colBreaks>
      <pageMargins left="0.75" right="0.75" top="1" bottom="1" header="0.5" footer="0.5"/>
      <printOptions horizontalCentered="1"/>
      <pageSetup scale="86" firstPageNumber="28" fitToHeight="0" orientation="portrait" useFirstPageNumber="1" r:id="rId1"/>
      <headerFooter alignWithMargins="0"/>
    </customSheetView>
    <customSheetView guid="{E0C60316-4586-4AAF-92CB-FA82BB1EB755}" state="hidden" topLeftCell="A31">
      <selection activeCell="A34" sqref="A34"/>
      <colBreaks count="1" manualBreakCount="1">
        <brk id="5" max="1048575" man="1"/>
      </colBreaks>
      <pageMargins left="0" right="0" top="0" bottom="0" header="0" footer="0"/>
      <printOptions horizontalCentered="1"/>
      <pageSetup scale="86" firstPageNumber="28" fitToHeight="0" orientation="portrait" useFirstPageNumber="1" r:id="rId2"/>
      <headerFooter alignWithMargins="0"/>
    </customSheetView>
  </customSheetViews>
  <mergeCells count="3">
    <mergeCell ref="F7:H7"/>
    <mergeCell ref="C6:E6"/>
    <mergeCell ref="F6:I6"/>
  </mergeCells>
  <phoneticPr fontId="0" type="noConversion"/>
  <printOptions horizontalCentered="1"/>
  <pageMargins left="0.75" right="0.75" top="1" bottom="1" header="0.5" footer="0.5"/>
  <pageSetup scale="86" firstPageNumber="28" fitToHeight="0" orientation="portrait" useFirstPageNumber="1" r:id="rId3"/>
  <headerFooter alignWithMargins="0"/>
  <colBreaks count="1" manualBreakCount="1">
    <brk id="5" max="1048575" man="1"/>
  </colBreaks>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25"/>
  <sheetViews>
    <sheetView workbookViewId="0">
      <selection sqref="A1:J1"/>
    </sheetView>
  </sheetViews>
  <sheetFormatPr defaultRowHeight="13.2" x14ac:dyDescent="0.25"/>
  <cols>
    <col min="1" max="1" width="49.6640625" customWidth="1"/>
    <col min="2" max="2" width="14.6640625" customWidth="1"/>
    <col min="3" max="3" width="2.6640625" customWidth="1"/>
    <col min="4" max="4" width="12.6640625" customWidth="1"/>
    <col min="5" max="5" width="2.6640625" customWidth="1"/>
    <col min="6" max="6" width="12.6640625" customWidth="1"/>
    <col min="7" max="7" width="2.6640625" customWidth="1"/>
    <col min="8" max="8" width="12.6640625" customWidth="1"/>
    <col min="9" max="9" width="2.6640625" customWidth="1"/>
    <col min="10" max="10" width="12.6640625" customWidth="1"/>
    <col min="11" max="11" width="11.33203125" bestFit="1" customWidth="1"/>
  </cols>
  <sheetData>
    <row r="1" spans="1:11" x14ac:dyDescent="0.25">
      <c r="A1" s="859" t="s">
        <v>1</v>
      </c>
      <c r="B1" s="859"/>
      <c r="C1" s="859"/>
      <c r="D1" s="859"/>
      <c r="E1" s="859"/>
      <c r="F1" s="859"/>
      <c r="G1" s="859"/>
      <c r="H1" s="859"/>
      <c r="I1" s="859"/>
      <c r="J1" s="859"/>
    </row>
    <row r="2" spans="1:11" ht="13.5" customHeight="1" x14ac:dyDescent="0.25">
      <c r="A2" s="935" t="s">
        <v>434</v>
      </c>
      <c r="B2" s="935"/>
      <c r="C2" s="935"/>
      <c r="D2" s="935"/>
      <c r="E2" s="935"/>
      <c r="F2" s="935"/>
      <c r="G2" s="935"/>
      <c r="H2" s="935"/>
      <c r="I2" s="935"/>
      <c r="J2" s="935"/>
    </row>
    <row r="3" spans="1:11" x14ac:dyDescent="0.25">
      <c r="A3" s="859" t="s">
        <v>435</v>
      </c>
      <c r="B3" s="859"/>
      <c r="C3" s="859"/>
      <c r="D3" s="859"/>
      <c r="E3" s="859"/>
      <c r="F3" s="859"/>
      <c r="G3" s="859"/>
      <c r="H3" s="859"/>
      <c r="I3" s="859"/>
      <c r="J3" s="859"/>
    </row>
    <row r="4" spans="1:11" x14ac:dyDescent="0.25">
      <c r="A4" s="898" t="s">
        <v>423</v>
      </c>
      <c r="B4" s="898"/>
      <c r="C4" s="898"/>
      <c r="D4" s="898"/>
      <c r="E4" s="898"/>
      <c r="F4" s="898"/>
      <c r="G4" s="898"/>
      <c r="H4" s="898"/>
      <c r="I4" s="898"/>
      <c r="J4" s="898"/>
      <c r="K4" s="593"/>
    </row>
    <row r="5" spans="1:11" x14ac:dyDescent="0.25">
      <c r="A5" s="645"/>
      <c r="B5" s="645"/>
      <c r="C5" s="645"/>
      <c r="D5" s="645"/>
      <c r="E5" s="645"/>
      <c r="F5" s="645"/>
      <c r="G5" s="645"/>
      <c r="H5" s="645"/>
      <c r="I5" s="645"/>
      <c r="J5" s="645"/>
    </row>
    <row r="6" spans="1:11" x14ac:dyDescent="0.25">
      <c r="B6" s="369">
        <v>2022</v>
      </c>
      <c r="D6" s="369">
        <v>2021</v>
      </c>
      <c r="F6" s="369">
        <v>2020</v>
      </c>
      <c r="H6" s="369">
        <v>2019</v>
      </c>
      <c r="J6" s="369">
        <v>2018</v>
      </c>
    </row>
    <row r="7" spans="1:11" x14ac:dyDescent="0.25">
      <c r="D7" s="535"/>
    </row>
    <row r="8" spans="1:11" x14ac:dyDescent="0.25">
      <c r="A8" s="484" t="s">
        <v>436</v>
      </c>
      <c r="B8" s="412">
        <f>'RSI - LEO 1'!C15</f>
        <v>222671.96002999993</v>
      </c>
      <c r="C8" s="484"/>
      <c r="D8" s="385">
        <f>'RSI - LEO 1'!E15</f>
        <v>218891.34588499996</v>
      </c>
      <c r="E8" s="385"/>
      <c r="F8" s="385">
        <f>'RSI - LEO 1'!G15</f>
        <v>201631.93050499997</v>
      </c>
      <c r="H8" s="527">
        <v>215553</v>
      </c>
      <c r="J8" s="527">
        <v>218226</v>
      </c>
    </row>
    <row r="9" spans="1:11" x14ac:dyDescent="0.25">
      <c r="A9" s="484" t="s">
        <v>437</v>
      </c>
      <c r="B9" s="393">
        <f>D9*1.02</f>
        <v>783560.94000000006</v>
      </c>
      <c r="C9" s="484"/>
      <c r="D9" s="406">
        <v>768197</v>
      </c>
      <c r="E9" s="406"/>
      <c r="F9" s="375">
        <v>817231</v>
      </c>
      <c r="H9" s="375">
        <v>816944</v>
      </c>
      <c r="J9" s="375">
        <v>818471</v>
      </c>
    </row>
    <row r="10" spans="1:11" x14ac:dyDescent="0.25">
      <c r="A10" s="484" t="s">
        <v>438</v>
      </c>
      <c r="B10" s="462">
        <f>B8/B9</f>
        <v>0.28417950495337341</v>
      </c>
      <c r="C10" s="484"/>
      <c r="D10" s="376">
        <f>D8/D9</f>
        <v>0.28494168277798526</v>
      </c>
      <c r="E10" s="376"/>
      <c r="F10" s="376">
        <f>F8/F9</f>
        <v>0.24672574890697974</v>
      </c>
      <c r="H10" s="376">
        <f>H8/H9</f>
        <v>0.26385284670675102</v>
      </c>
      <c r="J10" s="376">
        <f>J8/J9</f>
        <v>0.26662642903658162</v>
      </c>
    </row>
    <row r="11" spans="1:11" x14ac:dyDescent="0.25">
      <c r="A11" s="484"/>
      <c r="B11" s="484"/>
      <c r="C11" s="484"/>
      <c r="D11" s="462"/>
      <c r="E11" s="484"/>
      <c r="F11" s="376"/>
      <c r="G11" s="376"/>
      <c r="H11" s="376"/>
      <c r="J11" s="376"/>
    </row>
    <row r="12" spans="1:11" x14ac:dyDescent="0.25">
      <c r="A12" s="484"/>
      <c r="B12" s="484"/>
      <c r="C12" s="484"/>
      <c r="D12" s="462"/>
      <c r="E12" s="484"/>
      <c r="F12" s="376"/>
      <c r="G12" s="376"/>
      <c r="H12" s="376"/>
      <c r="J12" s="376"/>
    </row>
    <row r="13" spans="1:11" x14ac:dyDescent="0.25">
      <c r="J13" s="520"/>
    </row>
    <row r="14" spans="1:11" x14ac:dyDescent="0.25">
      <c r="A14" t="s">
        <v>439</v>
      </c>
      <c r="K14" s="383"/>
    </row>
    <row r="15" spans="1:11" x14ac:dyDescent="0.25">
      <c r="K15" s="383"/>
    </row>
    <row r="16" spans="1:11" ht="38.25" customHeight="1" x14ac:dyDescent="0.25">
      <c r="A16" s="926" t="s">
        <v>440</v>
      </c>
      <c r="B16" s="926"/>
      <c r="C16" s="926"/>
      <c r="D16" s="926"/>
      <c r="E16" s="646"/>
      <c r="F16" s="646"/>
      <c r="G16" s="646"/>
      <c r="H16" s="646"/>
      <c r="I16" s="646"/>
      <c r="J16" s="646"/>
    </row>
    <row r="17" spans="1:10" x14ac:dyDescent="0.25">
      <c r="H17" s="347"/>
    </row>
    <row r="20" spans="1:10" ht="13.8" thickBot="1" x14ac:dyDescent="0.3"/>
    <row r="21" spans="1:10" x14ac:dyDescent="0.25">
      <c r="A21" s="917" t="s">
        <v>441</v>
      </c>
      <c r="B21" s="918"/>
      <c r="C21" s="918"/>
      <c r="D21" s="918"/>
      <c r="E21" s="918"/>
      <c r="F21" s="918"/>
      <c r="G21" s="918"/>
      <c r="H21" s="918"/>
      <c r="I21" s="918"/>
      <c r="J21" s="928"/>
    </row>
    <row r="22" spans="1:10" x14ac:dyDescent="0.25">
      <c r="A22" s="929"/>
      <c r="B22" s="930"/>
      <c r="C22" s="930"/>
      <c r="D22" s="930"/>
      <c r="E22" s="930"/>
      <c r="F22" s="930"/>
      <c r="G22" s="930"/>
      <c r="H22" s="930"/>
      <c r="I22" s="930"/>
      <c r="J22" s="931"/>
    </row>
    <row r="23" spans="1:10" ht="13.8" thickBot="1" x14ac:dyDescent="0.3">
      <c r="A23" s="932"/>
      <c r="B23" s="933"/>
      <c r="C23" s="933"/>
      <c r="D23" s="933"/>
      <c r="E23" s="933"/>
      <c r="F23" s="933"/>
      <c r="G23" s="933"/>
      <c r="H23" s="933"/>
      <c r="I23" s="933"/>
      <c r="J23" s="934"/>
    </row>
    <row r="25" spans="1:10" ht="104.25" customHeight="1" x14ac:dyDescent="0.25">
      <c r="A25" s="906" t="s">
        <v>1112</v>
      </c>
      <c r="B25" s="907"/>
      <c r="C25" s="907"/>
      <c r="D25" s="907"/>
      <c r="E25" s="907"/>
      <c r="F25" s="907"/>
      <c r="G25" s="907"/>
      <c r="H25" s="907"/>
      <c r="I25" s="907"/>
      <c r="J25" s="908"/>
    </row>
  </sheetData>
  <customSheetViews>
    <customSheetView guid="{A8748736-0722-49EB-85B6-C9B52DDCFE0E}" fitToPage="1">
      <selection activeCell="A26" sqref="A26"/>
      <pageMargins left="0.7" right="0.7" top="0.75" bottom="0.75" header="0.3" footer="0.3"/>
      <pageSetup scale="73" orientation="portrait" r:id="rId1"/>
    </customSheetView>
    <customSheetView guid="{E0C60316-4586-4AAF-92CB-FA82BB1EB755}">
      <selection activeCell="E36" sqref="E36"/>
      <pageMargins left="0" right="0" top="0" bottom="0" header="0" footer="0"/>
      <pageSetup orientation="portrait" r:id="rId2"/>
    </customSheetView>
  </customSheetViews>
  <mergeCells count="7">
    <mergeCell ref="A25:J25"/>
    <mergeCell ref="A21:J23"/>
    <mergeCell ref="A1:J1"/>
    <mergeCell ref="A2:J2"/>
    <mergeCell ref="A3:J3"/>
    <mergeCell ref="A16:D16"/>
    <mergeCell ref="A4:J4"/>
  </mergeCells>
  <pageMargins left="0.7" right="0.7" top="0.75" bottom="0.75" header="0.3" footer="0.3"/>
  <pageSetup scale="73"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40"/>
  <sheetViews>
    <sheetView workbookViewId="0">
      <selection sqref="A1:I1"/>
    </sheetView>
  </sheetViews>
  <sheetFormatPr defaultRowHeight="13.2" x14ac:dyDescent="0.25"/>
  <cols>
    <col min="1" max="1" width="62.5546875" bestFit="1" customWidth="1"/>
    <col min="2" max="2" width="15.44140625" customWidth="1"/>
    <col min="3" max="3" width="3.33203125" customWidth="1"/>
    <col min="4" max="4" width="12.6640625" customWidth="1"/>
    <col min="5" max="5" width="2.6640625" customWidth="1"/>
    <col min="6" max="6" width="12.6640625" customWidth="1"/>
    <col min="7" max="7" width="2.6640625" customWidth="1"/>
    <col min="8" max="8" width="12.6640625" customWidth="1"/>
    <col min="9" max="9" width="2.6640625" customWidth="1"/>
    <col min="10" max="10" width="12.6640625" customWidth="1"/>
    <col min="11" max="11" width="2.6640625" style="533" customWidth="1"/>
    <col min="12" max="12" width="15.6640625" style="533" customWidth="1"/>
    <col min="13" max="13" width="2.6640625" style="533" customWidth="1"/>
    <col min="14" max="14" width="15.6640625" style="533" customWidth="1"/>
    <col min="15" max="15" width="2.6640625" style="533" customWidth="1"/>
  </cols>
  <sheetData>
    <row r="1" spans="1:17" x14ac:dyDescent="0.25">
      <c r="A1" s="942" t="s">
        <v>1</v>
      </c>
      <c r="B1" s="942"/>
      <c r="C1" s="942"/>
      <c r="D1" s="942"/>
      <c r="E1" s="942"/>
      <c r="F1" s="942"/>
      <c r="G1" s="942"/>
      <c r="H1" s="942"/>
      <c r="I1" s="942"/>
    </row>
    <row r="2" spans="1:17" x14ac:dyDescent="0.25">
      <c r="A2" s="942" t="s">
        <v>442</v>
      </c>
      <c r="B2" s="942"/>
      <c r="C2" s="942"/>
      <c r="D2" s="942"/>
      <c r="E2" s="942"/>
      <c r="F2" s="942"/>
      <c r="G2" s="942"/>
      <c r="H2" s="942"/>
      <c r="I2" s="942"/>
    </row>
    <row r="3" spans="1:17" x14ac:dyDescent="0.25">
      <c r="A3" s="942" t="s">
        <v>443</v>
      </c>
      <c r="B3" s="942"/>
      <c r="C3" s="942"/>
      <c r="D3" s="942"/>
      <c r="E3" s="942"/>
      <c r="F3" s="942"/>
      <c r="G3" s="942"/>
      <c r="H3" s="942"/>
      <c r="I3" s="942"/>
    </row>
    <row r="4" spans="1:17" x14ac:dyDescent="0.25">
      <c r="A4" s="942" t="s">
        <v>423</v>
      </c>
      <c r="B4" s="942"/>
      <c r="C4" s="942"/>
      <c r="D4" s="942"/>
      <c r="E4" s="942"/>
      <c r="F4" s="942"/>
      <c r="G4" s="942"/>
      <c r="H4" s="942"/>
      <c r="I4" s="942"/>
    </row>
    <row r="5" spans="1:17" x14ac:dyDescent="0.25">
      <c r="J5" s="533"/>
    </row>
    <row r="6" spans="1:17" x14ac:dyDescent="0.25">
      <c r="J6" s="533"/>
    </row>
    <row r="7" spans="1:17" x14ac:dyDescent="0.25">
      <c r="B7" s="369">
        <v>2022</v>
      </c>
      <c r="D7" s="369">
        <f>F7+1</f>
        <v>2021</v>
      </c>
      <c r="F7" s="369">
        <f>H7+1</f>
        <v>2020</v>
      </c>
      <c r="H7" s="369">
        <f>J7+1</f>
        <v>2019</v>
      </c>
      <c r="J7" s="369">
        <v>2018</v>
      </c>
      <c r="K7" s="534"/>
      <c r="L7" s="534"/>
      <c r="M7" s="534"/>
      <c r="N7" s="534"/>
    </row>
    <row r="8" spans="1:17" x14ac:dyDescent="0.25">
      <c r="A8" s="381" t="s">
        <v>444</v>
      </c>
      <c r="B8" s="381"/>
      <c r="C8" s="381"/>
      <c r="D8" s="381"/>
      <c r="F8" s="381"/>
      <c r="H8" s="381"/>
      <c r="J8" s="381"/>
      <c r="K8" s="535"/>
      <c r="L8" s="535"/>
      <c r="M8" s="535"/>
      <c r="N8" s="388"/>
    </row>
    <row r="9" spans="1:17" ht="6.75" customHeight="1" x14ac:dyDescent="0.25">
      <c r="A9" s="379"/>
      <c r="B9" s="379"/>
      <c r="C9" s="379"/>
      <c r="D9" s="379"/>
      <c r="F9" s="379"/>
      <c r="H9" s="379"/>
      <c r="J9" s="379"/>
      <c r="K9" s="536"/>
      <c r="L9" s="536"/>
      <c r="M9" s="536"/>
      <c r="N9" s="388"/>
    </row>
    <row r="10" spans="1:17" x14ac:dyDescent="0.25">
      <c r="A10" s="484" t="s">
        <v>445</v>
      </c>
      <c r="B10" s="408">
        <v>34270</v>
      </c>
      <c r="D10" s="408">
        <v>35800</v>
      </c>
      <c r="E10" s="408"/>
      <c r="F10" s="408">
        <v>32667</v>
      </c>
      <c r="G10" s="408"/>
      <c r="H10" s="408">
        <v>31877</v>
      </c>
      <c r="I10" s="408"/>
      <c r="J10" s="408">
        <v>35640</v>
      </c>
      <c r="K10" s="537"/>
      <c r="L10" s="537"/>
      <c r="M10" s="388"/>
      <c r="N10" s="388"/>
    </row>
    <row r="11" spans="1:17" x14ac:dyDescent="0.25">
      <c r="A11" s="484" t="s">
        <v>180</v>
      </c>
      <c r="B11" s="406">
        <f>32000+4032</f>
        <v>36032</v>
      </c>
      <c r="D11" s="377">
        <f>33467</f>
        <v>33467</v>
      </c>
      <c r="F11" s="406">
        <v>32113</v>
      </c>
      <c r="H11" s="406">
        <v>30899</v>
      </c>
      <c r="J11" s="406">
        <v>33699</v>
      </c>
      <c r="K11" s="537"/>
      <c r="L11" s="537"/>
      <c r="M11" s="388"/>
      <c r="N11" s="388"/>
    </row>
    <row r="12" spans="1:17" x14ac:dyDescent="0.25">
      <c r="A12" s="484" t="s">
        <v>427</v>
      </c>
      <c r="B12" s="406">
        <v>0</v>
      </c>
      <c r="D12" s="377">
        <v>0</v>
      </c>
      <c r="F12" s="406">
        <v>0</v>
      </c>
      <c r="H12" s="406">
        <v>0</v>
      </c>
      <c r="J12" s="406">
        <v>0</v>
      </c>
      <c r="K12" s="537"/>
      <c r="L12" s="537"/>
      <c r="M12" s="388"/>
      <c r="N12" s="388"/>
      <c r="P12" s="498"/>
      <c r="Q12" s="498"/>
    </row>
    <row r="13" spans="1:17" x14ac:dyDescent="0.25">
      <c r="A13" s="484" t="s">
        <v>446</v>
      </c>
      <c r="B13" s="406">
        <v>-200000</v>
      </c>
      <c r="D13" s="377">
        <f>-137364+1225</f>
        <v>-136139</v>
      </c>
      <c r="F13" s="406">
        <v>-124589</v>
      </c>
      <c r="H13" s="406">
        <v>-122558</v>
      </c>
      <c r="J13" s="406">
        <v>-126871</v>
      </c>
      <c r="K13" s="537"/>
      <c r="L13" s="537"/>
      <c r="M13" s="388"/>
      <c r="N13" s="388"/>
      <c r="Q13" s="410"/>
    </row>
    <row r="14" spans="1:17" x14ac:dyDescent="0.25">
      <c r="A14" s="484" t="s">
        <v>447</v>
      </c>
      <c r="B14" s="406">
        <f>318880-4302+7349</f>
        <v>321927</v>
      </c>
      <c r="D14" s="388">
        <v>-406032</v>
      </c>
      <c r="F14" s="406">
        <f>-218982+738309-37747</f>
        <v>481580</v>
      </c>
      <c r="H14" s="406">
        <v>443211</v>
      </c>
      <c r="J14" s="406">
        <v>452643</v>
      </c>
      <c r="K14" s="537"/>
      <c r="L14" s="537"/>
      <c r="M14" s="388"/>
      <c r="N14" s="388"/>
    </row>
    <row r="15" spans="1:17" x14ac:dyDescent="0.25">
      <c r="A15" s="484" t="s">
        <v>383</v>
      </c>
      <c r="B15" s="407">
        <f>-43000-7349</f>
        <v>-50349</v>
      </c>
      <c r="D15" s="380">
        <f>-43000-1225</f>
        <v>-44225</v>
      </c>
      <c r="F15" s="407">
        <v>-46522</v>
      </c>
      <c r="H15" s="407">
        <v>-46227</v>
      </c>
      <c r="J15" s="407">
        <v>-45874</v>
      </c>
      <c r="K15" s="537"/>
      <c r="L15" s="537"/>
      <c r="M15" s="388"/>
      <c r="N15" s="388"/>
      <c r="P15" s="498"/>
    </row>
    <row r="16" spans="1:17" x14ac:dyDescent="0.25">
      <c r="A16" s="381" t="s">
        <v>448</v>
      </c>
      <c r="B16" s="530">
        <f>SUM(B10:B15)</f>
        <v>141880</v>
      </c>
      <c r="D16" s="530">
        <f>SUM(D10:D15)</f>
        <v>-517129</v>
      </c>
      <c r="F16" s="530">
        <f>SUM(F10:G15)</f>
        <v>375249</v>
      </c>
      <c r="H16" s="530">
        <f>SUM(H10:H15)</f>
        <v>337202</v>
      </c>
      <c r="J16" s="530">
        <f>SUM(J10:J15)</f>
        <v>349237</v>
      </c>
      <c r="K16" s="687"/>
      <c r="L16" s="687"/>
      <c r="M16" s="687"/>
      <c r="N16" s="687"/>
      <c r="Q16" s="498"/>
    </row>
    <row r="17" spans="1:17" x14ac:dyDescent="0.25">
      <c r="A17" s="381" t="s">
        <v>449</v>
      </c>
      <c r="B17" s="406">
        <f>D18</f>
        <v>2392898</v>
      </c>
      <c r="D17" s="377">
        <f>F18</f>
        <v>2910027</v>
      </c>
      <c r="F17" s="406">
        <f>H18</f>
        <v>2534778</v>
      </c>
      <c r="H17" s="406">
        <v>2197576</v>
      </c>
      <c r="J17" s="406">
        <v>1848339</v>
      </c>
      <c r="K17" s="537"/>
      <c r="L17" s="537"/>
      <c r="M17" s="388"/>
      <c r="N17" s="388"/>
      <c r="P17" s="498"/>
    </row>
    <row r="18" spans="1:17" ht="13.8" thickBot="1" x14ac:dyDescent="0.3">
      <c r="A18" s="381" t="s">
        <v>450</v>
      </c>
      <c r="B18" s="386">
        <f>B17+B16</f>
        <v>2534778</v>
      </c>
      <c r="D18" s="386">
        <f>D17+D16</f>
        <v>2392898</v>
      </c>
      <c r="E18" s="386"/>
      <c r="F18" s="386">
        <f>F17+F16</f>
        <v>2910027</v>
      </c>
      <c r="G18" s="386"/>
      <c r="H18" s="386">
        <f>H17+H16</f>
        <v>2534778</v>
      </c>
      <c r="I18" s="386"/>
      <c r="J18" s="386">
        <v>2197576</v>
      </c>
      <c r="K18" s="388"/>
      <c r="L18" s="388"/>
      <c r="M18" s="388"/>
      <c r="N18" s="388"/>
      <c r="P18" s="375"/>
      <c r="Q18" s="375"/>
    </row>
    <row r="19" spans="1:17" ht="13.8" thickTop="1" x14ac:dyDescent="0.25">
      <c r="D19" s="377"/>
      <c r="M19" s="388"/>
      <c r="N19" s="388"/>
      <c r="P19" s="375"/>
    </row>
    <row r="20" spans="1:17" x14ac:dyDescent="0.25">
      <c r="A20" s="381" t="s">
        <v>451</v>
      </c>
      <c r="B20" s="381"/>
      <c r="D20" s="377"/>
      <c r="F20" s="381"/>
      <c r="H20" s="381"/>
      <c r="J20" s="381"/>
      <c r="K20" s="535"/>
      <c r="L20" s="535"/>
      <c r="M20" s="388"/>
      <c r="N20" s="388"/>
      <c r="P20" s="375"/>
    </row>
    <row r="21" spans="1:17" x14ac:dyDescent="0.25">
      <c r="A21" s="484" t="s">
        <v>452</v>
      </c>
      <c r="B21" s="56">
        <v>43000</v>
      </c>
      <c r="D21" s="56">
        <v>36876</v>
      </c>
      <c r="F21" s="56">
        <f>42289+1530+3420</f>
        <v>47239</v>
      </c>
      <c r="H21" s="56">
        <v>45850</v>
      </c>
      <c r="J21" s="56">
        <v>46251</v>
      </c>
      <c r="K21" s="511"/>
      <c r="L21" s="511"/>
      <c r="M21" s="511"/>
      <c r="N21" s="511"/>
      <c r="P21" s="375"/>
    </row>
    <row r="22" spans="1:17" x14ac:dyDescent="0.25">
      <c r="A22" s="484" t="s">
        <v>453</v>
      </c>
      <c r="B22" s="56">
        <f>7349-4302</f>
        <v>3047</v>
      </c>
      <c r="D22" s="377">
        <f>2500+547-1500</f>
        <v>1547</v>
      </c>
      <c r="F22" s="56">
        <v>2344</v>
      </c>
      <c r="H22" s="56">
        <v>2250</v>
      </c>
      <c r="J22" s="56">
        <v>3165</v>
      </c>
      <c r="K22" s="511"/>
      <c r="L22" s="511"/>
      <c r="M22" s="388"/>
      <c r="N22" s="388"/>
    </row>
    <row r="23" spans="1:17" x14ac:dyDescent="0.25">
      <c r="A23" s="484" t="s">
        <v>383</v>
      </c>
      <c r="B23" s="377">
        <v>-50349</v>
      </c>
      <c r="D23" s="377">
        <f>D15</f>
        <v>-44225</v>
      </c>
      <c r="F23" s="377">
        <f>F15</f>
        <v>-46522</v>
      </c>
      <c r="H23" s="377">
        <f>H15</f>
        <v>-46227</v>
      </c>
      <c r="J23" s="377">
        <f>J15</f>
        <v>-45874</v>
      </c>
      <c r="K23" s="388"/>
      <c r="L23" s="388"/>
      <c r="M23" s="388"/>
      <c r="N23" s="388"/>
    </row>
    <row r="24" spans="1:17" x14ac:dyDescent="0.25">
      <c r="A24" s="484" t="s">
        <v>384</v>
      </c>
      <c r="B24" s="380">
        <v>0</v>
      </c>
      <c r="D24" s="380">
        <v>0</v>
      </c>
      <c r="F24" s="380">
        <v>0</v>
      </c>
      <c r="H24" s="380">
        <v>0</v>
      </c>
      <c r="J24" s="380"/>
      <c r="K24" s="388"/>
      <c r="L24" s="388"/>
      <c r="M24" s="388"/>
      <c r="N24" s="388"/>
      <c r="Q24" s="511"/>
    </row>
    <row r="25" spans="1:17" x14ac:dyDescent="0.25">
      <c r="A25" s="381" t="s">
        <v>454</v>
      </c>
      <c r="B25" s="531">
        <f>SUM(B21:B24)</f>
        <v>-4302</v>
      </c>
      <c r="D25" s="531">
        <f>SUM(D21:D24)</f>
        <v>-5802</v>
      </c>
      <c r="F25" s="531">
        <f>SUM(F21:F24)</f>
        <v>3061</v>
      </c>
      <c r="H25" s="531">
        <f>SUM(H21:H24)</f>
        <v>1873</v>
      </c>
      <c r="J25" s="531">
        <f>SUM(J21:J24)</f>
        <v>3542</v>
      </c>
      <c r="K25" s="688"/>
      <c r="L25" s="688"/>
      <c r="M25" s="688"/>
      <c r="N25" s="688"/>
      <c r="Q25" s="375"/>
    </row>
    <row r="26" spans="1:17" x14ac:dyDescent="0.25">
      <c r="A26" s="381" t="s">
        <v>455</v>
      </c>
      <c r="B26" s="532">
        <v>918540</v>
      </c>
      <c r="D26" s="532">
        <v>924342</v>
      </c>
      <c r="F26" s="532">
        <v>921281</v>
      </c>
      <c r="H26" s="532">
        <v>919408</v>
      </c>
      <c r="J26" s="532">
        <v>915866</v>
      </c>
      <c r="K26" s="688"/>
      <c r="L26" s="688"/>
      <c r="M26" s="688"/>
      <c r="N26" s="688"/>
      <c r="Q26" s="375"/>
    </row>
    <row r="27" spans="1:17" ht="13.8" thickBot="1" x14ac:dyDescent="0.3">
      <c r="A27" s="381" t="s">
        <v>456</v>
      </c>
      <c r="B27" s="592">
        <f>SUM(B25:B26)</f>
        <v>914238</v>
      </c>
      <c r="D27" s="592">
        <f>SUM(D25:D26)</f>
        <v>918540</v>
      </c>
      <c r="E27" s="592"/>
      <c r="F27" s="592">
        <f>SUM(F25:F26)</f>
        <v>924342</v>
      </c>
      <c r="G27" s="592"/>
      <c r="H27" s="592">
        <f>SUM(H25:H26)</f>
        <v>921281</v>
      </c>
      <c r="I27" s="592"/>
      <c r="J27" s="592">
        <v>919408</v>
      </c>
      <c r="K27" s="688"/>
      <c r="L27" s="688"/>
      <c r="M27" s="688"/>
      <c r="N27" s="688"/>
      <c r="Q27" s="375"/>
    </row>
    <row r="28" spans="1:17" ht="13.8" thickTop="1" x14ac:dyDescent="0.25"/>
    <row r="29" spans="1:17" ht="13.8" thickBot="1" x14ac:dyDescent="0.3">
      <c r="A29" s="381" t="s">
        <v>457</v>
      </c>
      <c r="B29" s="599">
        <f>B18-B27</f>
        <v>1620540</v>
      </c>
      <c r="D29" s="599">
        <f>D18-D27</f>
        <v>1474358</v>
      </c>
      <c r="E29" s="599"/>
      <c r="F29" s="599">
        <f>F18-F27</f>
        <v>1985685</v>
      </c>
      <c r="G29" s="599"/>
      <c r="H29" s="599">
        <f>H18-H27</f>
        <v>1613497</v>
      </c>
      <c r="I29" s="599"/>
      <c r="J29" s="599">
        <f>J18-J27</f>
        <v>1278168</v>
      </c>
      <c r="K29" s="538"/>
      <c r="L29" s="538"/>
      <c r="M29" s="538"/>
      <c r="N29" s="538"/>
    </row>
    <row r="30" spans="1:17" ht="13.8" thickTop="1" x14ac:dyDescent="0.25"/>
    <row r="31" spans="1:17" x14ac:dyDescent="0.25">
      <c r="A31" s="381" t="s">
        <v>458</v>
      </c>
      <c r="B31" s="376">
        <f>B27/B18</f>
        <v>0.3606777398257362</v>
      </c>
      <c r="D31" s="376">
        <f>D27/D18</f>
        <v>0.38386090840478782</v>
      </c>
      <c r="F31" s="376">
        <f>F27/F18</f>
        <v>0.31764035179055039</v>
      </c>
      <c r="H31" s="376">
        <f>H27/H18</f>
        <v>0.36345628690165371</v>
      </c>
      <c r="J31" s="376">
        <f>J27/J18</f>
        <v>0.41837369902110327</v>
      </c>
      <c r="K31" s="539"/>
      <c r="L31" s="539"/>
      <c r="M31" s="539"/>
      <c r="N31" s="539"/>
    </row>
    <row r="32" spans="1:17" x14ac:dyDescent="0.25">
      <c r="L32" s="538"/>
    </row>
    <row r="33" spans="1:15" x14ac:dyDescent="0.25">
      <c r="A33" t="s">
        <v>459</v>
      </c>
      <c r="L33" s="540"/>
    </row>
    <row r="35" spans="1:15" ht="15.75" customHeight="1" x14ac:dyDescent="0.25">
      <c r="A35" s="936" t="s">
        <v>441</v>
      </c>
      <c r="B35" s="937"/>
      <c r="C35" s="937"/>
      <c r="D35" s="937"/>
      <c r="E35" s="937"/>
      <c r="F35" s="937"/>
      <c r="G35" s="937"/>
      <c r="H35" s="937"/>
      <c r="I35" s="937"/>
      <c r="J35" s="938"/>
    </row>
    <row r="36" spans="1:15" x14ac:dyDescent="0.25">
      <c r="A36" s="939"/>
      <c r="B36" s="940"/>
      <c r="C36" s="940"/>
      <c r="D36" s="940"/>
      <c r="E36" s="940"/>
      <c r="F36" s="940"/>
      <c r="G36" s="940"/>
      <c r="H36" s="940"/>
      <c r="I36" s="940"/>
      <c r="J36" s="941"/>
    </row>
    <row r="37" spans="1:15" x14ac:dyDescent="0.25">
      <c r="A37" s="542"/>
      <c r="B37" s="542"/>
      <c r="C37" s="542"/>
      <c r="D37" s="542"/>
      <c r="E37" s="542"/>
      <c r="F37" s="542"/>
      <c r="G37" s="542"/>
      <c r="H37" s="542"/>
      <c r="I37" s="368"/>
      <c r="J37" s="533"/>
      <c r="L37" s="541"/>
    </row>
    <row r="38" spans="1:15" ht="82.5" customHeight="1" x14ac:dyDescent="0.25">
      <c r="A38" s="906" t="s">
        <v>1112</v>
      </c>
      <c r="B38" s="907"/>
      <c r="C38" s="907"/>
      <c r="D38" s="907"/>
      <c r="E38" s="907"/>
      <c r="F38" s="907"/>
      <c r="G38" s="907"/>
      <c r="H38" s="907"/>
      <c r="I38" s="907"/>
      <c r="J38" s="908"/>
      <c r="K38"/>
      <c r="L38"/>
      <c r="M38"/>
      <c r="N38"/>
      <c r="O38"/>
    </row>
    <row r="39" spans="1:15" x14ac:dyDescent="0.25">
      <c r="A39" s="404"/>
      <c r="B39" s="404"/>
      <c r="C39" s="404"/>
    </row>
    <row r="40" spans="1:15" x14ac:dyDescent="0.25">
      <c r="L40" s="541"/>
      <c r="N40" s="541"/>
    </row>
  </sheetData>
  <customSheetViews>
    <customSheetView guid="{A8748736-0722-49EB-85B6-C9B52DDCFE0E}" fitToPage="1" topLeftCell="A9">
      <selection activeCell="A39" sqref="A39"/>
      <pageMargins left="0.7" right="0.7" top="0.75" bottom="0.75" header="0.3" footer="0.3"/>
      <pageSetup scale="65" orientation="portrait" r:id="rId1"/>
    </customSheetView>
    <customSheetView guid="{E0C60316-4586-4AAF-92CB-FA82BB1EB755}">
      <selection activeCell="B25" sqref="B25"/>
      <pageMargins left="0" right="0" top="0" bottom="0" header="0" footer="0"/>
      <pageSetup orientation="portrait" r:id="rId2"/>
    </customSheetView>
  </customSheetViews>
  <mergeCells count="6">
    <mergeCell ref="A38:J38"/>
    <mergeCell ref="A35:J36"/>
    <mergeCell ref="A1:I1"/>
    <mergeCell ref="A2:I2"/>
    <mergeCell ref="A3:I3"/>
    <mergeCell ref="A4:I4"/>
  </mergeCells>
  <pageMargins left="0.7" right="0.7" top="0.75" bottom="0.75" header="0.3" footer="0.3"/>
  <pageSetup scale="65"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L36"/>
  <sheetViews>
    <sheetView workbookViewId="0">
      <selection sqref="A1:K1"/>
    </sheetView>
  </sheetViews>
  <sheetFormatPr defaultRowHeight="13.2" x14ac:dyDescent="0.25"/>
  <cols>
    <col min="1" max="1" width="55.33203125" customWidth="1"/>
    <col min="2" max="2" width="2.6640625" customWidth="1"/>
    <col min="3" max="3" width="13.5546875" customWidth="1"/>
    <col min="4" max="4" width="2.6640625" customWidth="1"/>
    <col min="5" max="5" width="12.6640625" customWidth="1"/>
    <col min="6" max="6" width="2.6640625" customWidth="1"/>
    <col min="7" max="7" width="12.6640625" customWidth="1"/>
    <col min="8" max="8" width="2.6640625" customWidth="1"/>
    <col min="9" max="9" width="12.6640625" customWidth="1"/>
    <col min="10" max="10" width="2.6640625" customWidth="1"/>
    <col min="11" max="11" width="12.6640625" customWidth="1"/>
    <col min="12" max="12" width="13.6640625" customWidth="1"/>
  </cols>
  <sheetData>
    <row r="1" spans="1:11" x14ac:dyDescent="0.25">
      <c r="A1" s="942" t="s">
        <v>1</v>
      </c>
      <c r="B1" s="942"/>
      <c r="C1" s="942"/>
      <c r="D1" s="942"/>
      <c r="E1" s="942"/>
      <c r="F1" s="942"/>
      <c r="G1" s="942"/>
      <c r="H1" s="942"/>
      <c r="I1" s="942"/>
      <c r="J1" s="942"/>
      <c r="K1" s="942"/>
    </row>
    <row r="2" spans="1:11" x14ac:dyDescent="0.25">
      <c r="A2" s="942" t="s">
        <v>405</v>
      </c>
      <c r="B2" s="942"/>
      <c r="C2" s="942"/>
      <c r="D2" s="942"/>
      <c r="E2" s="942"/>
      <c r="F2" s="942"/>
      <c r="G2" s="942"/>
      <c r="H2" s="942"/>
      <c r="I2" s="942"/>
      <c r="J2" s="942"/>
      <c r="K2" s="942"/>
    </row>
    <row r="3" spans="1:11" x14ac:dyDescent="0.25">
      <c r="A3" s="942" t="s">
        <v>443</v>
      </c>
      <c r="B3" s="942"/>
      <c r="C3" s="942"/>
      <c r="D3" s="942"/>
      <c r="E3" s="942"/>
      <c r="F3" s="942"/>
      <c r="G3" s="942"/>
      <c r="H3" s="942"/>
      <c r="I3" s="942"/>
      <c r="J3" s="942"/>
      <c r="K3" s="942"/>
    </row>
    <row r="4" spans="1:11" x14ac:dyDescent="0.25">
      <c r="A4" s="942" t="s">
        <v>423</v>
      </c>
      <c r="B4" s="942"/>
      <c r="C4" s="942"/>
      <c r="D4" s="942"/>
      <c r="E4" s="942"/>
      <c r="F4" s="942"/>
      <c r="G4" s="942"/>
      <c r="H4" s="942"/>
      <c r="I4" s="942"/>
      <c r="J4" s="942"/>
      <c r="K4" s="942"/>
    </row>
    <row r="5" spans="1:11" x14ac:dyDescent="0.25">
      <c r="A5" s="645"/>
      <c r="B5" s="645"/>
      <c r="C5" s="645"/>
      <c r="D5" s="645"/>
      <c r="E5" s="645"/>
      <c r="F5" s="645"/>
      <c r="G5" s="645"/>
      <c r="H5" s="645"/>
      <c r="I5" s="645"/>
      <c r="J5" s="645"/>
      <c r="K5" s="645"/>
    </row>
    <row r="7" spans="1:11" x14ac:dyDescent="0.25">
      <c r="C7" s="369">
        <v>2022</v>
      </c>
      <c r="E7" s="369">
        <f>G7+1</f>
        <v>2021</v>
      </c>
      <c r="G7" s="369">
        <f>I7+1</f>
        <v>2020</v>
      </c>
      <c r="I7" s="369">
        <f>K7+1</f>
        <v>2019</v>
      </c>
      <c r="K7" s="369">
        <v>2018</v>
      </c>
    </row>
    <row r="9" spans="1:11" x14ac:dyDescent="0.25">
      <c r="A9" s="484" t="s">
        <v>460</v>
      </c>
      <c r="B9" s="484"/>
      <c r="C9" s="408">
        <f>E9*1.02</f>
        <v>1391312.6400000001</v>
      </c>
      <c r="D9" s="408"/>
      <c r="E9" s="543">
        <v>1364032</v>
      </c>
      <c r="F9" s="408"/>
      <c r="G9" s="543">
        <v>1364032</v>
      </c>
      <c r="I9" s="543">
        <f>G9+29000</f>
        <v>1393032</v>
      </c>
      <c r="K9" s="543">
        <v>1385854</v>
      </c>
    </row>
    <row r="11" spans="1:11" x14ac:dyDescent="0.25">
      <c r="A11" s="484" t="s">
        <v>461</v>
      </c>
      <c r="B11" s="484"/>
      <c r="C11" s="531">
        <v>43000</v>
      </c>
      <c r="D11" s="531"/>
      <c r="E11" s="531">
        <v>36876</v>
      </c>
      <c r="F11" s="531"/>
      <c r="G11" s="531">
        <v>47239</v>
      </c>
      <c r="I11" s="531">
        <f>G11-8300</f>
        <v>38939</v>
      </c>
      <c r="K11" s="531">
        <v>46251</v>
      </c>
    </row>
    <row r="12" spans="1:11" ht="13.8" thickBot="1" x14ac:dyDescent="0.3">
      <c r="A12" s="484" t="s">
        <v>409</v>
      </c>
      <c r="B12" s="484"/>
      <c r="C12" s="384">
        <f>C9-C11</f>
        <v>1348312.6400000001</v>
      </c>
      <c r="D12" s="378"/>
      <c r="E12" s="384">
        <f>E9-E11</f>
        <v>1327156</v>
      </c>
      <c r="F12" s="378"/>
      <c r="G12" s="384">
        <f>G9-G11</f>
        <v>1316793</v>
      </c>
      <c r="I12" s="384">
        <f>I9-I11</f>
        <v>1354093</v>
      </c>
      <c r="K12" s="384">
        <f>K9-K11</f>
        <v>1339603</v>
      </c>
    </row>
    <row r="13" spans="1:11" ht="14.4" thickTop="1" thickBot="1" x14ac:dyDescent="0.3"/>
    <row r="14" spans="1:11" ht="13.8" hidden="1" thickBot="1" x14ac:dyDescent="0.3">
      <c r="K14" s="411">
        <f>950813/2728064</f>
        <v>0.34853031307183407</v>
      </c>
    </row>
    <row r="15" spans="1:11" ht="30.6" customHeight="1" thickBot="1" x14ac:dyDescent="0.3">
      <c r="A15" s="949" t="s">
        <v>462</v>
      </c>
      <c r="B15" s="950"/>
      <c r="C15" s="950"/>
      <c r="D15" s="950"/>
      <c r="E15" s="950"/>
      <c r="F15" s="950"/>
      <c r="G15" s="950"/>
      <c r="H15" s="950"/>
      <c r="I15" s="951"/>
      <c r="J15" s="951"/>
      <c r="K15" s="952"/>
    </row>
    <row r="16" spans="1:11" ht="13.8" thickBot="1" x14ac:dyDescent="0.3">
      <c r="K16" s="411"/>
    </row>
    <row r="17" spans="1:11" ht="97.5" customHeight="1" thickBot="1" x14ac:dyDescent="0.3">
      <c r="A17" s="943" t="s">
        <v>1112</v>
      </c>
      <c r="B17" s="944"/>
      <c r="C17" s="944"/>
      <c r="D17" s="944"/>
      <c r="E17" s="944"/>
      <c r="F17" s="944"/>
      <c r="G17" s="944"/>
      <c r="H17" s="944"/>
      <c r="I17" s="944"/>
      <c r="J17" s="944"/>
      <c r="K17" s="945"/>
    </row>
    <row r="18" spans="1:11" x14ac:dyDescent="0.25">
      <c r="K18" s="411"/>
    </row>
    <row r="19" spans="1:11" x14ac:dyDescent="0.25">
      <c r="A19" s="381" t="s">
        <v>463</v>
      </c>
      <c r="B19" s="381"/>
      <c r="C19" s="381"/>
      <c r="D19" s="381"/>
      <c r="E19" s="381"/>
      <c r="F19" s="381"/>
      <c r="G19" s="381"/>
      <c r="H19" s="381"/>
      <c r="I19" s="547"/>
      <c r="J19" s="381"/>
    </row>
    <row r="21" spans="1:11" x14ac:dyDescent="0.25">
      <c r="A21" s="484" t="s">
        <v>464</v>
      </c>
      <c r="B21" s="484"/>
      <c r="C21" s="484"/>
      <c r="D21" s="484"/>
      <c r="E21" s="484"/>
      <c r="F21" s="484"/>
      <c r="G21" s="484"/>
      <c r="H21" s="484"/>
      <c r="I21" s="484"/>
      <c r="J21" s="484"/>
    </row>
    <row r="23" spans="1:11" ht="25.5" customHeight="1" x14ac:dyDescent="0.25">
      <c r="A23" s="947" t="s">
        <v>465</v>
      </c>
      <c r="B23" s="947"/>
      <c r="C23" s="947"/>
      <c r="D23" s="947"/>
      <c r="E23" s="947"/>
      <c r="F23" s="947"/>
      <c r="G23" s="947"/>
      <c r="H23" s="947"/>
      <c r="I23" s="947"/>
      <c r="J23" s="947"/>
      <c r="K23" s="948"/>
    </row>
    <row r="25" spans="1:11" x14ac:dyDescent="0.25">
      <c r="A25" s="484" t="s">
        <v>466</v>
      </c>
      <c r="B25" s="484"/>
      <c r="C25" s="484"/>
      <c r="D25" s="484"/>
      <c r="E25" s="484"/>
      <c r="F25" s="484"/>
      <c r="G25" s="484"/>
      <c r="H25" s="484"/>
      <c r="I25" s="484"/>
      <c r="J25" s="484"/>
    </row>
    <row r="27" spans="1:11" x14ac:dyDescent="0.25">
      <c r="A27" s="484" t="s">
        <v>467</v>
      </c>
      <c r="B27" s="484"/>
      <c r="C27" s="484"/>
      <c r="D27" s="484"/>
      <c r="E27" s="484"/>
      <c r="F27" s="484"/>
      <c r="G27" s="544" t="s">
        <v>468</v>
      </c>
    </row>
    <row r="28" spans="1:11" x14ac:dyDescent="0.25">
      <c r="A28" s="484" t="s">
        <v>469</v>
      </c>
      <c r="B28" s="484"/>
      <c r="C28" s="484"/>
      <c r="D28" s="484"/>
      <c r="E28" s="484"/>
      <c r="F28" s="484"/>
      <c r="G28" s="544" t="s">
        <v>470</v>
      </c>
    </row>
    <row r="29" spans="1:11" x14ac:dyDescent="0.25">
      <c r="A29" s="484" t="s">
        <v>471</v>
      </c>
      <c r="B29" s="484"/>
      <c r="C29" s="484"/>
      <c r="D29" s="484"/>
      <c r="E29" s="484"/>
      <c r="F29" s="484"/>
      <c r="G29" s="544" t="s">
        <v>472</v>
      </c>
    </row>
    <row r="30" spans="1:11" x14ac:dyDescent="0.25">
      <c r="A30" s="484" t="s">
        <v>473</v>
      </c>
      <c r="B30" s="484"/>
      <c r="C30" s="484"/>
      <c r="D30" s="484"/>
      <c r="E30" s="484"/>
      <c r="F30" s="484"/>
      <c r="G30" s="544" t="s">
        <v>474</v>
      </c>
    </row>
    <row r="31" spans="1:11" x14ac:dyDescent="0.25">
      <c r="A31" s="484" t="s">
        <v>475</v>
      </c>
      <c r="B31" s="484"/>
      <c r="C31" s="484"/>
      <c r="D31" s="484"/>
      <c r="E31" s="484"/>
      <c r="F31" s="484"/>
      <c r="G31" s="544" t="s">
        <v>476</v>
      </c>
    </row>
    <row r="32" spans="1:11" x14ac:dyDescent="0.25">
      <c r="A32" s="484" t="s">
        <v>477</v>
      </c>
      <c r="B32" s="484"/>
      <c r="C32" s="484"/>
      <c r="D32" s="484"/>
      <c r="E32" s="484"/>
      <c r="F32" s="484"/>
      <c r="G32" s="544" t="s">
        <v>478</v>
      </c>
    </row>
    <row r="33" spans="1:12" x14ac:dyDescent="0.25">
      <c r="A33" s="484" t="s">
        <v>479</v>
      </c>
      <c r="B33" s="484"/>
      <c r="C33" s="484"/>
      <c r="D33" s="484"/>
      <c r="E33" s="484"/>
      <c r="F33" s="484"/>
      <c r="G33" s="544" t="s">
        <v>480</v>
      </c>
    </row>
    <row r="34" spans="1:12" ht="18" customHeight="1" x14ac:dyDescent="0.25">
      <c r="A34" s="484" t="s">
        <v>481</v>
      </c>
      <c r="B34" s="484"/>
      <c r="C34" s="484"/>
      <c r="D34" s="484"/>
      <c r="E34" s="484"/>
      <c r="F34" s="484"/>
      <c r="G34" s="544" t="s">
        <v>482</v>
      </c>
    </row>
    <row r="35" spans="1:12" ht="66.75" customHeight="1" x14ac:dyDescent="0.25">
      <c r="A35" s="544" t="s">
        <v>483</v>
      </c>
      <c r="B35" s="544"/>
      <c r="C35" s="544"/>
      <c r="D35" s="544"/>
      <c r="E35" s="544"/>
      <c r="F35" s="544"/>
      <c r="G35" s="946" t="s">
        <v>484</v>
      </c>
      <c r="H35" s="946"/>
      <c r="I35" s="946"/>
      <c r="J35" s="946"/>
      <c r="K35" s="946"/>
      <c r="L35" s="946"/>
    </row>
    <row r="36" spans="1:12" ht="64.95" customHeight="1" x14ac:dyDescent="0.25">
      <c r="A36" s="544" t="s">
        <v>485</v>
      </c>
      <c r="B36" s="544"/>
      <c r="C36" s="544"/>
      <c r="D36" s="544"/>
      <c r="E36" s="544"/>
      <c r="F36" s="544"/>
      <c r="G36" s="946" t="s">
        <v>486</v>
      </c>
      <c r="H36" s="946"/>
      <c r="I36" s="946"/>
      <c r="J36" s="946"/>
      <c r="K36" s="946"/>
      <c r="L36" s="946"/>
    </row>
  </sheetData>
  <customSheetViews>
    <customSheetView guid="{A8748736-0722-49EB-85B6-C9B52DDCFE0E}" showPageBreaks="1" fitToPage="1" printArea="1" hiddenRows="1">
      <selection activeCell="A18" sqref="A18"/>
      <pageMargins left="0.7" right="0.7" top="0.75" bottom="0.75" header="0.3" footer="0.3"/>
      <pageSetup scale="62" fitToHeight="0" orientation="portrait" r:id="rId1"/>
    </customSheetView>
    <customSheetView guid="{E0C60316-4586-4AAF-92CB-FA82BB1EB755}" fitToPage="1">
      <selection activeCell="H24" sqref="H24"/>
      <pageMargins left="0" right="0" top="0" bottom="0" header="0" footer="0"/>
      <pageSetup scale="70" fitToHeight="0" orientation="landscape" r:id="rId2"/>
    </customSheetView>
  </customSheetViews>
  <mergeCells count="9">
    <mergeCell ref="A17:K17"/>
    <mergeCell ref="G35:L35"/>
    <mergeCell ref="G36:L36"/>
    <mergeCell ref="A23:K23"/>
    <mergeCell ref="A1:K1"/>
    <mergeCell ref="A2:K2"/>
    <mergeCell ref="A3:K3"/>
    <mergeCell ref="A4:K4"/>
    <mergeCell ref="A15:K15"/>
  </mergeCells>
  <pageMargins left="0.7" right="0.7" top="0.75" bottom="0.75" header="0.3" footer="0.3"/>
  <pageSetup scale="62" fitToHeight="0" orientation="portrait"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13"/>
  <sheetViews>
    <sheetView workbookViewId="0">
      <selection sqref="A1:J1"/>
    </sheetView>
  </sheetViews>
  <sheetFormatPr defaultRowHeight="13.2" x14ac:dyDescent="0.25"/>
  <cols>
    <col min="1" max="1" width="40.44140625" customWidth="1"/>
    <col min="2" max="2" width="9.33203125" customWidth="1"/>
    <col min="3" max="3" width="2.6640625" customWidth="1"/>
    <col min="4" max="4" width="8.6640625" customWidth="1"/>
    <col min="5" max="5" width="2.6640625" customWidth="1"/>
    <col min="6" max="6" width="8.6640625" customWidth="1"/>
    <col min="7" max="7" width="2.6640625" customWidth="1"/>
    <col min="8" max="8" width="8.6640625" customWidth="1"/>
    <col min="9" max="9" width="2.6640625" customWidth="1"/>
    <col min="10" max="10" width="8.6640625" customWidth="1"/>
  </cols>
  <sheetData>
    <row r="1" spans="1:17" x14ac:dyDescent="0.25">
      <c r="A1" s="942" t="s">
        <v>1</v>
      </c>
      <c r="B1" s="942"/>
      <c r="C1" s="942"/>
      <c r="D1" s="942"/>
      <c r="E1" s="942"/>
      <c r="F1" s="942"/>
      <c r="G1" s="942"/>
      <c r="H1" s="942"/>
      <c r="I1" s="942"/>
      <c r="J1" s="942"/>
    </row>
    <row r="2" spans="1:17" x14ac:dyDescent="0.25">
      <c r="A2" s="942" t="s">
        <v>487</v>
      </c>
      <c r="B2" s="942"/>
      <c r="C2" s="942"/>
      <c r="D2" s="942"/>
      <c r="E2" s="942"/>
      <c r="F2" s="942"/>
      <c r="G2" s="942"/>
      <c r="H2" s="942"/>
      <c r="I2" s="942"/>
      <c r="J2" s="942"/>
    </row>
    <row r="3" spans="1:17" x14ac:dyDescent="0.25">
      <c r="A3" s="942" t="s">
        <v>423</v>
      </c>
      <c r="B3" s="942"/>
      <c r="C3" s="942"/>
      <c r="D3" s="942"/>
      <c r="E3" s="942"/>
      <c r="F3" s="942"/>
      <c r="G3" s="942"/>
      <c r="H3" s="942"/>
      <c r="I3" s="942"/>
      <c r="J3" s="942"/>
      <c r="K3" s="645"/>
      <c r="L3" s="645"/>
      <c r="M3" s="645"/>
      <c r="N3" s="645"/>
      <c r="O3" s="645"/>
      <c r="P3" s="645"/>
      <c r="Q3" s="645"/>
    </row>
    <row r="5" spans="1:17" x14ac:dyDescent="0.25">
      <c r="B5" s="369">
        <v>2022</v>
      </c>
      <c r="D5" s="369">
        <f>F5+1</f>
        <v>2021</v>
      </c>
      <c r="F5" s="369">
        <f>H5+1</f>
        <v>2020</v>
      </c>
      <c r="H5" s="369">
        <f>J5+1</f>
        <v>2019</v>
      </c>
      <c r="J5" s="369">
        <v>2018</v>
      </c>
    </row>
    <row r="7" spans="1:17" ht="26.4" x14ac:dyDescent="0.25">
      <c r="A7" s="589" t="s">
        <v>488</v>
      </c>
      <c r="B7" s="376">
        <v>0.04</v>
      </c>
      <c r="C7" s="376"/>
      <c r="D7" s="376">
        <v>4.1000000000000002E-2</v>
      </c>
      <c r="E7" s="376"/>
      <c r="F7" s="376">
        <v>4.4999999999999998E-2</v>
      </c>
      <c r="H7" s="376">
        <v>4.2000000000000003E-2</v>
      </c>
      <c r="J7" s="376">
        <v>4.2599999999999999E-2</v>
      </c>
    </row>
    <row r="10" spans="1:17" ht="12.75" customHeight="1" x14ac:dyDescent="0.25">
      <c r="A10" s="953" t="s">
        <v>489</v>
      </c>
      <c r="B10" s="954"/>
      <c r="C10" s="954"/>
      <c r="D10" s="954"/>
      <c r="E10" s="954"/>
      <c r="F10" s="954"/>
      <c r="G10" s="954"/>
      <c r="H10" s="954"/>
      <c r="I10" s="954"/>
      <c r="J10" s="955"/>
    </row>
    <row r="11" spans="1:17" x14ac:dyDescent="0.25">
      <c r="A11" s="956"/>
      <c r="B11" s="957"/>
      <c r="C11" s="957"/>
      <c r="D11" s="957"/>
      <c r="E11" s="957"/>
      <c r="F11" s="957"/>
      <c r="G11" s="957"/>
      <c r="H11" s="957"/>
      <c r="I11" s="957"/>
      <c r="J11" s="958"/>
    </row>
    <row r="12" spans="1:17" x14ac:dyDescent="0.25">
      <c r="A12" s="510"/>
      <c r="B12" s="510"/>
      <c r="C12" s="510"/>
      <c r="D12" s="510"/>
      <c r="E12" s="510"/>
      <c r="F12" s="510"/>
      <c r="G12" s="510"/>
      <c r="H12" s="510"/>
    </row>
    <row r="13" spans="1:17" ht="119.25" customHeight="1" x14ac:dyDescent="0.25">
      <c r="A13" s="906" t="s">
        <v>1112</v>
      </c>
      <c r="B13" s="907"/>
      <c r="C13" s="907"/>
      <c r="D13" s="907"/>
      <c r="E13" s="907"/>
      <c r="F13" s="907"/>
      <c r="G13" s="907"/>
      <c r="H13" s="907"/>
      <c r="I13" s="907"/>
      <c r="J13" s="908"/>
    </row>
  </sheetData>
  <customSheetViews>
    <customSheetView guid="{A8748736-0722-49EB-85B6-C9B52DDCFE0E}" showPageBreaks="1" fitToPage="1" printArea="1">
      <selection activeCell="A14" sqref="A14"/>
      <pageMargins left="0.7" right="0.7" top="0.75" bottom="0.75" header="0.3" footer="0.3"/>
      <pageSetup scale="96" orientation="portrait" r:id="rId1"/>
    </customSheetView>
    <customSheetView guid="{E0C60316-4586-4AAF-92CB-FA82BB1EB755}">
      <selection sqref="A1:B1"/>
      <pageMargins left="0" right="0" top="0" bottom="0" header="0" footer="0"/>
      <pageSetup orientation="portrait" r:id="rId2"/>
    </customSheetView>
  </customSheetViews>
  <mergeCells count="5">
    <mergeCell ref="A10:J11"/>
    <mergeCell ref="A1:J1"/>
    <mergeCell ref="A2:J2"/>
    <mergeCell ref="A3:J3"/>
    <mergeCell ref="A13:J13"/>
  </mergeCells>
  <pageMargins left="0.7" right="0.7" top="0.75" bottom="0.75" header="0.3" footer="0.3"/>
  <pageSetup scale="96"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pageSetUpPr fitToPage="1"/>
  </sheetPr>
  <dimension ref="A1:Q484"/>
  <sheetViews>
    <sheetView workbookViewId="0"/>
  </sheetViews>
  <sheetFormatPr defaultColWidth="9.109375" defaultRowHeight="13.2" x14ac:dyDescent="0.25"/>
  <cols>
    <col min="1" max="1" width="2.109375" style="404" customWidth="1"/>
    <col min="2" max="2" width="1.5546875" style="404" customWidth="1"/>
    <col min="3" max="3" width="1.88671875" style="404" customWidth="1"/>
    <col min="4" max="4" width="35.33203125" style="405" customWidth="1"/>
    <col min="5" max="5" width="14.44140625" style="404" customWidth="1"/>
    <col min="6" max="6" width="2.5546875" style="404" customWidth="1"/>
    <col min="7" max="7" width="15.33203125" style="404" customWidth="1"/>
    <col min="8" max="8" width="2.6640625" style="404" customWidth="1"/>
    <col min="9" max="9" width="11.88671875" style="404" customWidth="1"/>
    <col min="10" max="10" width="12.33203125" style="404" hidden="1" customWidth="1"/>
    <col min="11" max="11" width="11.5546875" style="404" hidden="1" customWidth="1"/>
    <col min="12" max="12" width="12.44140625" style="404" bestFit="1" customWidth="1"/>
    <col min="13" max="13" width="11.44140625" style="404" bestFit="1" customWidth="1"/>
    <col min="14" max="14" width="10.33203125" style="404" bestFit="1" customWidth="1"/>
    <col min="15" max="16384" width="9.109375" style="404"/>
  </cols>
  <sheetData>
    <row r="1" spans="1:11" x14ac:dyDescent="0.25">
      <c r="A1" s="34" t="s">
        <v>1</v>
      </c>
      <c r="B1" s="445"/>
      <c r="C1" s="445"/>
      <c r="D1" s="445"/>
      <c r="E1" s="445"/>
      <c r="F1" s="445"/>
      <c r="G1" s="445"/>
      <c r="H1" s="445"/>
      <c r="I1" s="445"/>
    </row>
    <row r="2" spans="1:11" x14ac:dyDescent="0.25">
      <c r="A2" s="34" t="s">
        <v>161</v>
      </c>
      <c r="B2" s="445"/>
      <c r="C2" s="445"/>
      <c r="D2" s="445"/>
      <c r="E2" s="445"/>
      <c r="F2" s="445"/>
      <c r="G2" s="445"/>
      <c r="H2" s="445"/>
      <c r="I2" s="445"/>
    </row>
    <row r="3" spans="1:11" x14ac:dyDescent="0.25">
      <c r="A3" s="34" t="s">
        <v>490</v>
      </c>
      <c r="B3" s="445"/>
      <c r="C3" s="445"/>
      <c r="D3" s="445"/>
      <c r="E3" s="445"/>
      <c r="F3" s="445"/>
      <c r="G3" s="445"/>
      <c r="H3" s="445"/>
      <c r="I3" s="445"/>
    </row>
    <row r="4" spans="1:11" x14ac:dyDescent="0.25">
      <c r="A4" s="34" t="s">
        <v>491</v>
      </c>
      <c r="B4" s="445"/>
      <c r="C4" s="445"/>
      <c r="D4" s="445"/>
      <c r="E4" s="445"/>
      <c r="F4" s="445"/>
      <c r="G4" s="445"/>
      <c r="H4" s="445"/>
      <c r="I4" s="445"/>
    </row>
    <row r="5" spans="1:11" x14ac:dyDescent="0.25">
      <c r="A5" s="34" t="str">
        <f>'Rec chg fund bal to chg Exh 5'!A6:F6</f>
        <v>For the Year Ended June 30, 2022</v>
      </c>
      <c r="B5" s="445"/>
      <c r="C5" s="445"/>
      <c r="D5" s="445"/>
      <c r="E5" s="445"/>
      <c r="F5" s="445"/>
      <c r="G5" s="445"/>
      <c r="H5" s="445"/>
      <c r="I5" s="445"/>
    </row>
    <row r="6" spans="1:11" ht="13.8" thickBot="1" x14ac:dyDescent="0.3">
      <c r="A6" s="94"/>
      <c r="B6" s="94"/>
      <c r="C6" s="94"/>
      <c r="D6" s="95"/>
      <c r="E6" s="94"/>
      <c r="F6" s="94"/>
      <c r="G6" s="94"/>
      <c r="H6" s="94"/>
      <c r="I6" s="94"/>
    </row>
    <row r="7" spans="1:11" x14ac:dyDescent="0.25">
      <c r="I7" s="633" t="s">
        <v>492</v>
      </c>
    </row>
    <row r="8" spans="1:11" x14ac:dyDescent="0.25">
      <c r="E8" s="633" t="s">
        <v>218</v>
      </c>
      <c r="I8" s="633" t="s">
        <v>219</v>
      </c>
    </row>
    <row r="9" spans="1:11" x14ac:dyDescent="0.25">
      <c r="E9" s="465" t="s">
        <v>220</v>
      </c>
      <c r="G9" s="465" t="s">
        <v>221</v>
      </c>
      <c r="I9" s="465" t="s">
        <v>222</v>
      </c>
    </row>
    <row r="10" spans="1:11" x14ac:dyDescent="0.25">
      <c r="C10" s="42" t="s">
        <v>223</v>
      </c>
    </row>
    <row r="11" spans="1:11" x14ac:dyDescent="0.25">
      <c r="A11" s="42" t="s">
        <v>493</v>
      </c>
      <c r="E11" s="466"/>
      <c r="F11" s="466"/>
      <c r="G11" s="466"/>
      <c r="H11" s="466"/>
      <c r="I11" s="466"/>
    </row>
    <row r="12" spans="1:11" x14ac:dyDescent="0.25">
      <c r="B12" s="637" t="s">
        <v>494</v>
      </c>
      <c r="E12" s="467"/>
      <c r="F12" s="468"/>
      <c r="G12" s="469">
        <f>55122410+261-329403</f>
        <v>54793268</v>
      </c>
      <c r="H12" s="468"/>
      <c r="I12" s="467"/>
    </row>
    <row r="13" spans="1:11" x14ac:dyDescent="0.25">
      <c r="B13" s="637" t="s">
        <v>180</v>
      </c>
      <c r="E13" s="470"/>
      <c r="F13" s="466"/>
      <c r="G13" s="471">
        <f>350571-10945</f>
        <v>339626</v>
      </c>
      <c r="H13" s="466"/>
      <c r="I13" s="470"/>
    </row>
    <row r="14" spans="1:11" x14ac:dyDescent="0.25">
      <c r="C14" s="637" t="s">
        <v>495</v>
      </c>
      <c r="E14" s="472">
        <f>54812398-620000+880000+300000</f>
        <v>55372398</v>
      </c>
      <c r="F14" s="466"/>
      <c r="G14" s="471">
        <f>SUM(G12:G13)</f>
        <v>55132894</v>
      </c>
      <c r="H14" s="466"/>
      <c r="I14" s="472">
        <f>G14-E14</f>
        <v>-239504</v>
      </c>
      <c r="J14" s="396"/>
    </row>
    <row r="15" spans="1:11" ht="7.5" customHeight="1" x14ac:dyDescent="0.25">
      <c r="E15" s="473"/>
      <c r="F15" s="466"/>
      <c r="G15" s="473"/>
      <c r="H15" s="466"/>
      <c r="I15" s="473"/>
    </row>
    <row r="16" spans="1:11" x14ac:dyDescent="0.25">
      <c r="A16" s="42" t="s">
        <v>496</v>
      </c>
      <c r="E16" s="473"/>
      <c r="F16" s="466"/>
      <c r="G16" s="473"/>
      <c r="H16" s="466"/>
      <c r="I16" s="473"/>
      <c r="K16" s="430"/>
    </row>
    <row r="17" spans="1:9" x14ac:dyDescent="0.25">
      <c r="B17" s="637" t="s">
        <v>497</v>
      </c>
      <c r="E17" s="474"/>
      <c r="F17" s="466"/>
      <c r="G17" s="473">
        <f>7261867+10945-1256003+69084-1012416</f>
        <v>5073477</v>
      </c>
      <c r="H17" s="466"/>
      <c r="I17" s="474"/>
    </row>
    <row r="18" spans="1:9" x14ac:dyDescent="0.25">
      <c r="B18" s="637" t="s">
        <v>498</v>
      </c>
      <c r="E18" s="474"/>
      <c r="F18" s="466"/>
      <c r="G18" s="473">
        <f>3214428+210632-50000</f>
        <v>3375060</v>
      </c>
      <c r="H18" s="466"/>
      <c r="I18" s="474"/>
    </row>
    <row r="19" spans="1:9" x14ac:dyDescent="0.25">
      <c r="B19" s="637" t="s">
        <v>499</v>
      </c>
      <c r="E19" s="474"/>
      <c r="F19" s="466"/>
      <c r="G19" s="473">
        <f>3214368</f>
        <v>3214368</v>
      </c>
      <c r="H19" s="466"/>
      <c r="I19" s="474"/>
    </row>
    <row r="20" spans="1:9" x14ac:dyDescent="0.25">
      <c r="B20" s="637" t="s">
        <v>500</v>
      </c>
      <c r="E20" s="474"/>
      <c r="F20" s="466"/>
      <c r="G20" s="473">
        <f>1256003-69084</f>
        <v>1186919</v>
      </c>
      <c r="H20" s="466"/>
      <c r="I20" s="474"/>
    </row>
    <row r="21" spans="1:9" x14ac:dyDescent="0.25">
      <c r="C21" s="637" t="s">
        <v>8</v>
      </c>
      <c r="E21" s="475">
        <f>13235000-1012420+650000</f>
        <v>12872580</v>
      </c>
      <c r="F21" s="466"/>
      <c r="G21" s="475">
        <f>SUM(G17:G20)</f>
        <v>12849824</v>
      </c>
      <c r="H21" s="466"/>
      <c r="I21" s="475">
        <f>G21-E21</f>
        <v>-22756</v>
      </c>
    </row>
    <row r="22" spans="1:9" ht="7.5" customHeight="1" x14ac:dyDescent="0.25">
      <c r="E22" s="473"/>
      <c r="F22" s="466"/>
      <c r="G22" s="473"/>
      <c r="H22" s="466"/>
      <c r="I22" s="473"/>
    </row>
    <row r="23" spans="1:9" x14ac:dyDescent="0.25">
      <c r="A23" s="42" t="s">
        <v>501</v>
      </c>
      <c r="E23" s="473"/>
      <c r="F23" s="466"/>
      <c r="G23" s="476"/>
      <c r="H23" s="466"/>
      <c r="I23" s="473"/>
    </row>
    <row r="24" spans="1:9" x14ac:dyDescent="0.25">
      <c r="B24" s="637" t="s">
        <v>502</v>
      </c>
      <c r="E24" s="474"/>
      <c r="G24" s="473">
        <f>125717+25000</f>
        <v>150717</v>
      </c>
      <c r="I24" s="474"/>
    </row>
    <row r="25" spans="1:9" x14ac:dyDescent="0.25">
      <c r="B25" s="637" t="s">
        <v>503</v>
      </c>
      <c r="E25" s="474"/>
      <c r="F25" s="466"/>
      <c r="G25" s="473">
        <f>54643+25000</f>
        <v>79643</v>
      </c>
      <c r="H25" s="466"/>
      <c r="I25" s="474"/>
    </row>
    <row r="26" spans="1:9" x14ac:dyDescent="0.25">
      <c r="C26" s="637" t="s">
        <v>8</v>
      </c>
      <c r="E26" s="475">
        <f>248469-46111</f>
        <v>202358</v>
      </c>
      <c r="F26" s="466"/>
      <c r="G26" s="475">
        <f>SUM(G24:G25)</f>
        <v>230360</v>
      </c>
      <c r="H26" s="466"/>
      <c r="I26" s="475">
        <f>+G26-E26</f>
        <v>28002</v>
      </c>
    </row>
    <row r="27" spans="1:9" ht="7.5" customHeight="1" x14ac:dyDescent="0.25">
      <c r="E27" s="473"/>
      <c r="F27" s="466"/>
      <c r="G27" s="473"/>
      <c r="H27" s="466"/>
      <c r="I27" s="473"/>
    </row>
    <row r="28" spans="1:9" x14ac:dyDescent="0.25">
      <c r="A28" s="42" t="s">
        <v>504</v>
      </c>
      <c r="E28" s="473"/>
      <c r="F28" s="466"/>
      <c r="G28" s="473"/>
      <c r="H28" s="466"/>
      <c r="I28" s="473"/>
    </row>
    <row r="29" spans="1:9" ht="26.25" customHeight="1" x14ac:dyDescent="0.25">
      <c r="B29" s="877" t="s">
        <v>505</v>
      </c>
      <c r="C29" s="879"/>
      <c r="D29" s="879"/>
      <c r="E29" s="474"/>
      <c r="F29" s="466"/>
      <c r="G29" s="473">
        <v>24928</v>
      </c>
      <c r="H29" s="466"/>
      <c r="I29" s="474"/>
    </row>
    <row r="30" spans="1:9" x14ac:dyDescent="0.25">
      <c r="B30" s="637" t="s">
        <v>506</v>
      </c>
      <c r="E30" s="474"/>
      <c r="F30" s="466"/>
      <c r="G30" s="473">
        <v>91850</v>
      </c>
      <c r="H30" s="466"/>
      <c r="I30" s="474"/>
    </row>
    <row r="31" spans="1:9" x14ac:dyDescent="0.25">
      <c r="B31" s="637" t="s">
        <v>507</v>
      </c>
      <c r="E31" s="477"/>
      <c r="F31" s="466"/>
      <c r="G31" s="478">
        <v>28744</v>
      </c>
      <c r="H31" s="466"/>
      <c r="I31" s="477"/>
    </row>
    <row r="32" spans="1:9" x14ac:dyDescent="0.25">
      <c r="C32" s="637" t="s">
        <v>8</v>
      </c>
      <c r="E32" s="471">
        <v>150642</v>
      </c>
      <c r="F32" s="466"/>
      <c r="G32" s="471">
        <f>SUM(G29:G31)</f>
        <v>145522</v>
      </c>
      <c r="H32" s="466"/>
      <c r="I32" s="471">
        <f>+G32-E32</f>
        <v>-5120</v>
      </c>
    </row>
    <row r="33" spans="1:9" ht="7.5" customHeight="1" x14ac:dyDescent="0.25">
      <c r="E33" s="473"/>
      <c r="F33" s="466"/>
      <c r="G33" s="473"/>
      <c r="H33" s="466"/>
      <c r="I33" s="473"/>
    </row>
    <row r="34" spans="1:9" x14ac:dyDescent="0.25">
      <c r="A34" s="42" t="s">
        <v>508</v>
      </c>
      <c r="E34" s="473"/>
      <c r="F34" s="466"/>
      <c r="G34" s="473"/>
      <c r="H34" s="466"/>
      <c r="I34" s="473"/>
    </row>
    <row r="35" spans="1:9" x14ac:dyDescent="0.25">
      <c r="B35" s="637" t="s">
        <v>509</v>
      </c>
      <c r="E35" s="474"/>
      <c r="F35" s="466"/>
      <c r="G35" s="473">
        <f>7738242-619059</f>
        <v>7119183</v>
      </c>
      <c r="H35" s="466"/>
      <c r="I35" s="474"/>
    </row>
    <row r="36" spans="1:9" x14ac:dyDescent="0.25">
      <c r="B36" s="637" t="s">
        <v>510</v>
      </c>
      <c r="E36" s="474"/>
      <c r="F36" s="466"/>
      <c r="G36" s="473">
        <v>5383804</v>
      </c>
      <c r="H36" s="466"/>
      <c r="I36" s="474"/>
    </row>
    <row r="37" spans="1:9" x14ac:dyDescent="0.25">
      <c r="B37" s="637" t="s">
        <v>511</v>
      </c>
      <c r="E37" s="474"/>
      <c r="G37" s="473">
        <v>48250</v>
      </c>
      <c r="I37" s="479"/>
    </row>
    <row r="38" spans="1:9" x14ac:dyDescent="0.25">
      <c r="B38" s="637" t="s">
        <v>512</v>
      </c>
      <c r="E38" s="474"/>
      <c r="F38" s="466"/>
      <c r="G38" s="473">
        <f>1448163-3380</f>
        <v>1444783</v>
      </c>
      <c r="H38" s="466"/>
      <c r="I38" s="474"/>
    </row>
    <row r="39" spans="1:9" x14ac:dyDescent="0.25">
      <c r="B39" s="637" t="s">
        <v>513</v>
      </c>
      <c r="E39" s="474"/>
      <c r="F39" s="466"/>
      <c r="G39" s="473">
        <v>1192</v>
      </c>
      <c r="H39" s="466"/>
      <c r="I39" s="474"/>
    </row>
    <row r="40" spans="1:9" x14ac:dyDescent="0.25">
      <c r="B40" s="637" t="s">
        <v>514</v>
      </c>
      <c r="E40" s="474"/>
      <c r="F40" s="466"/>
      <c r="G40" s="473">
        <v>36000</v>
      </c>
      <c r="H40" s="466"/>
      <c r="I40" s="474"/>
    </row>
    <row r="41" spans="1:9" x14ac:dyDescent="0.25">
      <c r="B41" s="637" t="s">
        <v>515</v>
      </c>
      <c r="E41" s="474"/>
      <c r="G41" s="471">
        <f>22150+2188</f>
        <v>24338</v>
      </c>
      <c r="I41" s="470"/>
    </row>
    <row r="42" spans="1:9" x14ac:dyDescent="0.25">
      <c r="C42" s="637" t="s">
        <v>8</v>
      </c>
      <c r="E42" s="475">
        <f>13941456+81250</f>
        <v>14022706</v>
      </c>
      <c r="F42" s="466"/>
      <c r="G42" s="471">
        <f>SUM(G35:G41)</f>
        <v>14057550</v>
      </c>
      <c r="H42" s="466"/>
      <c r="I42" s="471">
        <f>+G42-E42</f>
        <v>34844</v>
      </c>
    </row>
    <row r="43" spans="1:9" ht="7.5" customHeight="1" x14ac:dyDescent="0.25">
      <c r="C43" s="637"/>
      <c r="E43" s="480"/>
      <c r="F43" s="466"/>
      <c r="G43" s="480"/>
      <c r="H43" s="466"/>
      <c r="I43" s="480"/>
    </row>
    <row r="44" spans="1:9" x14ac:dyDescent="0.25">
      <c r="A44" s="42" t="s">
        <v>516</v>
      </c>
      <c r="E44" s="473"/>
      <c r="F44" s="466"/>
      <c r="G44" s="473"/>
      <c r="H44" s="466"/>
      <c r="I44" s="473"/>
    </row>
    <row r="45" spans="1:9" x14ac:dyDescent="0.25">
      <c r="B45" s="637" t="s">
        <v>517</v>
      </c>
      <c r="E45" s="474"/>
      <c r="F45" s="466"/>
      <c r="G45" s="473">
        <v>13948</v>
      </c>
      <c r="H45" s="466"/>
      <c r="I45" s="474"/>
    </row>
    <row r="46" spans="1:9" x14ac:dyDescent="0.25">
      <c r="B46" s="637" t="s">
        <v>518</v>
      </c>
      <c r="E46" s="474"/>
      <c r="G46" s="473">
        <v>12145</v>
      </c>
      <c r="I46" s="474"/>
    </row>
    <row r="47" spans="1:9" x14ac:dyDescent="0.25">
      <c r="B47" s="637" t="s">
        <v>519</v>
      </c>
      <c r="E47" s="474"/>
      <c r="F47" s="466"/>
      <c r="G47" s="480">
        <v>372845</v>
      </c>
      <c r="H47" s="481"/>
      <c r="I47" s="482"/>
    </row>
    <row r="48" spans="1:9" x14ac:dyDescent="0.25">
      <c r="B48" s="637" t="s">
        <v>520</v>
      </c>
      <c r="E48" s="474"/>
      <c r="F48" s="466"/>
      <c r="G48" s="471">
        <v>46111</v>
      </c>
      <c r="H48" s="466"/>
      <c r="I48" s="470"/>
    </row>
    <row r="49" spans="1:17" x14ac:dyDescent="0.25">
      <c r="A49" s="483" t="s">
        <v>521</v>
      </c>
      <c r="C49" s="637" t="s">
        <v>8</v>
      </c>
      <c r="E49" s="475">
        <f>354069+46111</f>
        <v>400180</v>
      </c>
      <c r="F49" s="466"/>
      <c r="G49" s="471">
        <f>SUM(G45:G48)</f>
        <v>445049</v>
      </c>
      <c r="H49" s="466"/>
      <c r="I49" s="471">
        <f>+G49-E49</f>
        <v>44869</v>
      </c>
    </row>
    <row r="50" spans="1:17" x14ac:dyDescent="0.25">
      <c r="I50" s="417" t="s">
        <v>140</v>
      </c>
    </row>
    <row r="51" spans="1:17" x14ac:dyDescent="0.25">
      <c r="A51" s="484"/>
      <c r="B51" s="484"/>
      <c r="C51" s="484"/>
      <c r="D51" s="484"/>
      <c r="E51" s="484"/>
      <c r="F51" s="484"/>
      <c r="G51" s="484"/>
      <c r="H51" s="484"/>
      <c r="I51" s="644" t="s">
        <v>492</v>
      </c>
    </row>
    <row r="52" spans="1:17" x14ac:dyDescent="0.25">
      <c r="A52" s="484"/>
      <c r="B52" s="484"/>
      <c r="C52" s="484"/>
      <c r="D52" s="484"/>
      <c r="E52" s="644" t="s">
        <v>218</v>
      </c>
      <c r="F52" s="484"/>
      <c r="G52" s="484"/>
      <c r="H52" s="484"/>
      <c r="I52" s="644" t="s">
        <v>219</v>
      </c>
      <c r="Q52" s="396">
        <f>1533631-E62</f>
        <v>0</v>
      </c>
    </row>
    <row r="53" spans="1:17" x14ac:dyDescent="0.25">
      <c r="A53" s="484"/>
      <c r="B53" s="484"/>
      <c r="C53" s="484"/>
      <c r="D53" s="484"/>
      <c r="E53" s="485" t="s">
        <v>220</v>
      </c>
      <c r="F53" s="484"/>
      <c r="G53" s="485" t="s">
        <v>221</v>
      </c>
      <c r="H53" s="484"/>
      <c r="I53" s="485" t="s">
        <v>222</v>
      </c>
    </row>
    <row r="54" spans="1:17" x14ac:dyDescent="0.25">
      <c r="A54" s="42" t="s">
        <v>522</v>
      </c>
      <c r="E54" s="473"/>
      <c r="F54" s="466"/>
      <c r="G54" s="473"/>
      <c r="H54" s="466"/>
      <c r="I54" s="473"/>
    </row>
    <row r="55" spans="1:17" x14ac:dyDescent="0.25">
      <c r="B55" s="637" t="s">
        <v>523</v>
      </c>
      <c r="E55" s="474"/>
      <c r="F55" s="466"/>
      <c r="G55" s="625">
        <f>773382+20605</f>
        <v>793987</v>
      </c>
      <c r="H55" s="466"/>
      <c r="I55" s="474"/>
    </row>
    <row r="56" spans="1:17" x14ac:dyDescent="0.25">
      <c r="B56" s="637" t="s">
        <v>524</v>
      </c>
      <c r="E56" s="474"/>
      <c r="F56" s="466"/>
      <c r="G56" s="473">
        <v>31650</v>
      </c>
      <c r="H56" s="466"/>
      <c r="I56" s="474"/>
    </row>
    <row r="57" spans="1:17" x14ac:dyDescent="0.25">
      <c r="B57" s="637" t="s">
        <v>525</v>
      </c>
      <c r="E57" s="474"/>
      <c r="F57" s="466"/>
      <c r="G57" s="473">
        <v>121986</v>
      </c>
      <c r="H57" s="466"/>
      <c r="I57" s="474"/>
    </row>
    <row r="58" spans="1:17" x14ac:dyDescent="0.25">
      <c r="B58" s="637" t="s">
        <v>526</v>
      </c>
      <c r="E58" s="474"/>
      <c r="F58" s="466"/>
      <c r="G58" s="473">
        <f>204991</f>
        <v>204991</v>
      </c>
      <c r="H58" s="466"/>
      <c r="I58" s="474"/>
    </row>
    <row r="59" spans="1:17" x14ac:dyDescent="0.25">
      <c r="B59" s="637" t="s">
        <v>527</v>
      </c>
      <c r="E59" s="474"/>
      <c r="F59" s="466"/>
      <c r="G59" s="471">
        <v>12812</v>
      </c>
      <c r="H59" s="466"/>
      <c r="I59" s="470"/>
    </row>
    <row r="60" spans="1:17" x14ac:dyDescent="0.25">
      <c r="C60" s="637" t="s">
        <v>8</v>
      </c>
      <c r="E60" s="475">
        <f>1038700+100000+4000</f>
        <v>1142700</v>
      </c>
      <c r="F60" s="466"/>
      <c r="G60" s="471">
        <f>SUM(G55:G59)</f>
        <v>1165426</v>
      </c>
      <c r="H60" s="466"/>
      <c r="I60" s="471">
        <f>+G60-E60</f>
        <v>22726</v>
      </c>
    </row>
    <row r="61" spans="1:17" x14ac:dyDescent="0.25">
      <c r="E61" s="473"/>
      <c r="F61" s="466"/>
      <c r="G61" s="473"/>
      <c r="H61" s="466"/>
      <c r="I61" s="417"/>
    </row>
    <row r="62" spans="1:17" x14ac:dyDescent="0.25">
      <c r="A62" s="42" t="s">
        <v>169</v>
      </c>
      <c r="E62" s="471">
        <f>1032500+401131+100000</f>
        <v>1533631</v>
      </c>
      <c r="F62" s="466"/>
      <c r="G62" s="471">
        <f>1511018+12147+38984</f>
        <v>1562149</v>
      </c>
      <c r="H62" s="466"/>
      <c r="I62" s="471">
        <f>+G62-E62</f>
        <v>28518</v>
      </c>
      <c r="K62" s="396"/>
      <c r="L62" s="396"/>
    </row>
    <row r="63" spans="1:17" x14ac:dyDescent="0.25">
      <c r="E63" s="473"/>
      <c r="F63" s="466"/>
      <c r="G63" s="473"/>
      <c r="H63" s="466"/>
      <c r="I63" s="473"/>
    </row>
    <row r="64" spans="1:17" x14ac:dyDescent="0.25">
      <c r="A64" s="42" t="s">
        <v>528</v>
      </c>
      <c r="E64" s="473"/>
      <c r="F64" s="466"/>
      <c r="G64" s="473"/>
      <c r="H64" s="466"/>
      <c r="I64" s="473"/>
    </row>
    <row r="65" spans="1:17" x14ac:dyDescent="0.25">
      <c r="B65" s="637" t="s">
        <v>529</v>
      </c>
      <c r="E65" s="474"/>
      <c r="F65" s="466"/>
      <c r="G65" s="473">
        <v>91000</v>
      </c>
      <c r="H65" s="466"/>
      <c r="I65" s="474"/>
    </row>
    <row r="66" spans="1:17" x14ac:dyDescent="0.25">
      <c r="B66" s="637" t="s">
        <v>530</v>
      </c>
      <c r="E66" s="474"/>
      <c r="G66" s="473">
        <v>4190</v>
      </c>
      <c r="I66" s="474"/>
    </row>
    <row r="67" spans="1:17" x14ac:dyDescent="0.25">
      <c r="B67" s="637" t="s">
        <v>531</v>
      </c>
      <c r="E67" s="477"/>
      <c r="F67" s="466"/>
      <c r="G67" s="626">
        <f>500000+21094+16257</f>
        <v>537351</v>
      </c>
      <c r="H67" s="466"/>
      <c r="I67" s="470"/>
      <c r="Q67" s="460"/>
    </row>
    <row r="68" spans="1:17" x14ac:dyDescent="0.25">
      <c r="C68" s="637" t="s">
        <v>8</v>
      </c>
      <c r="E68" s="471">
        <f>61703+500000+100000</f>
        <v>661703</v>
      </c>
      <c r="F68" s="466"/>
      <c r="G68" s="471">
        <f>SUM(G65:G67)</f>
        <v>632541</v>
      </c>
      <c r="H68" s="466"/>
      <c r="I68" s="471">
        <f>G68-E68</f>
        <v>-29162</v>
      </c>
    </row>
    <row r="69" spans="1:17" x14ac:dyDescent="0.25">
      <c r="D69" s="637" t="s">
        <v>171</v>
      </c>
      <c r="E69" s="471">
        <f>E68+E62+E60+E49+E42+E32+E26+E21+E14</f>
        <v>86358898</v>
      </c>
      <c r="F69" s="466"/>
      <c r="G69" s="471">
        <f>G68+G62+G60+G42+G49+G32+G26+G14+G21</f>
        <v>86221315</v>
      </c>
      <c r="H69" s="466"/>
      <c r="I69" s="471">
        <f>+G69-E69</f>
        <v>-137583</v>
      </c>
      <c r="J69" s="396">
        <f>I69-I68-I62-I60-I49-I42-I32-I26-I21-I14</f>
        <v>0</v>
      </c>
      <c r="K69" s="396"/>
      <c r="L69" s="396"/>
    </row>
    <row r="70" spans="1:17" x14ac:dyDescent="0.25">
      <c r="D70" s="637"/>
      <c r="E70" s="480"/>
      <c r="F70" s="466"/>
      <c r="G70" s="480"/>
      <c r="H70" s="466"/>
      <c r="I70" s="480"/>
    </row>
    <row r="71" spans="1:17" x14ac:dyDescent="0.25">
      <c r="E71" s="476"/>
      <c r="G71" s="476"/>
      <c r="I71" s="476"/>
    </row>
    <row r="72" spans="1:17" x14ac:dyDescent="0.25">
      <c r="C72" s="42" t="s">
        <v>532</v>
      </c>
      <c r="E72" s="476"/>
      <c r="G72" s="476"/>
      <c r="I72" s="476"/>
    </row>
    <row r="73" spans="1:17" x14ac:dyDescent="0.25">
      <c r="A73" s="42" t="s">
        <v>533</v>
      </c>
      <c r="E73" s="476"/>
      <c r="G73" s="476"/>
      <c r="I73" s="476"/>
    </row>
    <row r="74" spans="1:17" x14ac:dyDescent="0.25">
      <c r="B74" s="637" t="s">
        <v>534</v>
      </c>
      <c r="E74" s="476"/>
      <c r="G74" s="476"/>
      <c r="I74" s="476"/>
      <c r="L74" s="842">
        <f>SUM(L75:L184)</f>
        <v>0.99999999999999989</v>
      </c>
      <c r="M74" s="396">
        <v>6032547</v>
      </c>
      <c r="N74" s="404">
        <f>SUM(N75:N184)</f>
        <v>440000</v>
      </c>
    </row>
    <row r="75" spans="1:17" x14ac:dyDescent="0.25">
      <c r="C75" s="637" t="s">
        <v>535</v>
      </c>
      <c r="E75" s="482"/>
      <c r="G75" s="848">
        <f>30473+3800+3200-3800+2456</f>
        <v>36129</v>
      </c>
      <c r="I75" s="482"/>
      <c r="L75" s="397">
        <v>5.5818877167471718E-3</v>
      </c>
      <c r="N75" s="404">
        <f>ROUND(L75*440000,0)</f>
        <v>2456</v>
      </c>
    </row>
    <row r="76" spans="1:17" x14ac:dyDescent="0.25">
      <c r="C76" s="637" t="s">
        <v>536</v>
      </c>
      <c r="E76" s="482"/>
      <c r="G76" s="473">
        <v>41600</v>
      </c>
      <c r="I76" s="482"/>
    </row>
    <row r="77" spans="1:17" x14ac:dyDescent="0.25">
      <c r="C77" s="637" t="s">
        <v>537</v>
      </c>
      <c r="E77" s="482"/>
      <c r="G77" s="471">
        <v>62169</v>
      </c>
      <c r="I77" s="482"/>
    </row>
    <row r="78" spans="1:17" x14ac:dyDescent="0.25">
      <c r="D78" s="637" t="s">
        <v>8</v>
      </c>
      <c r="E78" s="482"/>
      <c r="G78" s="471">
        <f>SUM(G75:G77)</f>
        <v>139898</v>
      </c>
      <c r="I78" s="482"/>
    </row>
    <row r="79" spans="1:17" x14ac:dyDescent="0.25">
      <c r="E79" s="486"/>
      <c r="G79" s="473"/>
      <c r="I79" s="486"/>
    </row>
    <row r="80" spans="1:17" x14ac:dyDescent="0.25">
      <c r="B80" s="637" t="s">
        <v>538</v>
      </c>
      <c r="E80" s="486"/>
      <c r="G80" s="473"/>
      <c r="I80" s="486"/>
    </row>
    <row r="81" spans="1:14" x14ac:dyDescent="0.25">
      <c r="C81" s="637" t="s">
        <v>535</v>
      </c>
      <c r="E81" s="482"/>
      <c r="G81" s="848">
        <f>222146+16203</f>
        <v>238349</v>
      </c>
      <c r="I81" s="482"/>
      <c r="L81" s="397">
        <v>3.682457840776044E-2</v>
      </c>
      <c r="N81" s="404">
        <f>ROUND(L81*440000,0)</f>
        <v>16203</v>
      </c>
    </row>
    <row r="82" spans="1:14" x14ac:dyDescent="0.25">
      <c r="C82" s="637" t="s">
        <v>536</v>
      </c>
      <c r="E82" s="482"/>
      <c r="G82" s="471">
        <v>98711</v>
      </c>
      <c r="I82" s="482"/>
    </row>
    <row r="83" spans="1:14" x14ac:dyDescent="0.25">
      <c r="D83" s="637" t="s">
        <v>8</v>
      </c>
      <c r="E83" s="482"/>
      <c r="G83" s="471">
        <f>SUM(G81:G82)</f>
        <v>337060</v>
      </c>
      <c r="I83" s="482"/>
    </row>
    <row r="84" spans="1:14" x14ac:dyDescent="0.25">
      <c r="D84" s="637"/>
      <c r="E84" s="482"/>
      <c r="G84" s="480"/>
      <c r="I84" s="482"/>
    </row>
    <row r="85" spans="1:14" x14ac:dyDescent="0.25">
      <c r="B85" s="637" t="s">
        <v>539</v>
      </c>
      <c r="E85" s="486"/>
      <c r="G85" s="473"/>
      <c r="I85" s="486"/>
    </row>
    <row r="86" spans="1:14" x14ac:dyDescent="0.25">
      <c r="C86" s="637" t="s">
        <v>535</v>
      </c>
      <c r="E86" s="482"/>
      <c r="G86" s="848">
        <f>230126+16785</f>
        <v>246911</v>
      </c>
      <c r="I86" s="482"/>
      <c r="L86" s="397">
        <v>3.814740274713152E-2</v>
      </c>
      <c r="N86" s="404">
        <f>ROUND(L86*440000,0)</f>
        <v>16785</v>
      </c>
    </row>
    <row r="87" spans="1:14" x14ac:dyDescent="0.25">
      <c r="C87" s="637" t="s">
        <v>536</v>
      </c>
      <c r="E87" s="482"/>
      <c r="G87" s="473">
        <f>136974-17000</f>
        <v>119974</v>
      </c>
      <c r="I87" s="482"/>
    </row>
    <row r="88" spans="1:14" x14ac:dyDescent="0.25">
      <c r="C88" s="637" t="s">
        <v>177</v>
      </c>
      <c r="E88" s="482"/>
      <c r="G88" s="471">
        <v>17000</v>
      </c>
      <c r="I88" s="482"/>
    </row>
    <row r="89" spans="1:14" x14ac:dyDescent="0.25">
      <c r="D89" s="637" t="s">
        <v>8</v>
      </c>
      <c r="E89" s="482"/>
      <c r="G89" s="471">
        <f>SUM(G86:G88)</f>
        <v>383885</v>
      </c>
      <c r="I89" s="482"/>
    </row>
    <row r="90" spans="1:14" x14ac:dyDescent="0.25">
      <c r="E90" s="486"/>
      <c r="G90" s="473"/>
      <c r="I90" s="417" t="s">
        <v>140</v>
      </c>
    </row>
    <row r="91" spans="1:14" x14ac:dyDescent="0.25">
      <c r="A91" s="484"/>
      <c r="B91" s="484"/>
      <c r="C91" s="484"/>
      <c r="D91" s="484"/>
      <c r="E91" s="484"/>
      <c r="F91" s="484"/>
      <c r="G91" s="484"/>
      <c r="H91" s="484"/>
      <c r="I91" s="644" t="s">
        <v>492</v>
      </c>
    </row>
    <row r="92" spans="1:14" x14ac:dyDescent="0.25">
      <c r="A92" s="484"/>
      <c r="B92" s="484"/>
      <c r="C92" s="484"/>
      <c r="D92" s="484"/>
      <c r="E92" s="644" t="s">
        <v>218</v>
      </c>
      <c r="F92" s="484"/>
      <c r="G92" s="484"/>
      <c r="H92" s="484"/>
      <c r="I92" s="644" t="s">
        <v>219</v>
      </c>
    </row>
    <row r="93" spans="1:14" x14ac:dyDescent="0.25">
      <c r="A93" s="484"/>
      <c r="B93" s="484"/>
      <c r="C93" s="484"/>
      <c r="D93" s="484"/>
      <c r="E93" s="485" t="s">
        <v>220</v>
      </c>
      <c r="F93" s="484"/>
      <c r="G93" s="485" t="s">
        <v>221</v>
      </c>
      <c r="H93" s="484"/>
      <c r="I93" s="485" t="s">
        <v>222</v>
      </c>
    </row>
    <row r="94" spans="1:14" x14ac:dyDescent="0.25">
      <c r="B94" s="637" t="s">
        <v>540</v>
      </c>
      <c r="E94" s="486"/>
      <c r="G94" s="473"/>
      <c r="I94" s="486"/>
    </row>
    <row r="95" spans="1:14" x14ac:dyDescent="0.25">
      <c r="C95" s="637" t="s">
        <v>535</v>
      </c>
      <c r="E95" s="482"/>
      <c r="G95" s="848">
        <f>421299+231250+0.95*(1221075)+132205</f>
        <v>1944775.25</v>
      </c>
      <c r="I95" s="482"/>
      <c r="L95" s="397">
        <v>0.30046516836089299</v>
      </c>
      <c r="N95" s="404">
        <f>ROUND(L95*440000,0)</f>
        <v>132205</v>
      </c>
    </row>
    <row r="96" spans="1:14" x14ac:dyDescent="0.25">
      <c r="C96" s="637" t="s">
        <v>536</v>
      </c>
      <c r="E96" s="482"/>
      <c r="G96" s="473">
        <v>262522</v>
      </c>
      <c r="I96" s="482"/>
    </row>
    <row r="97" spans="2:14" x14ac:dyDescent="0.25">
      <c r="C97" s="637" t="s">
        <v>177</v>
      </c>
      <c r="E97" s="482"/>
      <c r="G97" s="626">
        <v>136515</v>
      </c>
      <c r="I97" s="482"/>
    </row>
    <row r="98" spans="2:14" x14ac:dyDescent="0.25">
      <c r="D98" s="637" t="s">
        <v>8</v>
      </c>
      <c r="E98" s="482"/>
      <c r="G98" s="471">
        <f>SUM(G95:G97)</f>
        <v>2343812.25</v>
      </c>
      <c r="I98" s="482"/>
    </row>
    <row r="99" spans="2:14" x14ac:dyDescent="0.25">
      <c r="E99" s="435"/>
    </row>
    <row r="100" spans="2:14" x14ac:dyDescent="0.25">
      <c r="B100" s="637" t="s">
        <v>87</v>
      </c>
      <c r="E100" s="486"/>
      <c r="G100" s="473"/>
      <c r="I100" s="486"/>
    </row>
    <row r="101" spans="2:14" x14ac:dyDescent="0.25">
      <c r="C101" s="637" t="s">
        <v>535</v>
      </c>
      <c r="E101" s="482"/>
      <c r="G101" s="848">
        <f>1110727+910000*0.95-231750+0.95*1001000+0.95*(43000)-0.95*910000+0.05*(1221075)+140903</f>
        <v>2072733.75</v>
      </c>
      <c r="I101" s="482"/>
      <c r="L101" s="397">
        <v>0.3202346786523172</v>
      </c>
      <c r="N101" s="404">
        <f>ROUND(L101*440000,0)</f>
        <v>140903</v>
      </c>
    </row>
    <row r="102" spans="2:14" x14ac:dyDescent="0.25">
      <c r="C102" s="637" t="s">
        <v>536</v>
      </c>
      <c r="E102" s="482"/>
      <c r="G102" s="473">
        <v>501796</v>
      </c>
      <c r="I102" s="482"/>
    </row>
    <row r="103" spans="2:14" x14ac:dyDescent="0.25">
      <c r="C103" s="637" t="s">
        <v>541</v>
      </c>
      <c r="E103" s="482"/>
      <c r="G103" s="473">
        <v>25609</v>
      </c>
      <c r="I103" s="482"/>
    </row>
    <row r="104" spans="2:14" x14ac:dyDescent="0.25">
      <c r="C104" s="637" t="s">
        <v>177</v>
      </c>
      <c r="E104" s="482"/>
      <c r="G104" s="471">
        <v>4869</v>
      </c>
      <c r="I104" s="482"/>
    </row>
    <row r="105" spans="2:14" x14ac:dyDescent="0.25">
      <c r="D105" s="637" t="s">
        <v>8</v>
      </c>
      <c r="E105" s="482"/>
      <c r="G105" s="471">
        <f>SUM(G101:G104)</f>
        <v>2605007.75</v>
      </c>
      <c r="I105" s="482"/>
    </row>
    <row r="106" spans="2:14" x14ac:dyDescent="0.25">
      <c r="E106" s="480"/>
      <c r="G106" s="473"/>
      <c r="I106" s="435"/>
    </row>
    <row r="107" spans="2:14" x14ac:dyDescent="0.25">
      <c r="B107" s="637" t="s">
        <v>542</v>
      </c>
      <c r="E107" s="486"/>
      <c r="G107" s="473"/>
      <c r="I107" s="486"/>
    </row>
    <row r="108" spans="2:14" x14ac:dyDescent="0.25">
      <c r="C108" s="637" t="s">
        <v>543</v>
      </c>
      <c r="E108" s="482"/>
      <c r="G108" s="471">
        <v>49650</v>
      </c>
      <c r="I108" s="482"/>
    </row>
    <row r="109" spans="2:14" x14ac:dyDescent="0.25">
      <c r="E109" s="486"/>
      <c r="G109" s="473"/>
      <c r="I109" s="486"/>
    </row>
    <row r="110" spans="2:14" x14ac:dyDescent="0.25">
      <c r="B110" s="637" t="s">
        <v>544</v>
      </c>
      <c r="E110" s="486"/>
      <c r="G110" s="473"/>
      <c r="I110" s="486"/>
    </row>
    <row r="111" spans="2:14" x14ac:dyDescent="0.25">
      <c r="C111" s="637" t="s">
        <v>535</v>
      </c>
      <c r="E111" s="482"/>
      <c r="F111" s="466"/>
      <c r="G111" s="848">
        <f>230642+500+(4000)+17151</f>
        <v>252293</v>
      </c>
      <c r="H111" s="466"/>
      <c r="I111" s="482"/>
      <c r="L111" s="397">
        <v>3.8978892331879053E-2</v>
      </c>
      <c r="N111" s="404">
        <f>ROUND(L111*440000,0)</f>
        <v>17151</v>
      </c>
    </row>
    <row r="112" spans="2:14" x14ac:dyDescent="0.25">
      <c r="C112" s="637" t="s">
        <v>536</v>
      </c>
      <c r="E112" s="482"/>
      <c r="F112" s="466"/>
      <c r="G112" s="473">
        <v>141294</v>
      </c>
      <c r="H112" s="466"/>
      <c r="I112" s="482"/>
    </row>
    <row r="113" spans="2:15" x14ac:dyDescent="0.25">
      <c r="C113" s="637" t="s">
        <v>177</v>
      </c>
      <c r="E113" s="482"/>
      <c r="G113" s="471">
        <v>20000</v>
      </c>
      <c r="I113" s="482"/>
    </row>
    <row r="114" spans="2:15" x14ac:dyDescent="0.25">
      <c r="D114" s="637" t="s">
        <v>8</v>
      </c>
      <c r="E114" s="482"/>
      <c r="G114" s="471">
        <f>SUM(G111:G113)</f>
        <v>413587</v>
      </c>
      <c r="I114" s="482"/>
    </row>
    <row r="115" spans="2:15" x14ac:dyDescent="0.25">
      <c r="E115" s="486"/>
      <c r="G115" s="473"/>
    </row>
    <row r="116" spans="2:15" x14ac:dyDescent="0.25">
      <c r="B116" s="637" t="s">
        <v>545</v>
      </c>
      <c r="E116" s="486"/>
      <c r="G116" s="473"/>
      <c r="I116" s="486"/>
    </row>
    <row r="117" spans="2:15" x14ac:dyDescent="0.25">
      <c r="C117" s="637" t="s">
        <v>535</v>
      </c>
      <c r="E117" s="482"/>
      <c r="F117" s="466"/>
      <c r="G117" s="848">
        <f>715131+52160</f>
        <v>767291</v>
      </c>
      <c r="I117" s="482"/>
      <c r="L117" s="397">
        <v>0.11854545020536102</v>
      </c>
      <c r="N117" s="404">
        <f>ROUND(L117*440000,0)</f>
        <v>52160</v>
      </c>
    </row>
    <row r="118" spans="2:15" x14ac:dyDescent="0.25">
      <c r="C118" s="637" t="s">
        <v>536</v>
      </c>
      <c r="E118" s="482"/>
      <c r="G118" s="471">
        <v>301266</v>
      </c>
      <c r="I118" s="482"/>
    </row>
    <row r="119" spans="2:15" x14ac:dyDescent="0.25">
      <c r="D119" s="637" t="s">
        <v>8</v>
      </c>
      <c r="E119" s="482"/>
      <c r="G119" s="471">
        <f>SUM(G117:G118)</f>
        <v>1068557</v>
      </c>
      <c r="I119" s="482"/>
    </row>
    <row r="120" spans="2:15" x14ac:dyDescent="0.25">
      <c r="E120" s="486"/>
      <c r="G120" s="473"/>
      <c r="I120" s="486"/>
    </row>
    <row r="121" spans="2:15" x14ac:dyDescent="0.25">
      <c r="B121" s="637" t="s">
        <v>546</v>
      </c>
      <c r="E121" s="486"/>
      <c r="G121" s="473"/>
      <c r="I121" s="486"/>
    </row>
    <row r="122" spans="2:15" x14ac:dyDescent="0.25">
      <c r="C122" s="637" t="s">
        <v>535</v>
      </c>
      <c r="E122" s="482"/>
      <c r="F122" s="466"/>
      <c r="G122" s="848">
        <f>819418+59766</f>
        <v>879184</v>
      </c>
      <c r="I122" s="482"/>
      <c r="L122" s="397">
        <v>0.13583284141839261</v>
      </c>
      <c r="N122" s="404">
        <f>ROUND(L122*440000,0)</f>
        <v>59766</v>
      </c>
    </row>
    <row r="123" spans="2:15" x14ac:dyDescent="0.25">
      <c r="C123" s="637" t="s">
        <v>536</v>
      </c>
      <c r="E123" s="482"/>
      <c r="G123" s="471">
        <v>544323</v>
      </c>
      <c r="I123" s="482"/>
    </row>
    <row r="124" spans="2:15" x14ac:dyDescent="0.25">
      <c r="D124" s="637" t="s">
        <v>8</v>
      </c>
      <c r="E124" s="482"/>
      <c r="G124" s="471">
        <f>SUM(G122:G123)</f>
        <v>1423507</v>
      </c>
      <c r="I124" s="482"/>
    </row>
    <row r="125" spans="2:15" x14ac:dyDescent="0.25">
      <c r="D125" s="637"/>
      <c r="E125" s="482"/>
      <c r="G125" s="480"/>
      <c r="I125" s="482"/>
    </row>
    <row r="126" spans="2:15" x14ac:dyDescent="0.25">
      <c r="B126" s="637" t="s">
        <v>547</v>
      </c>
      <c r="E126" s="486"/>
      <c r="G126" s="473"/>
      <c r="I126" s="486"/>
    </row>
    <row r="127" spans="2:15" x14ac:dyDescent="0.25">
      <c r="C127" s="637" t="s">
        <v>535</v>
      </c>
      <c r="E127" s="482"/>
      <c r="G127" s="848">
        <f>32510+2371</f>
        <v>34881</v>
      </c>
      <c r="I127" s="482"/>
      <c r="L127" s="397">
        <v>5.3891001595180281E-3</v>
      </c>
      <c r="N127" s="404">
        <f>ROUND(L127*440000,0)</f>
        <v>2371</v>
      </c>
    </row>
    <row r="128" spans="2:15" x14ac:dyDescent="0.25">
      <c r="C128" s="637" t="s">
        <v>536</v>
      </c>
      <c r="E128" s="482"/>
      <c r="G128" s="471">
        <v>124252</v>
      </c>
      <c r="I128" s="482"/>
      <c r="O128" s="396">
        <f>8764032-E130</f>
        <v>-440000</v>
      </c>
    </row>
    <row r="129" spans="1:13" x14ac:dyDescent="0.25">
      <c r="D129" s="637" t="s">
        <v>8</v>
      </c>
      <c r="E129" s="470"/>
      <c r="G129" s="471">
        <f>SUM(G127:G128)</f>
        <v>159133</v>
      </c>
      <c r="I129" s="470"/>
    </row>
    <row r="130" spans="1:13" x14ac:dyDescent="0.25">
      <c r="D130" s="637" t="s">
        <v>548</v>
      </c>
      <c r="E130" s="847">
        <f>6378901+100000+4000+1281131+500000+(4000)+(1221075)-725075+440000</f>
        <v>9204032</v>
      </c>
      <c r="G130" s="471">
        <f>+G78+G83+G89+G98+G105+G108+G114+G119+G124+G129</f>
        <v>8924097</v>
      </c>
      <c r="I130" s="471">
        <f>+E130-G130</f>
        <v>279935</v>
      </c>
      <c r="J130" s="396">
        <f>G130-'GF-BudAct Exh 6'!G26</f>
        <v>0</v>
      </c>
      <c r="M130" s="396"/>
    </row>
    <row r="131" spans="1:13" x14ac:dyDescent="0.25">
      <c r="E131" s="476"/>
      <c r="G131" s="476"/>
      <c r="I131" s="476"/>
      <c r="L131" s="396"/>
    </row>
    <row r="132" spans="1:13" x14ac:dyDescent="0.25">
      <c r="E132" s="476"/>
      <c r="G132" s="476"/>
      <c r="I132" s="417" t="s">
        <v>140</v>
      </c>
    </row>
    <row r="133" spans="1:13" x14ac:dyDescent="0.25">
      <c r="A133" s="484"/>
      <c r="B133" s="484"/>
      <c r="C133" s="484"/>
      <c r="D133" s="484"/>
      <c r="E133" s="484"/>
      <c r="F133" s="484"/>
      <c r="G133" s="484"/>
      <c r="H133" s="484"/>
      <c r="I133" s="644" t="s">
        <v>492</v>
      </c>
    </row>
    <row r="134" spans="1:13" x14ac:dyDescent="0.25">
      <c r="A134" s="484"/>
      <c r="B134" s="484"/>
      <c r="C134" s="484"/>
      <c r="D134" s="484"/>
      <c r="E134" s="644" t="s">
        <v>218</v>
      </c>
      <c r="F134" s="484"/>
      <c r="G134" s="484"/>
      <c r="H134" s="484"/>
      <c r="I134" s="644" t="s">
        <v>219</v>
      </c>
    </row>
    <row r="135" spans="1:13" x14ac:dyDescent="0.25">
      <c r="A135" s="484"/>
      <c r="B135" s="484"/>
      <c r="C135" s="484"/>
      <c r="D135" s="484"/>
      <c r="E135" s="485" t="s">
        <v>220</v>
      </c>
      <c r="F135" s="484"/>
      <c r="G135" s="485" t="s">
        <v>221</v>
      </c>
      <c r="H135" s="484"/>
      <c r="I135" s="485" t="s">
        <v>222</v>
      </c>
    </row>
    <row r="136" spans="1:13" x14ac:dyDescent="0.25">
      <c r="A136" s="42" t="s">
        <v>549</v>
      </c>
      <c r="E136" s="473"/>
      <c r="G136" s="473"/>
      <c r="I136" s="473"/>
    </row>
    <row r="137" spans="1:13" x14ac:dyDescent="0.25">
      <c r="B137" s="637" t="s">
        <v>550</v>
      </c>
      <c r="E137" s="473"/>
      <c r="G137" s="473"/>
      <c r="I137" s="473"/>
    </row>
    <row r="138" spans="1:13" x14ac:dyDescent="0.25">
      <c r="C138" s="637" t="s">
        <v>535</v>
      </c>
      <c r="E138" s="474"/>
      <c r="G138" s="473">
        <f>2862642-101424+16585+15300+200-15300-200+32902+17279</f>
        <v>2827984</v>
      </c>
      <c r="I138" s="474"/>
    </row>
    <row r="139" spans="1:13" x14ac:dyDescent="0.25">
      <c r="C139" s="637" t="s">
        <v>536</v>
      </c>
      <c r="E139" s="474"/>
      <c r="G139" s="473">
        <f>1039414+438+941</f>
        <v>1040793</v>
      </c>
      <c r="I139" s="474"/>
    </row>
    <row r="140" spans="1:13" x14ac:dyDescent="0.25">
      <c r="C140" s="637" t="s">
        <v>177</v>
      </c>
      <c r="E140" s="482"/>
      <c r="G140" s="626">
        <f>96524+179755</f>
        <v>276279</v>
      </c>
      <c r="I140" s="482"/>
    </row>
    <row r="141" spans="1:13" x14ac:dyDescent="0.25">
      <c r="D141" s="637" t="s">
        <v>8</v>
      </c>
      <c r="E141" s="482"/>
      <c r="G141" s="471">
        <f>SUM(G138:G140)</f>
        <v>4145056</v>
      </c>
      <c r="I141" s="482"/>
    </row>
    <row r="142" spans="1:13" x14ac:dyDescent="0.25">
      <c r="E142" s="435"/>
    </row>
    <row r="143" spans="1:13" x14ac:dyDescent="0.25">
      <c r="B143" s="637" t="s">
        <v>551</v>
      </c>
      <c r="E143" s="486"/>
      <c r="G143" s="476"/>
      <c r="I143" s="486"/>
    </row>
    <row r="144" spans="1:13" x14ac:dyDescent="0.25">
      <c r="C144" s="637" t="s">
        <v>535</v>
      </c>
      <c r="E144" s="482"/>
      <c r="G144" s="473">
        <f>826941</f>
        <v>826941</v>
      </c>
      <c r="I144" s="482"/>
    </row>
    <row r="145" spans="2:9" x14ac:dyDescent="0.25">
      <c r="C145" s="637" t="s">
        <v>536</v>
      </c>
      <c r="E145" s="482"/>
      <c r="G145" s="473">
        <v>475711</v>
      </c>
      <c r="I145" s="482"/>
    </row>
    <row r="146" spans="2:9" x14ac:dyDescent="0.25">
      <c r="C146" s="637" t="s">
        <v>177</v>
      </c>
      <c r="E146" s="482"/>
      <c r="G146" s="471">
        <v>16040</v>
      </c>
      <c r="I146" s="482"/>
    </row>
    <row r="147" spans="2:9" x14ac:dyDescent="0.25">
      <c r="D147" s="637" t="s">
        <v>8</v>
      </c>
      <c r="E147" s="482"/>
      <c r="G147" s="471">
        <f>SUM(G144:G146)</f>
        <v>1318692</v>
      </c>
      <c r="I147" s="482"/>
    </row>
    <row r="148" spans="2:9" x14ac:dyDescent="0.25">
      <c r="E148" s="486"/>
      <c r="G148" s="476"/>
      <c r="I148" s="486"/>
    </row>
    <row r="149" spans="2:9" x14ac:dyDescent="0.25">
      <c r="B149" s="637" t="s">
        <v>552</v>
      </c>
      <c r="C149" s="637"/>
      <c r="E149" s="482"/>
      <c r="F149" s="435"/>
      <c r="G149" s="480"/>
      <c r="H149" s="435"/>
      <c r="I149" s="482"/>
    </row>
    <row r="150" spans="2:9" x14ac:dyDescent="0.25">
      <c r="C150" s="637" t="s">
        <v>535</v>
      </c>
      <c r="D150" s="637"/>
      <c r="E150" s="482"/>
      <c r="F150" s="435"/>
      <c r="G150" s="480">
        <v>33000</v>
      </c>
      <c r="H150" s="435"/>
      <c r="I150" s="482"/>
    </row>
    <row r="151" spans="2:9" x14ac:dyDescent="0.25">
      <c r="C151" s="637" t="s">
        <v>536</v>
      </c>
      <c r="E151" s="482"/>
      <c r="G151" s="473">
        <v>33550</v>
      </c>
      <c r="I151" s="482"/>
    </row>
    <row r="152" spans="2:9" x14ac:dyDescent="0.25">
      <c r="C152" s="637" t="s">
        <v>177</v>
      </c>
      <c r="E152" s="482"/>
      <c r="G152" s="471">
        <v>27450</v>
      </c>
      <c r="I152" s="482"/>
    </row>
    <row r="153" spans="2:9" x14ac:dyDescent="0.25">
      <c r="D153" s="637" t="s">
        <v>8</v>
      </c>
      <c r="E153" s="482"/>
      <c r="G153" s="471">
        <f>SUM(G150:G152)</f>
        <v>94000</v>
      </c>
      <c r="I153" s="482"/>
    </row>
    <row r="154" spans="2:9" x14ac:dyDescent="0.25">
      <c r="E154" s="480"/>
      <c r="G154" s="473"/>
      <c r="I154" s="480"/>
    </row>
    <row r="155" spans="2:9" x14ac:dyDescent="0.25">
      <c r="B155" s="637" t="s">
        <v>553</v>
      </c>
      <c r="E155" s="480"/>
      <c r="G155" s="473"/>
      <c r="I155" s="480"/>
    </row>
    <row r="156" spans="2:9" x14ac:dyDescent="0.25">
      <c r="C156" s="637" t="s">
        <v>535</v>
      </c>
      <c r="E156" s="482"/>
      <c r="G156" s="473">
        <v>18000</v>
      </c>
      <c r="I156" s="482"/>
    </row>
    <row r="157" spans="2:9" x14ac:dyDescent="0.25">
      <c r="C157" s="637" t="s">
        <v>536</v>
      </c>
      <c r="E157" s="482"/>
      <c r="G157" s="471">
        <v>4100</v>
      </c>
      <c r="I157" s="482"/>
    </row>
    <row r="158" spans="2:9" x14ac:dyDescent="0.25">
      <c r="D158" s="637" t="s">
        <v>8</v>
      </c>
      <c r="E158" s="482"/>
      <c r="G158" s="471">
        <f>SUM(G156:G157)</f>
        <v>22100</v>
      </c>
      <c r="I158" s="482"/>
    </row>
    <row r="159" spans="2:9" x14ac:dyDescent="0.25">
      <c r="E159" s="480"/>
      <c r="G159" s="473"/>
      <c r="I159" s="435"/>
    </row>
    <row r="160" spans="2:9" x14ac:dyDescent="0.25">
      <c r="B160" s="637" t="s">
        <v>554</v>
      </c>
      <c r="E160" s="480"/>
      <c r="G160" s="473"/>
      <c r="I160" s="480"/>
    </row>
    <row r="161" spans="1:13" x14ac:dyDescent="0.25">
      <c r="C161" s="637" t="s">
        <v>535</v>
      </c>
      <c r="E161" s="482"/>
      <c r="G161" s="473">
        <v>93811</v>
      </c>
      <c r="I161" s="482"/>
    </row>
    <row r="162" spans="1:13" x14ac:dyDescent="0.25">
      <c r="C162" s="637" t="s">
        <v>536</v>
      </c>
      <c r="E162" s="482"/>
      <c r="G162" s="473">
        <v>39113</v>
      </c>
      <c r="I162" s="482"/>
    </row>
    <row r="163" spans="1:13" x14ac:dyDescent="0.25">
      <c r="C163" s="637" t="s">
        <v>555</v>
      </c>
      <c r="E163" s="482"/>
      <c r="G163" s="473">
        <v>62250</v>
      </c>
      <c r="H163" s="466"/>
      <c r="I163" s="482"/>
    </row>
    <row r="164" spans="1:13" x14ac:dyDescent="0.25">
      <c r="C164" s="637" t="s">
        <v>177</v>
      </c>
      <c r="E164" s="482"/>
      <c r="G164" s="471">
        <v>10000</v>
      </c>
      <c r="H164" s="466"/>
      <c r="I164" s="482"/>
    </row>
    <row r="165" spans="1:13" x14ac:dyDescent="0.25">
      <c r="D165" s="637" t="s">
        <v>8</v>
      </c>
      <c r="E165" s="482"/>
      <c r="G165" s="471">
        <f>SUM(G161:G164)</f>
        <v>205174</v>
      </c>
      <c r="I165" s="482"/>
    </row>
    <row r="166" spans="1:13" x14ac:dyDescent="0.25">
      <c r="D166" s="637"/>
      <c r="E166" s="482"/>
      <c r="G166" s="480"/>
    </row>
    <row r="167" spans="1:13" x14ac:dyDescent="0.25">
      <c r="B167" s="637" t="s">
        <v>556</v>
      </c>
      <c r="E167" s="480"/>
      <c r="G167" s="473"/>
      <c r="I167" s="480"/>
    </row>
    <row r="168" spans="1:13" x14ac:dyDescent="0.25">
      <c r="C168" s="637" t="s">
        <v>535</v>
      </c>
      <c r="E168" s="482"/>
      <c r="G168" s="473">
        <f>744473</f>
        <v>744473</v>
      </c>
      <c r="I168" s="482"/>
    </row>
    <row r="169" spans="1:13" x14ac:dyDescent="0.25">
      <c r="C169" s="637" t="s">
        <v>536</v>
      </c>
      <c r="E169" s="482"/>
      <c r="G169" s="471">
        <v>300794</v>
      </c>
      <c r="I169" s="482"/>
    </row>
    <row r="170" spans="1:13" x14ac:dyDescent="0.25">
      <c r="D170" s="637" t="s">
        <v>8</v>
      </c>
      <c r="E170" s="482"/>
      <c r="G170" s="471">
        <f>SUM(G168:G169)</f>
        <v>1045267</v>
      </c>
    </row>
    <row r="171" spans="1:13" x14ac:dyDescent="0.25">
      <c r="E171" s="480"/>
      <c r="G171" s="473"/>
      <c r="I171" s="417" t="s">
        <v>140</v>
      </c>
      <c r="M171" s="396"/>
    </row>
    <row r="172" spans="1:13" x14ac:dyDescent="0.25">
      <c r="A172" s="484"/>
      <c r="B172" s="484"/>
      <c r="C172" s="484"/>
      <c r="D172" s="484"/>
      <c r="E172" s="484"/>
      <c r="F172" s="484"/>
      <c r="G172" s="484"/>
      <c r="H172" s="484"/>
      <c r="I172" s="644" t="s">
        <v>492</v>
      </c>
    </row>
    <row r="173" spans="1:13" x14ac:dyDescent="0.25">
      <c r="A173" s="484"/>
      <c r="B173" s="484"/>
      <c r="C173" s="484"/>
      <c r="D173" s="484"/>
      <c r="E173" s="644" t="s">
        <v>218</v>
      </c>
      <c r="F173" s="484"/>
      <c r="G173" s="484"/>
      <c r="H173" s="484"/>
      <c r="I173" s="644" t="s">
        <v>219</v>
      </c>
    </row>
    <row r="174" spans="1:13" x14ac:dyDescent="0.25">
      <c r="A174" s="484"/>
      <c r="B174" s="484"/>
      <c r="C174" s="484"/>
      <c r="D174" s="484"/>
      <c r="E174" s="485" t="s">
        <v>220</v>
      </c>
      <c r="F174" s="484"/>
      <c r="G174" s="485" t="s">
        <v>221</v>
      </c>
      <c r="H174" s="484"/>
      <c r="I174" s="485" t="s">
        <v>222</v>
      </c>
    </row>
    <row r="175" spans="1:13" x14ac:dyDescent="0.25">
      <c r="B175" s="637" t="s">
        <v>557</v>
      </c>
      <c r="E175" s="480"/>
      <c r="G175" s="473"/>
      <c r="I175" s="480"/>
    </row>
    <row r="176" spans="1:13" x14ac:dyDescent="0.25">
      <c r="C176" s="637" t="s">
        <v>535</v>
      </c>
      <c r="E176" s="482"/>
      <c r="G176" s="473">
        <v>43327</v>
      </c>
      <c r="I176" s="482"/>
    </row>
    <row r="177" spans="2:9" x14ac:dyDescent="0.25">
      <c r="C177" s="637" t="s">
        <v>536</v>
      </c>
      <c r="E177" s="482"/>
      <c r="G177" s="473">
        <v>11700</v>
      </c>
      <c r="I177" s="482"/>
    </row>
    <row r="178" spans="2:9" x14ac:dyDescent="0.25">
      <c r="C178" s="637" t="s">
        <v>558</v>
      </c>
      <c r="E178" s="482"/>
      <c r="G178" s="473">
        <v>50000</v>
      </c>
      <c r="I178" s="482"/>
    </row>
    <row r="179" spans="2:9" x14ac:dyDescent="0.25">
      <c r="C179" s="637" t="s">
        <v>177</v>
      </c>
      <c r="E179" s="482"/>
      <c r="G179" s="471">
        <v>31740</v>
      </c>
      <c r="I179" s="482"/>
    </row>
    <row r="180" spans="2:9" x14ac:dyDescent="0.25">
      <c r="D180" s="637" t="s">
        <v>8</v>
      </c>
      <c r="E180" s="482"/>
      <c r="G180" s="471">
        <f>SUM(G176:G179)</f>
        <v>136767</v>
      </c>
      <c r="I180" s="482"/>
    </row>
    <row r="181" spans="2:9" x14ac:dyDescent="0.25">
      <c r="E181" s="480"/>
      <c r="G181" s="473"/>
      <c r="I181" s="480"/>
    </row>
    <row r="182" spans="2:9" x14ac:dyDescent="0.25">
      <c r="B182" s="637" t="s">
        <v>559</v>
      </c>
      <c r="E182" s="480"/>
      <c r="G182" s="473"/>
      <c r="I182" s="480"/>
    </row>
    <row r="183" spans="2:9" x14ac:dyDescent="0.25">
      <c r="C183" s="637" t="s">
        <v>535</v>
      </c>
      <c r="E183" s="482"/>
      <c r="G183" s="473">
        <v>41626</v>
      </c>
      <c r="I183" s="482"/>
    </row>
    <row r="184" spans="2:9" x14ac:dyDescent="0.25">
      <c r="C184" s="637" t="s">
        <v>536</v>
      </c>
      <c r="E184" s="482"/>
      <c r="G184" s="473">
        <v>18210</v>
      </c>
      <c r="I184" s="482"/>
    </row>
    <row r="185" spans="2:9" x14ac:dyDescent="0.25">
      <c r="C185" s="637" t="s">
        <v>177</v>
      </c>
      <c r="E185" s="482"/>
      <c r="G185" s="471">
        <v>20000</v>
      </c>
      <c r="H185" s="466"/>
      <c r="I185" s="482"/>
    </row>
    <row r="186" spans="2:9" x14ac:dyDescent="0.25">
      <c r="D186" s="637" t="s">
        <v>8</v>
      </c>
      <c r="E186" s="482"/>
      <c r="G186" s="471">
        <f>SUM(G183:G185)</f>
        <v>79836</v>
      </c>
      <c r="I186" s="482"/>
    </row>
    <row r="187" spans="2:9" x14ac:dyDescent="0.25">
      <c r="E187" s="435"/>
    </row>
    <row r="188" spans="2:9" x14ac:dyDescent="0.25">
      <c r="B188" s="637" t="s">
        <v>560</v>
      </c>
      <c r="E188" s="480"/>
      <c r="G188" s="473"/>
      <c r="I188" s="480"/>
    </row>
    <row r="189" spans="2:9" x14ac:dyDescent="0.25">
      <c r="C189" s="637" t="s">
        <v>535</v>
      </c>
      <c r="E189" s="482"/>
      <c r="G189" s="473">
        <f>42045+645</f>
        <v>42690</v>
      </c>
      <c r="I189" s="482"/>
    </row>
    <row r="190" spans="2:9" x14ac:dyDescent="0.25">
      <c r="C190" s="637" t="s">
        <v>536</v>
      </c>
      <c r="E190" s="482"/>
      <c r="G190" s="473">
        <v>11390</v>
      </c>
      <c r="I190" s="482"/>
    </row>
    <row r="191" spans="2:9" x14ac:dyDescent="0.25">
      <c r="C191" s="637" t="s">
        <v>543</v>
      </c>
      <c r="E191" s="482"/>
      <c r="G191" s="471">
        <v>78748</v>
      </c>
      <c r="I191" s="482"/>
    </row>
    <row r="192" spans="2:9" x14ac:dyDescent="0.25">
      <c r="D192" s="637" t="s">
        <v>8</v>
      </c>
      <c r="E192" s="470"/>
      <c r="G192" s="471">
        <f>SUM(G189:G191)</f>
        <v>132828</v>
      </c>
      <c r="I192" s="470"/>
    </row>
    <row r="193" spans="1:10" x14ac:dyDescent="0.25">
      <c r="D193" s="637" t="s">
        <v>561</v>
      </c>
      <c r="E193" s="471">
        <f>7090414+500000</f>
        <v>7590414</v>
      </c>
      <c r="G193" s="471">
        <f>+G141+G147+G153+G158+G165+G170+G180+G186+G192</f>
        <v>7179720</v>
      </c>
      <c r="I193" s="471">
        <f>E193-G193</f>
        <v>410694</v>
      </c>
      <c r="J193" s="396">
        <f>G193-'Rev, exp, chgs in fb Exh 4'!B24</f>
        <v>0</v>
      </c>
    </row>
    <row r="194" spans="1:10" x14ac:dyDescent="0.25">
      <c r="E194" s="476"/>
      <c r="G194" s="476"/>
      <c r="I194" s="476"/>
    </row>
    <row r="195" spans="1:10" x14ac:dyDescent="0.25">
      <c r="E195" s="473"/>
      <c r="G195" s="473"/>
      <c r="I195" s="473"/>
    </row>
    <row r="196" spans="1:10" x14ac:dyDescent="0.25">
      <c r="A196" s="42" t="s">
        <v>562</v>
      </c>
      <c r="E196" s="473"/>
      <c r="G196" s="473"/>
      <c r="I196" s="473"/>
    </row>
    <row r="197" spans="1:10" x14ac:dyDescent="0.25">
      <c r="B197" s="637" t="s">
        <v>563</v>
      </c>
      <c r="E197" s="473"/>
      <c r="G197" s="473"/>
      <c r="I197" s="473"/>
    </row>
    <row r="198" spans="1:10" x14ac:dyDescent="0.25">
      <c r="C198" s="637" t="s">
        <v>535</v>
      </c>
      <c r="E198" s="474"/>
      <c r="G198" s="473">
        <f>46989</f>
        <v>46989</v>
      </c>
      <c r="I198" s="474"/>
    </row>
    <row r="199" spans="1:10" x14ac:dyDescent="0.25">
      <c r="C199" s="637" t="s">
        <v>536</v>
      </c>
      <c r="E199" s="474"/>
      <c r="G199" s="473">
        <v>17313</v>
      </c>
      <c r="I199" s="474"/>
    </row>
    <row r="200" spans="1:10" x14ac:dyDescent="0.25">
      <c r="C200" s="637" t="s">
        <v>543</v>
      </c>
      <c r="E200" s="482"/>
      <c r="G200" s="471">
        <v>59354</v>
      </c>
      <c r="I200" s="482"/>
    </row>
    <row r="201" spans="1:10" x14ac:dyDescent="0.25">
      <c r="D201" s="637" t="s">
        <v>495</v>
      </c>
      <c r="E201" s="482"/>
      <c r="G201" s="471">
        <f>SUM(G198:G200)</f>
        <v>123656</v>
      </c>
      <c r="I201" s="482"/>
    </row>
    <row r="202" spans="1:10" x14ac:dyDescent="0.25">
      <c r="E202" s="473"/>
      <c r="G202" s="473"/>
      <c r="I202" s="473"/>
    </row>
    <row r="203" spans="1:10" x14ac:dyDescent="0.25">
      <c r="B203" s="637" t="s">
        <v>564</v>
      </c>
      <c r="E203" s="470"/>
      <c r="G203" s="471">
        <v>1014922</v>
      </c>
      <c r="H203" s="466"/>
      <c r="I203" s="470"/>
    </row>
    <row r="204" spans="1:10" x14ac:dyDescent="0.25">
      <c r="D204" s="637" t="s">
        <v>565</v>
      </c>
      <c r="E204" s="471">
        <v>1341516</v>
      </c>
      <c r="G204" s="471">
        <f>+G201+G203</f>
        <v>1138578</v>
      </c>
      <c r="H204" s="466"/>
      <c r="I204" s="471">
        <f>+E204-G204</f>
        <v>202938</v>
      </c>
      <c r="J204" s="396">
        <f>G204-'GF-BudAct Exh 6'!G28</f>
        <v>0</v>
      </c>
    </row>
    <row r="205" spans="1:10" x14ac:dyDescent="0.25">
      <c r="E205" s="476"/>
      <c r="G205" s="476"/>
      <c r="I205" s="417" t="s">
        <v>140</v>
      </c>
    </row>
    <row r="206" spans="1:10" x14ac:dyDescent="0.25">
      <c r="A206" s="484"/>
      <c r="B206" s="484"/>
      <c r="C206" s="484"/>
      <c r="D206" s="484"/>
      <c r="E206" s="484"/>
      <c r="F206" s="484"/>
      <c r="G206" s="484"/>
      <c r="H206" s="484"/>
      <c r="I206" s="644" t="s">
        <v>492</v>
      </c>
    </row>
    <row r="207" spans="1:10" x14ac:dyDescent="0.25">
      <c r="A207" s="484"/>
      <c r="B207" s="484"/>
      <c r="C207" s="484"/>
      <c r="D207" s="484"/>
      <c r="E207" s="644" t="s">
        <v>218</v>
      </c>
      <c r="F207" s="484"/>
      <c r="G207" s="484"/>
      <c r="H207" s="484"/>
      <c r="I207" s="644" t="s">
        <v>219</v>
      </c>
    </row>
    <row r="208" spans="1:10" x14ac:dyDescent="0.25">
      <c r="A208" s="484"/>
      <c r="B208" s="484"/>
      <c r="C208" s="484"/>
      <c r="D208" s="484"/>
      <c r="E208" s="485" t="s">
        <v>220</v>
      </c>
      <c r="F208" s="484"/>
      <c r="G208" s="485" t="s">
        <v>221</v>
      </c>
      <c r="H208" s="484"/>
      <c r="I208" s="485" t="s">
        <v>222</v>
      </c>
    </row>
    <row r="209" spans="1:9" x14ac:dyDescent="0.25">
      <c r="A209" s="42" t="s">
        <v>566</v>
      </c>
      <c r="E209" s="473"/>
      <c r="G209" s="473"/>
      <c r="I209" s="473"/>
    </row>
    <row r="210" spans="1:9" x14ac:dyDescent="0.25">
      <c r="B210" s="637" t="s">
        <v>567</v>
      </c>
      <c r="E210" s="473"/>
      <c r="G210" s="473"/>
      <c r="I210" s="473"/>
    </row>
    <row r="211" spans="1:9" x14ac:dyDescent="0.25">
      <c r="C211" s="637" t="s">
        <v>535</v>
      </c>
      <c r="E211" s="474"/>
      <c r="G211" s="473">
        <v>112831</v>
      </c>
      <c r="I211" s="474"/>
    </row>
    <row r="212" spans="1:9" x14ac:dyDescent="0.25">
      <c r="C212" s="637" t="s">
        <v>536</v>
      </c>
      <c r="E212" s="474"/>
      <c r="G212" s="473">
        <v>15763</v>
      </c>
      <c r="I212" s="474"/>
    </row>
    <row r="213" spans="1:9" x14ac:dyDescent="0.25">
      <c r="C213" s="637" t="s">
        <v>543</v>
      </c>
      <c r="E213" s="482"/>
      <c r="G213" s="471">
        <v>127117</v>
      </c>
      <c r="I213" s="482"/>
    </row>
    <row r="214" spans="1:9" x14ac:dyDescent="0.25">
      <c r="D214" s="637" t="s">
        <v>8</v>
      </c>
      <c r="E214" s="482"/>
      <c r="G214" s="471">
        <f>SUM(G211:G213)</f>
        <v>255711</v>
      </c>
    </row>
    <row r="215" spans="1:9" x14ac:dyDescent="0.25">
      <c r="E215" s="480"/>
      <c r="G215" s="473"/>
      <c r="I215" s="435"/>
    </row>
    <row r="216" spans="1:9" x14ac:dyDescent="0.25">
      <c r="B216" s="637" t="s">
        <v>568</v>
      </c>
      <c r="E216" s="480"/>
      <c r="G216" s="473"/>
      <c r="I216" s="480"/>
    </row>
    <row r="217" spans="1:9" x14ac:dyDescent="0.25">
      <c r="C217" s="637" t="s">
        <v>535</v>
      </c>
      <c r="E217" s="482"/>
      <c r="G217" s="473">
        <v>60960</v>
      </c>
      <c r="I217" s="482"/>
    </row>
    <row r="218" spans="1:9" x14ac:dyDescent="0.25">
      <c r="C218" s="637" t="s">
        <v>536</v>
      </c>
      <c r="E218" s="482"/>
      <c r="G218" s="473">
        <v>13994</v>
      </c>
      <c r="I218" s="482"/>
    </row>
    <row r="219" spans="1:9" x14ac:dyDescent="0.25">
      <c r="C219" s="637" t="s">
        <v>569</v>
      </c>
      <c r="E219" s="482"/>
      <c r="G219" s="473">
        <v>20000</v>
      </c>
      <c r="H219" s="466"/>
      <c r="I219" s="482"/>
    </row>
    <row r="220" spans="1:9" x14ac:dyDescent="0.25">
      <c r="C220" s="637" t="s">
        <v>177</v>
      </c>
      <c r="E220" s="482"/>
      <c r="G220" s="471">
        <v>170000</v>
      </c>
      <c r="I220" s="482"/>
    </row>
    <row r="221" spans="1:9" x14ac:dyDescent="0.25">
      <c r="D221" s="637" t="s">
        <v>8</v>
      </c>
      <c r="E221" s="482"/>
      <c r="G221" s="471">
        <f>SUM(G217:G220)</f>
        <v>264954</v>
      </c>
      <c r="I221" s="482"/>
    </row>
    <row r="222" spans="1:9" x14ac:dyDescent="0.25">
      <c r="E222" s="480"/>
      <c r="G222" s="473"/>
      <c r="I222" s="480"/>
    </row>
    <row r="223" spans="1:9" x14ac:dyDescent="0.25">
      <c r="B223" s="637" t="s">
        <v>570</v>
      </c>
      <c r="E223" s="480"/>
      <c r="G223" s="473"/>
      <c r="I223" s="480"/>
    </row>
    <row r="224" spans="1:9" x14ac:dyDescent="0.25">
      <c r="C224" s="637" t="s">
        <v>535</v>
      </c>
      <c r="E224" s="482"/>
      <c r="G224" s="473">
        <v>19053</v>
      </c>
      <c r="I224" s="482"/>
    </row>
    <row r="225" spans="2:9" x14ac:dyDescent="0.25">
      <c r="C225" s="637" t="s">
        <v>536</v>
      </c>
      <c r="E225" s="482"/>
      <c r="G225" s="473">
        <v>6245</v>
      </c>
      <c r="I225" s="482"/>
    </row>
    <row r="226" spans="2:9" x14ac:dyDescent="0.25">
      <c r="C226" s="637" t="s">
        <v>177</v>
      </c>
      <c r="E226" s="482"/>
      <c r="G226" s="471">
        <v>2000</v>
      </c>
      <c r="I226" s="482"/>
    </row>
    <row r="227" spans="2:9" x14ac:dyDescent="0.25">
      <c r="D227" s="637" t="s">
        <v>8</v>
      </c>
      <c r="E227" s="482"/>
      <c r="G227" s="471">
        <f>SUM(G224:G226)</f>
        <v>27298</v>
      </c>
      <c r="I227" s="482"/>
    </row>
    <row r="228" spans="2:9" x14ac:dyDescent="0.25">
      <c r="E228" s="480"/>
      <c r="G228" s="473"/>
    </row>
    <row r="229" spans="2:9" x14ac:dyDescent="0.25">
      <c r="B229" s="637" t="s">
        <v>571</v>
      </c>
      <c r="E229" s="480"/>
      <c r="G229" s="473"/>
      <c r="I229" s="480"/>
    </row>
    <row r="230" spans="2:9" x14ac:dyDescent="0.25">
      <c r="C230" s="637" t="s">
        <v>535</v>
      </c>
      <c r="E230" s="482"/>
      <c r="G230" s="473">
        <v>19556</v>
      </c>
      <c r="I230" s="482"/>
    </row>
    <row r="231" spans="2:9" x14ac:dyDescent="0.25">
      <c r="C231" s="637" t="s">
        <v>536</v>
      </c>
      <c r="E231" s="482"/>
      <c r="G231" s="473">
        <v>4315</v>
      </c>
      <c r="I231" s="482"/>
    </row>
    <row r="232" spans="2:9" x14ac:dyDescent="0.25">
      <c r="C232" s="637" t="s">
        <v>177</v>
      </c>
      <c r="E232" s="482"/>
      <c r="G232" s="471">
        <v>2366</v>
      </c>
      <c r="I232" s="482"/>
    </row>
    <row r="233" spans="2:9" x14ac:dyDescent="0.25">
      <c r="D233" s="637" t="s">
        <v>8</v>
      </c>
      <c r="E233" s="482"/>
      <c r="G233" s="487">
        <f>SUM(G230:G232)</f>
        <v>26237</v>
      </c>
    </row>
    <row r="234" spans="2:9" x14ac:dyDescent="0.25">
      <c r="E234" s="486"/>
      <c r="G234" s="476"/>
    </row>
    <row r="235" spans="2:9" x14ac:dyDescent="0.25">
      <c r="B235" s="637" t="s">
        <v>572</v>
      </c>
      <c r="E235" s="480"/>
      <c r="G235" s="473"/>
      <c r="I235" s="480"/>
    </row>
    <row r="236" spans="2:9" x14ac:dyDescent="0.25">
      <c r="C236" s="637" t="s">
        <v>535</v>
      </c>
      <c r="E236" s="482"/>
      <c r="G236" s="473">
        <f>97658</f>
        <v>97658</v>
      </c>
      <c r="I236" s="482"/>
    </row>
    <row r="237" spans="2:9" x14ac:dyDescent="0.25">
      <c r="C237" s="637" t="s">
        <v>573</v>
      </c>
      <c r="E237" s="482"/>
      <c r="G237" s="473">
        <v>485641</v>
      </c>
      <c r="I237" s="482"/>
    </row>
    <row r="238" spans="2:9" x14ac:dyDescent="0.25">
      <c r="C238" s="637" t="s">
        <v>574</v>
      </c>
      <c r="E238" s="482"/>
      <c r="G238" s="473">
        <v>101873</v>
      </c>
      <c r="H238" s="466"/>
      <c r="I238" s="482"/>
    </row>
    <row r="239" spans="2:9" x14ac:dyDescent="0.25">
      <c r="C239" s="637" t="s">
        <v>536</v>
      </c>
      <c r="E239" s="482"/>
      <c r="G239" s="471">
        <v>6217</v>
      </c>
      <c r="H239" s="466"/>
      <c r="I239" s="482"/>
    </row>
    <row r="240" spans="2:9" x14ac:dyDescent="0.25">
      <c r="D240" s="637" t="s">
        <v>8</v>
      </c>
      <c r="E240" s="482"/>
      <c r="G240" s="471">
        <f>SUM(G236:G239)</f>
        <v>691389</v>
      </c>
      <c r="H240" s="466"/>
      <c r="I240" s="482"/>
    </row>
    <row r="241" spans="1:13" x14ac:dyDescent="0.25">
      <c r="E241" s="435"/>
      <c r="I241" s="435"/>
    </row>
    <row r="242" spans="1:13" x14ac:dyDescent="0.25">
      <c r="B242" s="637" t="s">
        <v>575</v>
      </c>
      <c r="E242" s="480"/>
      <c r="G242" s="473"/>
      <c r="I242" s="480"/>
    </row>
    <row r="243" spans="1:13" x14ac:dyDescent="0.25">
      <c r="C243" s="637" t="s">
        <v>535</v>
      </c>
      <c r="E243" s="482"/>
      <c r="G243" s="473">
        <v>50170</v>
      </c>
      <c r="I243" s="482"/>
    </row>
    <row r="244" spans="1:13" x14ac:dyDescent="0.25">
      <c r="C244" s="637" t="s">
        <v>536</v>
      </c>
      <c r="E244" s="482"/>
      <c r="G244" s="471">
        <v>1170</v>
      </c>
      <c r="I244" s="482"/>
    </row>
    <row r="245" spans="1:13" x14ac:dyDescent="0.25">
      <c r="D245" s="637" t="s">
        <v>8</v>
      </c>
      <c r="E245" s="470"/>
      <c r="G245" s="471">
        <f>SUM(G243:G244)</f>
        <v>51340</v>
      </c>
      <c r="I245" s="470"/>
    </row>
    <row r="246" spans="1:13" x14ac:dyDescent="0.25">
      <c r="D246" s="637" t="s">
        <v>576</v>
      </c>
      <c r="E246" s="476"/>
      <c r="G246" s="476"/>
      <c r="I246" s="476"/>
    </row>
    <row r="247" spans="1:13" x14ac:dyDescent="0.25">
      <c r="D247" s="637" t="s">
        <v>577</v>
      </c>
      <c r="E247" s="471">
        <f>1316992+31250</f>
        <v>1348242</v>
      </c>
      <c r="G247" s="471">
        <f>+G214+G221+G227+G233+G240+G245</f>
        <v>1316929</v>
      </c>
      <c r="I247" s="471">
        <f>+E247-G247</f>
        <v>31313</v>
      </c>
      <c r="J247" s="396">
        <f>G247-'GF-BudAct Exh 6'!G29</f>
        <v>0</v>
      </c>
      <c r="M247" s="396"/>
    </row>
    <row r="248" spans="1:13" x14ac:dyDescent="0.25">
      <c r="D248" s="637"/>
      <c r="E248" s="480"/>
      <c r="G248" s="480"/>
      <c r="I248" s="417" t="s">
        <v>140</v>
      </c>
    </row>
    <row r="249" spans="1:13" x14ac:dyDescent="0.25">
      <c r="A249" s="484"/>
      <c r="B249" s="484"/>
      <c r="C249" s="484"/>
      <c r="D249" s="484"/>
      <c r="E249" s="484"/>
      <c r="F249" s="484"/>
      <c r="G249" s="484"/>
      <c r="H249" s="484"/>
      <c r="I249" s="644" t="s">
        <v>492</v>
      </c>
    </row>
    <row r="250" spans="1:13" x14ac:dyDescent="0.25">
      <c r="A250" s="484"/>
      <c r="B250" s="484"/>
      <c r="C250" s="484"/>
      <c r="D250" s="484"/>
      <c r="E250" s="644" t="s">
        <v>218</v>
      </c>
      <c r="F250" s="484"/>
      <c r="G250" s="484"/>
      <c r="H250" s="484"/>
      <c r="I250" s="644" t="s">
        <v>219</v>
      </c>
    </row>
    <row r="251" spans="1:13" x14ac:dyDescent="0.25">
      <c r="A251" s="484"/>
      <c r="B251" s="484"/>
      <c r="C251" s="484"/>
      <c r="D251" s="484"/>
      <c r="E251" s="485" t="s">
        <v>220</v>
      </c>
      <c r="F251" s="484"/>
      <c r="G251" s="485" t="s">
        <v>221</v>
      </c>
      <c r="H251" s="484"/>
      <c r="I251" s="485" t="s">
        <v>222</v>
      </c>
    </row>
    <row r="252" spans="1:13" x14ac:dyDescent="0.25">
      <c r="A252" s="38" t="s">
        <v>578</v>
      </c>
    </row>
    <row r="253" spans="1:13" x14ac:dyDescent="0.25">
      <c r="B253" s="637" t="s">
        <v>579</v>
      </c>
      <c r="E253" s="473"/>
      <c r="F253" s="466"/>
      <c r="G253" s="473"/>
      <c r="H253" s="466"/>
      <c r="I253" s="473"/>
    </row>
    <row r="254" spans="1:13" x14ac:dyDescent="0.25">
      <c r="B254" s="637" t="s">
        <v>580</v>
      </c>
      <c r="E254" s="476"/>
      <c r="G254" s="476"/>
      <c r="I254" s="476"/>
    </row>
    <row r="255" spans="1:13" x14ac:dyDescent="0.25">
      <c r="C255" s="637" t="s">
        <v>535</v>
      </c>
      <c r="E255" s="479"/>
      <c r="F255" s="466"/>
      <c r="G255" s="473">
        <v>351785</v>
      </c>
      <c r="H255" s="466"/>
      <c r="I255" s="479"/>
    </row>
    <row r="256" spans="1:13" x14ac:dyDescent="0.25">
      <c r="C256" s="637" t="s">
        <v>536</v>
      </c>
      <c r="E256" s="488"/>
      <c r="G256" s="471">
        <v>172218</v>
      </c>
      <c r="H256" s="466"/>
      <c r="I256" s="488"/>
    </row>
    <row r="257" spans="2:9" x14ac:dyDescent="0.25">
      <c r="D257" s="637" t="s">
        <v>8</v>
      </c>
      <c r="E257" s="488"/>
      <c r="G257" s="471">
        <f>SUM(G255:G256)</f>
        <v>524003</v>
      </c>
      <c r="H257" s="466"/>
      <c r="I257" s="488"/>
    </row>
    <row r="258" spans="2:9" x14ac:dyDescent="0.25">
      <c r="E258" s="486"/>
      <c r="G258" s="473"/>
      <c r="H258" s="466"/>
    </row>
    <row r="259" spans="2:9" x14ac:dyDescent="0.25">
      <c r="B259" s="637" t="s">
        <v>581</v>
      </c>
      <c r="E259" s="486"/>
      <c r="G259" s="473"/>
      <c r="H259" s="466"/>
      <c r="I259" s="480"/>
    </row>
    <row r="260" spans="2:9" x14ac:dyDescent="0.25">
      <c r="C260" s="637" t="s">
        <v>535</v>
      </c>
      <c r="E260" s="488"/>
      <c r="F260" s="466"/>
      <c r="G260" s="473">
        <v>30922</v>
      </c>
      <c r="H260" s="466"/>
      <c r="I260" s="488"/>
    </row>
    <row r="261" spans="2:9" x14ac:dyDescent="0.25">
      <c r="C261" s="637" t="s">
        <v>536</v>
      </c>
      <c r="E261" s="488"/>
      <c r="G261" s="473">
        <v>8967</v>
      </c>
      <c r="H261" s="466"/>
      <c r="I261" s="488"/>
    </row>
    <row r="262" spans="2:9" x14ac:dyDescent="0.25">
      <c r="C262" s="637" t="s">
        <v>177</v>
      </c>
      <c r="E262" s="488"/>
      <c r="G262" s="471">
        <v>2896</v>
      </c>
      <c r="H262" s="466"/>
      <c r="I262" s="488"/>
    </row>
    <row r="263" spans="2:9" x14ac:dyDescent="0.25">
      <c r="D263" s="637" t="s">
        <v>8</v>
      </c>
      <c r="E263" s="488"/>
      <c r="G263" s="471">
        <f>SUM(G260:G262)</f>
        <v>42785</v>
      </c>
      <c r="H263" s="466"/>
      <c r="I263" s="488"/>
    </row>
    <row r="264" spans="2:9" x14ac:dyDescent="0.25">
      <c r="E264" s="486"/>
      <c r="G264" s="476"/>
      <c r="I264" s="486"/>
    </row>
    <row r="265" spans="2:9" x14ac:dyDescent="0.25">
      <c r="B265" s="637" t="s">
        <v>582</v>
      </c>
      <c r="E265" s="486"/>
      <c r="G265" s="473"/>
      <c r="H265" s="466"/>
      <c r="I265" s="480"/>
    </row>
    <row r="266" spans="2:9" x14ac:dyDescent="0.25">
      <c r="C266" s="637" t="s">
        <v>535</v>
      </c>
      <c r="E266" s="488"/>
      <c r="F266" s="466"/>
      <c r="G266" s="473">
        <v>38239</v>
      </c>
      <c r="H266" s="466"/>
      <c r="I266" s="488"/>
    </row>
    <row r="267" spans="2:9" x14ac:dyDescent="0.25">
      <c r="C267" s="637" t="s">
        <v>536</v>
      </c>
      <c r="E267" s="488"/>
      <c r="G267" s="471">
        <v>3528</v>
      </c>
      <c r="H267" s="466"/>
      <c r="I267" s="488"/>
    </row>
    <row r="268" spans="2:9" x14ac:dyDescent="0.25">
      <c r="D268" s="637" t="s">
        <v>8</v>
      </c>
      <c r="E268" s="488"/>
      <c r="G268" s="471">
        <f>SUM(G266:G267)</f>
        <v>41767</v>
      </c>
      <c r="H268" s="466"/>
      <c r="I268" s="488"/>
    </row>
    <row r="269" spans="2:9" x14ac:dyDescent="0.25">
      <c r="E269" s="486"/>
      <c r="G269" s="476"/>
      <c r="I269" s="435"/>
    </row>
    <row r="270" spans="2:9" x14ac:dyDescent="0.25">
      <c r="B270" s="637" t="s">
        <v>583</v>
      </c>
      <c r="E270" s="486"/>
      <c r="G270" s="473"/>
      <c r="H270" s="466"/>
      <c r="I270" s="480"/>
    </row>
    <row r="271" spans="2:9" x14ac:dyDescent="0.25">
      <c r="C271" s="637" t="s">
        <v>535</v>
      </c>
      <c r="E271" s="488"/>
      <c r="F271" s="466"/>
      <c r="G271" s="473">
        <v>159523</v>
      </c>
      <c r="H271" s="466"/>
      <c r="I271" s="488"/>
    </row>
    <row r="272" spans="2:9" x14ac:dyDescent="0.25">
      <c r="C272" s="637" t="s">
        <v>536</v>
      </c>
      <c r="E272" s="488"/>
      <c r="G272" s="471">
        <v>43141</v>
      </c>
      <c r="H272" s="466"/>
      <c r="I272" s="488"/>
    </row>
    <row r="273" spans="2:9" x14ac:dyDescent="0.25">
      <c r="D273" s="637" t="s">
        <v>8</v>
      </c>
      <c r="E273" s="488"/>
      <c r="G273" s="471">
        <f>SUM(G271:G272)</f>
        <v>202664</v>
      </c>
      <c r="H273" s="466"/>
      <c r="I273" s="488"/>
    </row>
    <row r="274" spans="2:9" x14ac:dyDescent="0.25">
      <c r="E274" s="435"/>
      <c r="I274" s="435"/>
    </row>
    <row r="275" spans="2:9" x14ac:dyDescent="0.25">
      <c r="B275" s="637" t="s">
        <v>584</v>
      </c>
      <c r="E275" s="435"/>
      <c r="G275" s="466"/>
      <c r="H275" s="466"/>
      <c r="I275" s="435"/>
    </row>
    <row r="276" spans="2:9" x14ac:dyDescent="0.25">
      <c r="C276" s="637" t="s">
        <v>535</v>
      </c>
      <c r="E276" s="481"/>
      <c r="F276" s="466"/>
      <c r="G276" s="473">
        <v>121201</v>
      </c>
      <c r="H276" s="466"/>
      <c r="I276" s="488"/>
    </row>
    <row r="277" spans="2:9" x14ac:dyDescent="0.25">
      <c r="C277" s="637" t="s">
        <v>536</v>
      </c>
      <c r="E277" s="488"/>
      <c r="G277" s="471">
        <v>34315</v>
      </c>
      <c r="H277" s="466"/>
      <c r="I277" s="488"/>
    </row>
    <row r="278" spans="2:9" x14ac:dyDescent="0.25">
      <c r="D278" s="637" t="s">
        <v>8</v>
      </c>
      <c r="E278" s="488"/>
      <c r="G278" s="471">
        <f>SUM(G276:G277)</f>
        <v>155516</v>
      </c>
      <c r="H278" s="466"/>
      <c r="I278" s="488"/>
    </row>
    <row r="279" spans="2:9" x14ac:dyDescent="0.25">
      <c r="E279" s="486"/>
      <c r="G279" s="476"/>
    </row>
    <row r="280" spans="2:9" x14ac:dyDescent="0.25">
      <c r="B280" s="637" t="s">
        <v>585</v>
      </c>
      <c r="E280" s="486"/>
      <c r="G280" s="473"/>
      <c r="H280" s="466"/>
      <c r="I280" s="480"/>
    </row>
    <row r="281" spans="2:9" x14ac:dyDescent="0.25">
      <c r="C281" s="637" t="s">
        <v>535</v>
      </c>
      <c r="E281" s="488"/>
      <c r="F281" s="466"/>
      <c r="G281" s="473">
        <v>65339</v>
      </c>
      <c r="H281" s="466"/>
      <c r="I281" s="488"/>
    </row>
    <row r="282" spans="2:9" x14ac:dyDescent="0.25">
      <c r="C282" s="637" t="s">
        <v>536</v>
      </c>
      <c r="E282" s="488"/>
      <c r="G282" s="471">
        <v>52893</v>
      </c>
      <c r="H282" s="466"/>
      <c r="I282" s="488"/>
    </row>
    <row r="283" spans="2:9" x14ac:dyDescent="0.25">
      <c r="D283" s="637" t="s">
        <v>8</v>
      </c>
      <c r="E283" s="488"/>
      <c r="G283" s="471">
        <f>SUM(G281:G282)</f>
        <v>118232</v>
      </c>
      <c r="H283" s="466"/>
      <c r="I283" s="488"/>
    </row>
    <row r="284" spans="2:9" x14ac:dyDescent="0.25">
      <c r="E284" s="486"/>
      <c r="G284" s="476"/>
      <c r="I284" s="486"/>
    </row>
    <row r="285" spans="2:9" x14ac:dyDescent="0.25">
      <c r="B285" s="637" t="s">
        <v>586</v>
      </c>
      <c r="E285" s="486"/>
      <c r="G285" s="473"/>
      <c r="H285" s="466"/>
      <c r="I285" s="480"/>
    </row>
    <row r="286" spans="2:9" x14ac:dyDescent="0.25">
      <c r="C286" s="637" t="s">
        <v>535</v>
      </c>
      <c r="E286" s="488"/>
      <c r="F286" s="466"/>
      <c r="G286" s="473">
        <f>66158+3546</f>
        <v>69704</v>
      </c>
      <c r="H286" s="466"/>
      <c r="I286" s="488"/>
    </row>
    <row r="287" spans="2:9" x14ac:dyDescent="0.25">
      <c r="C287" s="637" t="s">
        <v>536</v>
      </c>
      <c r="E287" s="488"/>
      <c r="G287" s="471">
        <v>18269</v>
      </c>
      <c r="H287" s="466"/>
      <c r="I287" s="488"/>
    </row>
    <row r="288" spans="2:9" x14ac:dyDescent="0.25">
      <c r="D288" s="637" t="s">
        <v>8</v>
      </c>
      <c r="E288" s="488"/>
      <c r="G288" s="471">
        <f>SUM(G286:G287)</f>
        <v>87973</v>
      </c>
      <c r="H288" s="466"/>
      <c r="I288" s="417" t="s">
        <v>140</v>
      </c>
    </row>
    <row r="289" spans="1:9" x14ac:dyDescent="0.25">
      <c r="A289" s="484"/>
      <c r="B289" s="484"/>
      <c r="C289" s="484"/>
      <c r="D289" s="484"/>
      <c r="E289" s="484"/>
      <c r="F289" s="484"/>
      <c r="G289" s="484"/>
      <c r="H289" s="484"/>
      <c r="I289" s="644" t="s">
        <v>492</v>
      </c>
    </row>
    <row r="290" spans="1:9" x14ac:dyDescent="0.25">
      <c r="A290" s="484"/>
      <c r="B290" s="484"/>
      <c r="C290" s="484"/>
      <c r="D290" s="484"/>
      <c r="E290" s="644" t="s">
        <v>218</v>
      </c>
      <c r="F290" s="484"/>
      <c r="G290" s="484"/>
      <c r="H290" s="484"/>
      <c r="I290" s="644" t="s">
        <v>219</v>
      </c>
    </row>
    <row r="291" spans="1:9" x14ac:dyDescent="0.25">
      <c r="A291" s="484"/>
      <c r="B291" s="484"/>
      <c r="C291" s="484"/>
      <c r="D291" s="484"/>
      <c r="E291" s="485" t="s">
        <v>220</v>
      </c>
      <c r="F291" s="484"/>
      <c r="G291" s="485" t="s">
        <v>221</v>
      </c>
      <c r="H291" s="484"/>
      <c r="I291" s="485" t="s">
        <v>222</v>
      </c>
    </row>
    <row r="292" spans="1:9" x14ac:dyDescent="0.25">
      <c r="B292" s="637" t="s">
        <v>587</v>
      </c>
      <c r="E292" s="486"/>
      <c r="G292" s="473"/>
      <c r="H292" s="466"/>
      <c r="I292" s="480"/>
    </row>
    <row r="293" spans="1:9" x14ac:dyDescent="0.25">
      <c r="C293" s="637" t="s">
        <v>535</v>
      </c>
      <c r="E293" s="488"/>
      <c r="F293" s="466"/>
      <c r="G293" s="473">
        <v>345896</v>
      </c>
      <c r="H293" s="466"/>
      <c r="I293" s="488"/>
    </row>
    <row r="294" spans="1:9" x14ac:dyDescent="0.25">
      <c r="C294" s="637" t="s">
        <v>536</v>
      </c>
      <c r="E294" s="488"/>
      <c r="G294" s="473">
        <v>83567</v>
      </c>
      <c r="H294" s="466"/>
      <c r="I294" s="488"/>
    </row>
    <row r="295" spans="1:9" x14ac:dyDescent="0.25">
      <c r="C295" s="637" t="s">
        <v>177</v>
      </c>
      <c r="E295" s="488"/>
      <c r="G295" s="471">
        <v>49418</v>
      </c>
      <c r="H295" s="466"/>
      <c r="I295" s="488"/>
    </row>
    <row r="296" spans="1:9" x14ac:dyDescent="0.25">
      <c r="D296" s="637" t="s">
        <v>8</v>
      </c>
      <c r="E296" s="488"/>
      <c r="G296" s="471">
        <f>SUM(G293:G295)</f>
        <v>478881</v>
      </c>
      <c r="H296" s="466"/>
      <c r="I296" s="488"/>
    </row>
    <row r="297" spans="1:9" x14ac:dyDescent="0.25">
      <c r="D297" s="637"/>
      <c r="E297" s="488"/>
      <c r="G297" s="480"/>
      <c r="H297" s="466"/>
    </row>
    <row r="298" spans="1:9" x14ac:dyDescent="0.25">
      <c r="B298" s="637" t="s">
        <v>588</v>
      </c>
      <c r="E298" s="486"/>
      <c r="G298" s="473"/>
      <c r="H298" s="466"/>
      <c r="I298" s="480"/>
    </row>
    <row r="299" spans="1:9" x14ac:dyDescent="0.25">
      <c r="C299" s="637" t="s">
        <v>535</v>
      </c>
      <c r="E299" s="488"/>
      <c r="F299" s="466"/>
      <c r="G299" s="473">
        <v>40063</v>
      </c>
      <c r="H299" s="466"/>
      <c r="I299" s="488"/>
    </row>
    <row r="300" spans="1:9" x14ac:dyDescent="0.25">
      <c r="C300" s="637" t="s">
        <v>536</v>
      </c>
      <c r="E300" s="488"/>
      <c r="G300" s="473">
        <v>11463</v>
      </c>
      <c r="H300" s="466"/>
      <c r="I300" s="488"/>
    </row>
    <row r="301" spans="1:9" x14ac:dyDescent="0.25">
      <c r="C301" s="637" t="s">
        <v>177</v>
      </c>
      <c r="E301" s="488"/>
      <c r="G301" s="471">
        <v>5689</v>
      </c>
      <c r="H301" s="466"/>
      <c r="I301" s="488"/>
    </row>
    <row r="302" spans="1:9" x14ac:dyDescent="0.25">
      <c r="D302" s="637" t="s">
        <v>8</v>
      </c>
      <c r="E302" s="488"/>
      <c r="G302" s="471">
        <f>SUM(G299:G301)</f>
        <v>57215</v>
      </c>
      <c r="H302" s="466"/>
      <c r="I302" s="488"/>
    </row>
    <row r="303" spans="1:9" x14ac:dyDescent="0.25">
      <c r="D303" s="637" t="s">
        <v>589</v>
      </c>
      <c r="E303" s="488"/>
      <c r="G303" s="471">
        <f>+G257+G263+G268+G273+G278+G283+G288+G296+G302</f>
        <v>1709036</v>
      </c>
      <c r="H303" s="466"/>
      <c r="I303" s="488"/>
    </row>
    <row r="304" spans="1:9" x14ac:dyDescent="0.25">
      <c r="E304" s="486"/>
      <c r="G304" s="476"/>
      <c r="I304" s="486"/>
    </row>
    <row r="305" spans="2:9" x14ac:dyDescent="0.25">
      <c r="B305" s="637" t="s">
        <v>590</v>
      </c>
      <c r="E305" s="486"/>
      <c r="G305" s="473"/>
      <c r="H305" s="466"/>
      <c r="I305" s="480"/>
    </row>
    <row r="306" spans="2:9" x14ac:dyDescent="0.25">
      <c r="B306" s="637"/>
      <c r="C306" s="404" t="s">
        <v>591</v>
      </c>
      <c r="E306" s="486"/>
      <c r="G306" s="475">
        <f>3515154</f>
        <v>3515154</v>
      </c>
      <c r="H306" s="466"/>
      <c r="I306" s="480"/>
    </row>
    <row r="307" spans="2:9" x14ac:dyDescent="0.25">
      <c r="D307" s="637"/>
      <c r="E307" s="488"/>
      <c r="G307" s="480"/>
      <c r="H307" s="466"/>
    </row>
    <row r="308" spans="2:9" x14ac:dyDescent="0.25">
      <c r="B308" s="637" t="s">
        <v>592</v>
      </c>
      <c r="E308" s="486"/>
      <c r="G308" s="473"/>
      <c r="H308" s="466"/>
      <c r="I308" s="480"/>
    </row>
    <row r="309" spans="2:9" x14ac:dyDescent="0.25">
      <c r="B309" s="637" t="s">
        <v>580</v>
      </c>
      <c r="E309" s="486"/>
      <c r="G309" s="473"/>
      <c r="H309" s="466"/>
      <c r="I309" s="480"/>
    </row>
    <row r="310" spans="2:9" x14ac:dyDescent="0.25">
      <c r="C310" s="637" t="s">
        <v>535</v>
      </c>
      <c r="E310" s="488"/>
      <c r="F310" s="466"/>
      <c r="G310" s="473">
        <v>469425</v>
      </c>
      <c r="H310" s="466"/>
      <c r="I310" s="488"/>
    </row>
    <row r="311" spans="2:9" x14ac:dyDescent="0.25">
      <c r="C311" s="637" t="s">
        <v>536</v>
      </c>
      <c r="E311" s="488"/>
      <c r="G311" s="473">
        <f>436964-250000</f>
        <v>186964</v>
      </c>
      <c r="H311" s="466"/>
      <c r="I311" s="488"/>
    </row>
    <row r="312" spans="2:9" x14ac:dyDescent="0.25">
      <c r="C312" s="637" t="s">
        <v>177</v>
      </c>
      <c r="E312" s="488"/>
      <c r="G312" s="471">
        <v>101194</v>
      </c>
      <c r="H312" s="466"/>
      <c r="I312" s="488"/>
    </row>
    <row r="313" spans="2:9" x14ac:dyDescent="0.25">
      <c r="D313" s="637" t="s">
        <v>8</v>
      </c>
      <c r="E313" s="488"/>
      <c r="G313" s="471">
        <f>SUM(G310:G312)</f>
        <v>757583</v>
      </c>
      <c r="H313" s="466"/>
      <c r="I313" s="488"/>
    </row>
    <row r="314" spans="2:9" x14ac:dyDescent="0.25">
      <c r="E314" s="486"/>
      <c r="G314" s="473"/>
      <c r="H314" s="466"/>
      <c r="I314" s="480"/>
    </row>
    <row r="315" spans="2:9" x14ac:dyDescent="0.25">
      <c r="B315" s="637" t="s">
        <v>593</v>
      </c>
      <c r="E315" s="486"/>
      <c r="G315" s="473"/>
      <c r="H315" s="466"/>
      <c r="I315" s="480"/>
    </row>
    <row r="316" spans="2:9" x14ac:dyDescent="0.25">
      <c r="C316" s="637" t="s">
        <v>594</v>
      </c>
      <c r="E316" s="488"/>
      <c r="G316" s="471">
        <f>6144921-750000</f>
        <v>5394921</v>
      </c>
      <c r="H316" s="466"/>
      <c r="I316" s="488"/>
    </row>
    <row r="317" spans="2:9" x14ac:dyDescent="0.25">
      <c r="E317" s="486"/>
      <c r="G317" s="473"/>
      <c r="H317" s="466"/>
      <c r="I317" s="480"/>
    </row>
    <row r="318" spans="2:9" x14ac:dyDescent="0.25">
      <c r="B318" s="637" t="s">
        <v>595</v>
      </c>
      <c r="E318" s="486"/>
      <c r="G318" s="473"/>
      <c r="H318" s="466"/>
      <c r="I318" s="480"/>
    </row>
    <row r="319" spans="2:9" x14ac:dyDescent="0.25">
      <c r="C319" s="637" t="s">
        <v>594</v>
      </c>
      <c r="E319" s="488"/>
      <c r="G319" s="471">
        <v>2412791</v>
      </c>
      <c r="H319" s="466"/>
      <c r="I319" s="488"/>
    </row>
    <row r="320" spans="2:9" x14ac:dyDescent="0.25">
      <c r="E320" s="486"/>
      <c r="G320" s="476"/>
      <c r="I320" s="489"/>
    </row>
    <row r="321" spans="1:9" x14ac:dyDescent="0.25">
      <c r="B321" s="637" t="s">
        <v>596</v>
      </c>
      <c r="E321" s="486"/>
      <c r="G321" s="473"/>
      <c r="H321" s="466"/>
      <c r="I321" s="480"/>
    </row>
    <row r="322" spans="1:9" x14ac:dyDescent="0.25">
      <c r="C322" s="637" t="s">
        <v>535</v>
      </c>
      <c r="E322" s="488"/>
      <c r="F322" s="466"/>
      <c r="G322" s="473">
        <v>304098</v>
      </c>
      <c r="H322" s="466"/>
      <c r="I322" s="488"/>
    </row>
    <row r="323" spans="1:9" x14ac:dyDescent="0.25">
      <c r="C323" s="637" t="s">
        <v>536</v>
      </c>
      <c r="E323" s="488"/>
      <c r="G323" s="473">
        <v>79289</v>
      </c>
      <c r="H323" s="466"/>
      <c r="I323" s="488"/>
    </row>
    <row r="324" spans="1:9" x14ac:dyDescent="0.25">
      <c r="C324" s="637" t="s">
        <v>177</v>
      </c>
      <c r="E324" s="488"/>
      <c r="G324" s="471">
        <v>67296</v>
      </c>
      <c r="H324" s="466"/>
      <c r="I324" s="488"/>
    </row>
    <row r="325" spans="1:9" x14ac:dyDescent="0.25">
      <c r="D325" s="637" t="s">
        <v>8</v>
      </c>
      <c r="E325" s="488"/>
      <c r="G325" s="471">
        <f>SUM(G322:G324)</f>
        <v>450683</v>
      </c>
      <c r="H325" s="466"/>
      <c r="I325" s="488"/>
    </row>
    <row r="326" spans="1:9" x14ac:dyDescent="0.25">
      <c r="D326" s="637"/>
      <c r="E326" s="488"/>
      <c r="G326" s="480"/>
      <c r="H326" s="466"/>
      <c r="I326" s="488"/>
    </row>
    <row r="327" spans="1:9" x14ac:dyDescent="0.25">
      <c r="B327" s="637" t="s">
        <v>597</v>
      </c>
      <c r="E327" s="486"/>
      <c r="G327" s="473"/>
      <c r="H327" s="466"/>
      <c r="I327" s="480"/>
    </row>
    <row r="328" spans="1:9" x14ac:dyDescent="0.25">
      <c r="C328" s="637" t="s">
        <v>535</v>
      </c>
      <c r="E328" s="488"/>
      <c r="F328" s="466"/>
      <c r="G328" s="473">
        <f>1029330+150000</f>
        <v>1179330</v>
      </c>
      <c r="H328" s="466"/>
      <c r="I328" s="488"/>
    </row>
    <row r="329" spans="1:9" x14ac:dyDescent="0.25">
      <c r="C329" s="637" t="s">
        <v>536</v>
      </c>
      <c r="E329" s="488"/>
      <c r="G329" s="471">
        <v>62538</v>
      </c>
      <c r="H329" s="466"/>
      <c r="I329" s="488"/>
    </row>
    <row r="330" spans="1:9" x14ac:dyDescent="0.25">
      <c r="D330" s="637" t="s">
        <v>8</v>
      </c>
      <c r="E330" s="488"/>
      <c r="G330" s="471">
        <f>SUM(G328:G329)</f>
        <v>1241868</v>
      </c>
      <c r="H330" s="466"/>
      <c r="I330" s="488"/>
    </row>
    <row r="331" spans="1:9" x14ac:dyDescent="0.25">
      <c r="E331" s="486"/>
      <c r="G331" s="473"/>
      <c r="H331" s="466"/>
      <c r="I331" s="489" t="s">
        <v>140</v>
      </c>
    </row>
    <row r="332" spans="1:9" x14ac:dyDescent="0.25">
      <c r="A332" s="484"/>
      <c r="B332" s="484"/>
      <c r="C332" s="484"/>
      <c r="D332" s="484"/>
      <c r="E332" s="484"/>
      <c r="F332" s="484"/>
      <c r="G332" s="484"/>
      <c r="H332" s="484"/>
      <c r="I332" s="644" t="s">
        <v>492</v>
      </c>
    </row>
    <row r="333" spans="1:9" x14ac:dyDescent="0.25">
      <c r="A333" s="484"/>
      <c r="B333" s="484"/>
      <c r="C333" s="484"/>
      <c r="D333" s="484"/>
      <c r="E333" s="644" t="s">
        <v>218</v>
      </c>
      <c r="F333" s="484"/>
      <c r="G333" s="484"/>
      <c r="H333" s="484"/>
      <c r="I333" s="644" t="s">
        <v>219</v>
      </c>
    </row>
    <row r="334" spans="1:9" x14ac:dyDescent="0.25">
      <c r="A334" s="484"/>
      <c r="B334" s="484"/>
      <c r="C334" s="484"/>
      <c r="D334" s="484"/>
      <c r="E334" s="485" t="s">
        <v>220</v>
      </c>
      <c r="F334" s="484"/>
      <c r="G334" s="485" t="s">
        <v>221</v>
      </c>
      <c r="H334" s="484"/>
      <c r="I334" s="485" t="s">
        <v>222</v>
      </c>
    </row>
    <row r="335" spans="1:9" x14ac:dyDescent="0.25">
      <c r="B335" s="637" t="s">
        <v>598</v>
      </c>
      <c r="E335" s="486"/>
      <c r="G335" s="473"/>
      <c r="H335" s="466"/>
      <c r="I335" s="480"/>
    </row>
    <row r="336" spans="1:9" x14ac:dyDescent="0.25">
      <c r="C336" s="637" t="s">
        <v>535</v>
      </c>
      <c r="E336" s="488"/>
      <c r="F336" s="466"/>
      <c r="G336" s="473">
        <v>501431</v>
      </c>
      <c r="H336" s="466"/>
      <c r="I336" s="488"/>
    </row>
    <row r="337" spans="2:9" x14ac:dyDescent="0.25">
      <c r="C337" s="637" t="s">
        <v>536</v>
      </c>
      <c r="E337" s="488"/>
      <c r="G337" s="471">
        <v>569003</v>
      </c>
      <c r="H337" s="466"/>
      <c r="I337" s="488"/>
    </row>
    <row r="338" spans="2:9" x14ac:dyDescent="0.25">
      <c r="D338" s="637" t="s">
        <v>8</v>
      </c>
      <c r="E338" s="488"/>
      <c r="G338" s="471">
        <f>SUM(G336:G337)</f>
        <v>1070434</v>
      </c>
      <c r="H338" s="466"/>
      <c r="I338" s="488"/>
    </row>
    <row r="339" spans="2:9" x14ac:dyDescent="0.25">
      <c r="E339" s="486"/>
      <c r="G339" s="476"/>
    </row>
    <row r="340" spans="2:9" x14ac:dyDescent="0.25">
      <c r="B340" s="637" t="s">
        <v>599</v>
      </c>
      <c r="E340" s="486"/>
      <c r="G340" s="473"/>
      <c r="H340" s="466"/>
      <c r="I340" s="480"/>
    </row>
    <row r="341" spans="2:9" x14ac:dyDescent="0.25">
      <c r="C341" s="637" t="s">
        <v>535</v>
      </c>
      <c r="E341" s="488"/>
      <c r="F341" s="466"/>
      <c r="G341" s="473">
        <f>922006</f>
        <v>922006</v>
      </c>
      <c r="H341" s="466"/>
      <c r="I341" s="488"/>
    </row>
    <row r="342" spans="2:9" x14ac:dyDescent="0.25">
      <c r="C342" s="637" t="s">
        <v>536</v>
      </c>
      <c r="E342" s="488"/>
      <c r="G342" s="473">
        <f>1242874-50000</f>
        <v>1192874</v>
      </c>
      <c r="H342" s="466"/>
      <c r="I342" s="488"/>
    </row>
    <row r="343" spans="2:9" x14ac:dyDescent="0.25">
      <c r="C343" s="637" t="s">
        <v>177</v>
      </c>
      <c r="E343" s="488"/>
      <c r="G343" s="471">
        <v>145680</v>
      </c>
      <c r="H343" s="466"/>
      <c r="I343" s="488"/>
    </row>
    <row r="344" spans="2:9" x14ac:dyDescent="0.25">
      <c r="D344" s="637" t="s">
        <v>8</v>
      </c>
      <c r="E344" s="488"/>
      <c r="G344" s="471">
        <f>SUM(G341:G343)</f>
        <v>2260560</v>
      </c>
      <c r="H344" s="466"/>
      <c r="I344" s="488"/>
    </row>
    <row r="345" spans="2:9" x14ac:dyDescent="0.25">
      <c r="E345" s="486"/>
      <c r="G345" s="476"/>
      <c r="I345" s="435"/>
    </row>
    <row r="346" spans="2:9" x14ac:dyDescent="0.25">
      <c r="B346" s="637" t="s">
        <v>600</v>
      </c>
      <c r="E346" s="486"/>
      <c r="G346" s="473"/>
      <c r="H346" s="466"/>
      <c r="I346" s="480"/>
    </row>
    <row r="347" spans="2:9" x14ac:dyDescent="0.25">
      <c r="C347" s="637" t="s">
        <v>535</v>
      </c>
      <c r="E347" s="488"/>
      <c r="F347" s="466"/>
      <c r="G347" s="473">
        <v>776198</v>
      </c>
      <c r="H347" s="466"/>
      <c r="I347" s="488"/>
    </row>
    <row r="348" spans="2:9" x14ac:dyDescent="0.25">
      <c r="C348" s="637" t="s">
        <v>536</v>
      </c>
      <c r="E348" s="488"/>
      <c r="G348" s="473">
        <f>956329-100000</f>
        <v>856329</v>
      </c>
      <c r="H348" s="466"/>
      <c r="I348" s="488"/>
    </row>
    <row r="349" spans="2:9" x14ac:dyDescent="0.25">
      <c r="C349" s="637" t="s">
        <v>177</v>
      </c>
      <c r="E349" s="488"/>
      <c r="G349" s="471">
        <v>52894</v>
      </c>
      <c r="H349" s="466"/>
      <c r="I349" s="488"/>
    </row>
    <row r="350" spans="2:9" x14ac:dyDescent="0.25">
      <c r="D350" s="637" t="s">
        <v>8</v>
      </c>
      <c r="E350" s="488"/>
      <c r="G350" s="471">
        <f>SUM(G347:G349)</f>
        <v>1685421</v>
      </c>
      <c r="H350" s="466"/>
      <c r="I350" s="488"/>
    </row>
    <row r="351" spans="2:9" x14ac:dyDescent="0.25">
      <c r="D351" s="637"/>
      <c r="E351" s="488"/>
      <c r="G351" s="480"/>
      <c r="H351" s="466"/>
      <c r="I351" s="488"/>
    </row>
    <row r="352" spans="2:9" x14ac:dyDescent="0.25">
      <c r="B352" s="637" t="s">
        <v>601</v>
      </c>
      <c r="E352" s="486"/>
      <c r="G352" s="473"/>
      <c r="H352" s="466"/>
      <c r="I352" s="480"/>
    </row>
    <row r="353" spans="1:9" x14ac:dyDescent="0.25">
      <c r="C353" s="637" t="s">
        <v>594</v>
      </c>
      <c r="E353" s="488"/>
      <c r="G353" s="471">
        <v>502145</v>
      </c>
      <c r="H353" s="466"/>
      <c r="I353" s="488"/>
    </row>
    <row r="354" spans="1:9" x14ac:dyDescent="0.25">
      <c r="D354" s="637" t="s">
        <v>602</v>
      </c>
      <c r="E354" s="488"/>
      <c r="G354" s="471">
        <f>+G313+G316+G319+G325+G330+G338+G344+G350+G353</f>
        <v>15776406</v>
      </c>
      <c r="H354" s="466"/>
      <c r="I354" s="488"/>
    </row>
    <row r="355" spans="1:9" x14ac:dyDescent="0.25">
      <c r="E355" s="486"/>
      <c r="G355" s="473"/>
      <c r="H355" s="466"/>
      <c r="I355" s="480"/>
    </row>
    <row r="356" spans="1:9" x14ac:dyDescent="0.25">
      <c r="B356" s="637" t="s">
        <v>603</v>
      </c>
      <c r="E356" s="486"/>
      <c r="G356" s="473"/>
      <c r="H356" s="466"/>
      <c r="I356" s="480"/>
    </row>
    <row r="357" spans="1:9" x14ac:dyDescent="0.25">
      <c r="C357" s="637" t="s">
        <v>535</v>
      </c>
      <c r="E357" s="488"/>
      <c r="G357" s="473">
        <v>25599</v>
      </c>
      <c r="H357" s="466"/>
      <c r="I357" s="488"/>
    </row>
    <row r="358" spans="1:9" x14ac:dyDescent="0.25">
      <c r="C358" s="637" t="s">
        <v>536</v>
      </c>
      <c r="E358" s="488"/>
      <c r="G358" s="471">
        <v>2279</v>
      </c>
      <c r="H358" s="466"/>
      <c r="I358" s="488"/>
    </row>
    <row r="359" spans="1:9" x14ac:dyDescent="0.25">
      <c r="D359" s="637" t="s">
        <v>604</v>
      </c>
      <c r="E359" s="486"/>
      <c r="G359" s="476"/>
      <c r="I359" s="486"/>
    </row>
    <row r="360" spans="1:9" x14ac:dyDescent="0.25">
      <c r="D360" s="637" t="s">
        <v>605</v>
      </c>
      <c r="E360" s="488"/>
      <c r="G360" s="471">
        <f>SUM(G357:G359)</f>
        <v>27878</v>
      </c>
      <c r="H360" s="466"/>
      <c r="I360" s="488"/>
    </row>
    <row r="361" spans="1:9" x14ac:dyDescent="0.25">
      <c r="E361" s="486"/>
      <c r="G361" s="473"/>
      <c r="H361" s="466"/>
      <c r="I361" s="489" t="s">
        <v>140</v>
      </c>
    </row>
    <row r="362" spans="1:9" x14ac:dyDescent="0.25">
      <c r="A362" s="484"/>
      <c r="B362" s="484"/>
      <c r="C362" s="484"/>
      <c r="D362" s="484"/>
      <c r="E362" s="484"/>
      <c r="F362" s="484"/>
      <c r="G362" s="484"/>
      <c r="H362" s="484"/>
      <c r="I362" s="644" t="s">
        <v>492</v>
      </c>
    </row>
    <row r="363" spans="1:9" x14ac:dyDescent="0.25">
      <c r="A363" s="484"/>
      <c r="B363" s="484"/>
      <c r="C363" s="484"/>
      <c r="D363" s="484"/>
      <c r="E363" s="644" t="s">
        <v>218</v>
      </c>
      <c r="F363" s="484"/>
      <c r="G363" s="484"/>
      <c r="H363" s="484"/>
      <c r="I363" s="644" t="s">
        <v>219</v>
      </c>
    </row>
    <row r="364" spans="1:9" x14ac:dyDescent="0.25">
      <c r="A364" s="484"/>
      <c r="B364" s="484"/>
      <c r="C364" s="484"/>
      <c r="D364" s="484"/>
      <c r="E364" s="485" t="s">
        <v>220</v>
      </c>
      <c r="F364" s="484"/>
      <c r="G364" s="485" t="s">
        <v>221</v>
      </c>
      <c r="H364" s="484"/>
      <c r="I364" s="485" t="s">
        <v>222</v>
      </c>
    </row>
    <row r="365" spans="1:9" x14ac:dyDescent="0.25">
      <c r="B365" s="637" t="s">
        <v>606</v>
      </c>
      <c r="E365" s="486"/>
      <c r="G365" s="473"/>
      <c r="H365" s="466"/>
      <c r="I365" s="480"/>
    </row>
    <row r="366" spans="1:9" x14ac:dyDescent="0.25">
      <c r="C366" s="637" t="s">
        <v>535</v>
      </c>
      <c r="E366" s="488"/>
      <c r="G366" s="473">
        <f>131729-1773</f>
        <v>129956</v>
      </c>
      <c r="H366" s="466"/>
      <c r="I366" s="488"/>
    </row>
    <row r="367" spans="1:9" x14ac:dyDescent="0.25">
      <c r="C367" s="637" t="s">
        <v>536</v>
      </c>
      <c r="E367" s="488"/>
      <c r="G367" s="471">
        <v>26392</v>
      </c>
      <c r="H367" s="466"/>
      <c r="I367" s="488"/>
    </row>
    <row r="368" spans="1:9" x14ac:dyDescent="0.25">
      <c r="D368" s="637" t="s">
        <v>607</v>
      </c>
      <c r="E368" s="486"/>
      <c r="G368" s="476"/>
      <c r="I368" s="486"/>
    </row>
    <row r="369" spans="1:14" x14ac:dyDescent="0.25">
      <c r="D369" s="637" t="s">
        <v>608</v>
      </c>
      <c r="E369" s="488"/>
      <c r="G369" s="478">
        <f>SUM(G366:G367)</f>
        <v>156348</v>
      </c>
      <c r="H369" s="466"/>
      <c r="I369" s="488"/>
    </row>
    <row r="370" spans="1:14" x14ac:dyDescent="0.25">
      <c r="D370" s="637"/>
      <c r="E370" s="488"/>
      <c r="F370" s="435"/>
      <c r="G370" s="480"/>
      <c r="H370" s="481"/>
    </row>
    <row r="371" spans="1:14" x14ac:dyDescent="0.25">
      <c r="B371" s="404" t="s">
        <v>609</v>
      </c>
      <c r="D371" s="637"/>
      <c r="E371" s="490"/>
      <c r="F371" s="435"/>
      <c r="G371" s="478">
        <v>1235000</v>
      </c>
      <c r="H371" s="481"/>
      <c r="I371" s="490"/>
    </row>
    <row r="372" spans="1:14" x14ac:dyDescent="0.25">
      <c r="D372" s="637" t="s">
        <v>610</v>
      </c>
      <c r="E372" s="471">
        <v>22768758</v>
      </c>
      <c r="F372" s="466"/>
      <c r="G372" s="471">
        <f>+G303+G306+G354+G360+G369+G371</f>
        <v>22419822</v>
      </c>
      <c r="H372" s="466"/>
      <c r="I372" s="471">
        <f>+E372-G372</f>
        <v>348936</v>
      </c>
      <c r="J372" s="396">
        <f>G372-'GF-BudAct Exh 6'!G30</f>
        <v>0</v>
      </c>
      <c r="M372" s="396"/>
    </row>
    <row r="373" spans="1:14" x14ac:dyDescent="0.25">
      <c r="E373" s="476"/>
      <c r="G373" s="476"/>
      <c r="I373" s="476"/>
    </row>
    <row r="374" spans="1:14" x14ac:dyDescent="0.25">
      <c r="A374" s="42" t="s">
        <v>611</v>
      </c>
      <c r="E374" s="473"/>
      <c r="F374" s="466"/>
      <c r="G374" s="473"/>
      <c r="H374" s="466"/>
      <c r="I374" s="473"/>
    </row>
    <row r="375" spans="1:14" x14ac:dyDescent="0.25">
      <c r="B375" s="637" t="s">
        <v>612</v>
      </c>
      <c r="E375" s="473"/>
      <c r="F375" s="466"/>
      <c r="G375" s="476"/>
      <c r="I375" s="476"/>
    </row>
    <row r="376" spans="1:14" x14ac:dyDescent="0.25">
      <c r="C376" s="637" t="s">
        <v>535</v>
      </c>
      <c r="E376" s="479"/>
      <c r="F376" s="466"/>
      <c r="G376" s="473">
        <v>159537</v>
      </c>
      <c r="H376" s="466"/>
      <c r="I376" s="479"/>
      <c r="M376" s="396"/>
    </row>
    <row r="377" spans="1:14" x14ac:dyDescent="0.25">
      <c r="C377" s="637" t="s">
        <v>536</v>
      </c>
      <c r="E377" s="479"/>
      <c r="F377" s="466"/>
      <c r="G377" s="473">
        <v>103572</v>
      </c>
      <c r="H377" s="466"/>
      <c r="I377" s="479"/>
      <c r="N377" s="397"/>
    </row>
    <row r="378" spans="1:14" x14ac:dyDescent="0.25">
      <c r="C378" s="637" t="s">
        <v>177</v>
      </c>
      <c r="E378" s="488"/>
      <c r="F378" s="466"/>
      <c r="G378" s="471">
        <v>20325</v>
      </c>
      <c r="H378" s="466"/>
      <c r="I378" s="488"/>
      <c r="M378" s="396"/>
    </row>
    <row r="379" spans="1:14" x14ac:dyDescent="0.25">
      <c r="D379" s="637" t="s">
        <v>8</v>
      </c>
      <c r="E379" s="488"/>
      <c r="F379" s="466"/>
      <c r="G379" s="471">
        <f>SUM(G376:G378)</f>
        <v>283434</v>
      </c>
      <c r="H379" s="466"/>
      <c r="I379" s="488"/>
    </row>
    <row r="380" spans="1:14" x14ac:dyDescent="0.25">
      <c r="E380" s="473"/>
      <c r="F380" s="466"/>
      <c r="G380" s="473"/>
      <c r="H380" s="466"/>
      <c r="I380" s="489"/>
    </row>
    <row r="381" spans="1:14" x14ac:dyDescent="0.25">
      <c r="B381" s="637" t="s">
        <v>613</v>
      </c>
      <c r="E381" s="473"/>
      <c r="F381" s="466"/>
      <c r="G381" s="473"/>
      <c r="H381" s="466"/>
      <c r="I381" s="473"/>
    </row>
    <row r="382" spans="1:14" x14ac:dyDescent="0.25">
      <c r="C382" s="637" t="s">
        <v>614</v>
      </c>
      <c r="E382" s="491"/>
      <c r="F382" s="466"/>
      <c r="G382" s="471">
        <v>2024806</v>
      </c>
      <c r="H382" s="466"/>
      <c r="I382" s="491"/>
    </row>
    <row r="383" spans="1:14" x14ac:dyDescent="0.25">
      <c r="D383" s="637" t="s">
        <v>615</v>
      </c>
      <c r="E383" s="471">
        <v>2312261</v>
      </c>
      <c r="F383" s="466"/>
      <c r="G383" s="471">
        <f>+G379+G382</f>
        <v>2308240</v>
      </c>
      <c r="H383" s="466"/>
      <c r="I383" s="471">
        <f>+E383-G383</f>
        <v>4021</v>
      </c>
      <c r="J383" s="396">
        <f>G383-'GF-BudAct Exh 6'!G31</f>
        <v>0</v>
      </c>
    </row>
    <row r="384" spans="1:14" x14ac:dyDescent="0.25">
      <c r="D384" s="637"/>
      <c r="E384" s="480"/>
      <c r="F384" s="466"/>
      <c r="G384" s="480"/>
      <c r="H384" s="466"/>
      <c r="I384" s="480"/>
    </row>
    <row r="385" spans="1:13" x14ac:dyDescent="0.25">
      <c r="E385" s="476"/>
      <c r="G385" s="476"/>
    </row>
    <row r="386" spans="1:13" x14ac:dyDescent="0.25">
      <c r="A386" s="42" t="s">
        <v>616</v>
      </c>
      <c r="E386" s="473"/>
      <c r="F386" s="466"/>
      <c r="G386" s="473"/>
      <c r="H386" s="466"/>
      <c r="I386" s="473"/>
    </row>
    <row r="387" spans="1:13" x14ac:dyDescent="0.25">
      <c r="B387" s="637" t="s">
        <v>617</v>
      </c>
      <c r="E387" s="479"/>
      <c r="F387" s="466"/>
      <c r="G387" s="473">
        <f>31500000+619059</f>
        <v>32119059</v>
      </c>
      <c r="H387" s="466"/>
      <c r="I387" s="479"/>
    </row>
    <row r="388" spans="1:13" x14ac:dyDescent="0.25">
      <c r="B388" s="637" t="s">
        <v>618</v>
      </c>
      <c r="E388" s="479"/>
      <c r="F388" s="466"/>
      <c r="G388" s="473">
        <f>7418016-619059</f>
        <v>6798957</v>
      </c>
      <c r="H388" s="466"/>
      <c r="I388" s="479"/>
    </row>
    <row r="389" spans="1:13" x14ac:dyDescent="0.25">
      <c r="B389" s="637" t="s">
        <v>619</v>
      </c>
      <c r="E389" s="479"/>
      <c r="F389" s="466"/>
      <c r="G389" s="473">
        <v>2000000</v>
      </c>
      <c r="H389" s="466"/>
      <c r="I389" s="479"/>
    </row>
    <row r="390" spans="1:13" x14ac:dyDescent="0.25">
      <c r="B390" s="637" t="s">
        <v>620</v>
      </c>
      <c r="E390" s="491"/>
      <c r="F390" s="466"/>
      <c r="G390" s="471">
        <v>500000</v>
      </c>
      <c r="H390" s="466"/>
      <c r="I390" s="491"/>
    </row>
    <row r="391" spans="1:13" x14ac:dyDescent="0.25">
      <c r="D391" s="637" t="s">
        <v>621</v>
      </c>
      <c r="E391" s="471">
        <v>41418016</v>
      </c>
      <c r="F391" s="466"/>
      <c r="G391" s="471">
        <f>SUM(G387:G390)</f>
        <v>41418016</v>
      </c>
      <c r="H391" s="466"/>
      <c r="I391" s="491">
        <f>+E391-G391</f>
        <v>0</v>
      </c>
      <c r="J391" s="396">
        <f>G391-'GF-BudAct Exh 6'!G33</f>
        <v>0</v>
      </c>
    </row>
    <row r="392" spans="1:13" x14ac:dyDescent="0.25">
      <c r="E392" s="476"/>
      <c r="G392" s="476"/>
      <c r="I392" s="476"/>
    </row>
    <row r="393" spans="1:13" x14ac:dyDescent="0.25">
      <c r="A393" s="42" t="s">
        <v>178</v>
      </c>
      <c r="B393" s="38"/>
      <c r="E393" s="473"/>
      <c r="F393" s="466"/>
      <c r="G393" s="473"/>
      <c r="H393" s="466"/>
      <c r="I393" s="473"/>
    </row>
    <row r="394" spans="1:13" x14ac:dyDescent="0.25">
      <c r="B394" s="637" t="s">
        <v>225</v>
      </c>
      <c r="E394" s="473">
        <v>618166</v>
      </c>
      <c r="F394" s="466"/>
      <c r="G394" s="625">
        <v>629219</v>
      </c>
      <c r="H394" s="466"/>
      <c r="I394" s="479">
        <v>0</v>
      </c>
    </row>
    <row r="395" spans="1:13" x14ac:dyDescent="0.25">
      <c r="B395" s="637" t="s">
        <v>226</v>
      </c>
      <c r="E395" s="480">
        <f>692904</f>
        <v>692904</v>
      </c>
      <c r="F395" s="466"/>
      <c r="G395" s="627">
        <v>709264</v>
      </c>
      <c r="H395" s="466"/>
      <c r="I395" s="488">
        <v>0</v>
      </c>
    </row>
    <row r="396" spans="1:13" x14ac:dyDescent="0.25">
      <c r="B396" s="637" t="s">
        <v>181</v>
      </c>
      <c r="E396" s="480">
        <v>65000</v>
      </c>
      <c r="F396" s="481"/>
      <c r="G396" s="480">
        <v>65000</v>
      </c>
      <c r="H396" s="481"/>
      <c r="I396" s="488">
        <v>0</v>
      </c>
    </row>
    <row r="397" spans="1:13" x14ac:dyDescent="0.25">
      <c r="B397" s="637" t="s">
        <v>182</v>
      </c>
      <c r="E397" s="471">
        <v>15000</v>
      </c>
      <c r="F397" s="466"/>
      <c r="G397" s="471">
        <v>15000</v>
      </c>
      <c r="H397" s="466"/>
      <c r="I397" s="490">
        <v>0</v>
      </c>
    </row>
    <row r="398" spans="1:13" x14ac:dyDescent="0.25">
      <c r="D398" s="637" t="s">
        <v>622</v>
      </c>
      <c r="E398" s="471">
        <f>SUM(E394:E397)</f>
        <v>1391070</v>
      </c>
      <c r="F398" s="466"/>
      <c r="G398" s="471">
        <f>SUM(G394:G397)</f>
        <v>1418483</v>
      </c>
      <c r="H398" s="466"/>
      <c r="I398" s="471">
        <v>0</v>
      </c>
    </row>
    <row r="399" spans="1:13" x14ac:dyDescent="0.25">
      <c r="D399" s="637" t="s">
        <v>623</v>
      </c>
      <c r="E399" s="471">
        <f>+E130+E193+E204+E247+E372+E383+E391+E398</f>
        <v>87374309</v>
      </c>
      <c r="F399" s="466"/>
      <c r="G399" s="471">
        <f>G398+G391+G383+G372+G247+G204+G193+G130</f>
        <v>86123885</v>
      </c>
      <c r="H399" s="466"/>
      <c r="I399" s="471">
        <f>+E399-G399</f>
        <v>1250424</v>
      </c>
      <c r="J399" s="396">
        <f>E399-G399-I399</f>
        <v>0</v>
      </c>
      <c r="M399" s="396"/>
    </row>
    <row r="400" spans="1:13" x14ac:dyDescent="0.25">
      <c r="E400" s="473"/>
      <c r="F400" s="466"/>
      <c r="G400" s="473"/>
      <c r="H400" s="466"/>
      <c r="I400" s="473"/>
      <c r="L400" s="396"/>
    </row>
    <row r="401" spans="1:10" x14ac:dyDescent="0.25">
      <c r="A401" s="42" t="s">
        <v>624</v>
      </c>
      <c r="E401" s="471">
        <f>+E69-E399</f>
        <v>-1015411</v>
      </c>
      <c r="F401" s="466"/>
      <c r="G401" s="471">
        <f>-G399+G69</f>
        <v>97430</v>
      </c>
      <c r="H401" s="466"/>
      <c r="I401" s="471">
        <f>I399+I69</f>
        <v>1112841</v>
      </c>
      <c r="J401" s="396">
        <f>G401-E401-I401</f>
        <v>0</v>
      </c>
    </row>
    <row r="402" spans="1:10" x14ac:dyDescent="0.25">
      <c r="A402" s="42"/>
      <c r="E402" s="480"/>
      <c r="F402" s="466"/>
      <c r="G402" s="480"/>
      <c r="H402" s="466"/>
      <c r="I402" s="489" t="s">
        <v>140</v>
      </c>
      <c r="J402" s="396"/>
    </row>
    <row r="403" spans="1:10" x14ac:dyDescent="0.25">
      <c r="A403" s="42"/>
      <c r="E403" s="480"/>
      <c r="F403" s="466"/>
      <c r="G403" s="480"/>
      <c r="H403" s="466"/>
      <c r="I403" s="489" t="s">
        <v>140</v>
      </c>
      <c r="J403" s="396"/>
    </row>
    <row r="404" spans="1:10" x14ac:dyDescent="0.25">
      <c r="A404" s="484"/>
      <c r="B404" s="484"/>
      <c r="C404" s="484"/>
      <c r="D404" s="484"/>
      <c r="E404" s="484"/>
      <c r="F404" s="484"/>
      <c r="G404" s="484"/>
      <c r="H404" s="484"/>
      <c r="I404" s="644" t="s">
        <v>492</v>
      </c>
      <c r="J404" s="396"/>
    </row>
    <row r="405" spans="1:10" x14ac:dyDescent="0.25">
      <c r="A405" s="484"/>
      <c r="B405" s="484"/>
      <c r="C405" s="484"/>
      <c r="D405" s="484"/>
      <c r="E405" s="644" t="s">
        <v>218</v>
      </c>
      <c r="F405" s="484"/>
      <c r="G405" s="484"/>
      <c r="H405" s="484"/>
      <c r="I405" s="644" t="s">
        <v>219</v>
      </c>
      <c r="J405" s="396"/>
    </row>
    <row r="406" spans="1:10" x14ac:dyDescent="0.25">
      <c r="A406" s="484"/>
      <c r="B406" s="484"/>
      <c r="C406" s="484"/>
      <c r="D406" s="484"/>
      <c r="E406" s="485" t="s">
        <v>220</v>
      </c>
      <c r="F406" s="484"/>
      <c r="G406" s="485" t="s">
        <v>221</v>
      </c>
      <c r="H406" s="484"/>
      <c r="I406" s="485" t="s">
        <v>222</v>
      </c>
      <c r="J406" s="396"/>
    </row>
    <row r="407" spans="1:10" x14ac:dyDescent="0.25">
      <c r="A407" s="42" t="s">
        <v>228</v>
      </c>
      <c r="E407" s="473"/>
      <c r="F407" s="466"/>
      <c r="G407" s="473"/>
      <c r="H407" s="466"/>
      <c r="I407" s="489"/>
    </row>
    <row r="408" spans="1:10" x14ac:dyDescent="0.25">
      <c r="B408" s="637" t="s">
        <v>625</v>
      </c>
      <c r="E408" s="473"/>
      <c r="F408" s="466"/>
      <c r="G408" s="473"/>
      <c r="H408" s="466"/>
      <c r="I408" s="473"/>
    </row>
    <row r="409" spans="1:10" x14ac:dyDescent="0.25">
      <c r="B409" s="810"/>
      <c r="C409" s="811" t="s">
        <v>1102</v>
      </c>
      <c r="D409" s="812"/>
      <c r="E409" s="625">
        <v>440000</v>
      </c>
      <c r="F409" s="466"/>
      <c r="G409" s="625">
        <v>440000</v>
      </c>
      <c r="H409" s="466"/>
      <c r="I409" s="625">
        <f>-E409+G409</f>
        <v>0</v>
      </c>
    </row>
    <row r="410" spans="1:10" x14ac:dyDescent="0.25">
      <c r="C410" s="637" t="s">
        <v>626</v>
      </c>
      <c r="E410" s="473">
        <v>620227</v>
      </c>
      <c r="F410" s="466"/>
      <c r="G410" s="473">
        <v>619059</v>
      </c>
      <c r="H410" s="466"/>
      <c r="I410" s="473">
        <f>-E410+G410</f>
        <v>-1168</v>
      </c>
      <c r="J410" s="396"/>
    </row>
    <row r="411" spans="1:10" x14ac:dyDescent="0.25">
      <c r="B411" s="637" t="s">
        <v>627</v>
      </c>
      <c r="C411" s="637"/>
      <c r="E411" s="473"/>
      <c r="F411" s="466"/>
      <c r="G411" s="473"/>
      <c r="H411" s="466"/>
      <c r="I411" s="473"/>
    </row>
    <row r="412" spans="1:10" x14ac:dyDescent="0.25">
      <c r="C412" s="637" t="s">
        <v>628</v>
      </c>
      <c r="E412" s="473">
        <v>-68816</v>
      </c>
      <c r="F412" s="466"/>
      <c r="G412" s="473">
        <v>-250616</v>
      </c>
      <c r="H412" s="466"/>
      <c r="I412" s="473">
        <f>-E412+G412</f>
        <v>-181800</v>
      </c>
    </row>
    <row r="413" spans="1:10" x14ac:dyDescent="0.25">
      <c r="C413" s="637" t="s">
        <v>626</v>
      </c>
      <c r="E413" s="480">
        <v>-70000</v>
      </c>
      <c r="F413" s="481"/>
      <c r="G413" s="480">
        <v>-70000</v>
      </c>
      <c r="H413" s="481"/>
      <c r="I413" s="473">
        <f>-E413+G413</f>
        <v>0</v>
      </c>
    </row>
    <row r="414" spans="1:10" x14ac:dyDescent="0.25">
      <c r="C414" s="637" t="s">
        <v>629</v>
      </c>
      <c r="E414" s="480">
        <v>0</v>
      </c>
      <c r="F414" s="481"/>
      <c r="G414" s="480">
        <v>-200000</v>
      </c>
      <c r="H414" s="481"/>
      <c r="I414" s="473">
        <f>-E414+G414</f>
        <v>-200000</v>
      </c>
    </row>
    <row r="415" spans="1:10" x14ac:dyDescent="0.25">
      <c r="C415" s="404" t="s">
        <v>630</v>
      </c>
      <c r="E415" s="437">
        <v>-100000</v>
      </c>
      <c r="F415" s="396"/>
      <c r="G415" s="437">
        <v>-100000</v>
      </c>
      <c r="H415" s="396"/>
      <c r="I415" s="473">
        <f>-E415+G415</f>
        <v>0</v>
      </c>
    </row>
    <row r="416" spans="1:10" x14ac:dyDescent="0.25">
      <c r="D416" s="637" t="s">
        <v>631</v>
      </c>
      <c r="E416" s="480">
        <f>SUM(E409:E415)</f>
        <v>821411</v>
      </c>
      <c r="F416" s="435"/>
      <c r="G416" s="480">
        <f>SUM(G409:G415)</f>
        <v>438443</v>
      </c>
      <c r="H416" s="435"/>
      <c r="I416" s="492">
        <f>SUM(I410:I415)</f>
        <v>-382968</v>
      </c>
    </row>
    <row r="417" spans="1:14" x14ac:dyDescent="0.25">
      <c r="D417" s="637"/>
      <c r="E417" s="480"/>
      <c r="G417" s="480"/>
      <c r="I417" s="489"/>
    </row>
    <row r="418" spans="1:14" x14ac:dyDescent="0.25">
      <c r="B418" s="637" t="s">
        <v>188</v>
      </c>
      <c r="E418" s="473">
        <v>100000</v>
      </c>
      <c r="F418" s="466"/>
      <c r="G418" s="625">
        <v>279755</v>
      </c>
      <c r="H418" s="466"/>
      <c r="I418" s="474">
        <v>0</v>
      </c>
    </row>
    <row r="419" spans="1:14" x14ac:dyDescent="0.25">
      <c r="B419" s="637" t="s">
        <v>189</v>
      </c>
      <c r="E419" s="473">
        <v>3365000</v>
      </c>
      <c r="F419" s="466"/>
      <c r="G419" s="473">
        <v>3365000</v>
      </c>
      <c r="H419" s="466"/>
      <c r="I419" s="474">
        <v>0</v>
      </c>
    </row>
    <row r="420" spans="1:14" ht="30" customHeight="1" x14ac:dyDescent="0.25">
      <c r="B420" s="877" t="s">
        <v>191</v>
      </c>
      <c r="C420" s="879"/>
      <c r="D420" s="879"/>
      <c r="E420" s="473">
        <v>-3300000</v>
      </c>
      <c r="F420" s="466"/>
      <c r="G420" s="473">
        <v>-3300000</v>
      </c>
      <c r="H420" s="466"/>
      <c r="I420" s="474">
        <v>0</v>
      </c>
    </row>
    <row r="421" spans="1:14" x14ac:dyDescent="0.25">
      <c r="B421" s="637" t="s">
        <v>192</v>
      </c>
      <c r="E421" s="471">
        <v>29000</v>
      </c>
      <c r="G421" s="471">
        <v>28482</v>
      </c>
      <c r="I421" s="471">
        <v>-518</v>
      </c>
    </row>
    <row r="422" spans="1:14" x14ac:dyDescent="0.25">
      <c r="D422" s="637" t="s">
        <v>632</v>
      </c>
      <c r="E422" s="476"/>
      <c r="G422" s="476"/>
      <c r="I422" s="476"/>
    </row>
    <row r="423" spans="1:14" x14ac:dyDescent="0.25">
      <c r="D423" s="637" t="s">
        <v>633</v>
      </c>
      <c r="E423" s="471">
        <f>SUM(E416:E421)</f>
        <v>1015411</v>
      </c>
      <c r="F423" s="466"/>
      <c r="G423" s="471">
        <f>SUM(G416:G421)</f>
        <v>811680</v>
      </c>
      <c r="H423" s="466"/>
      <c r="I423" s="471">
        <f>G423-E423</f>
        <v>-203731</v>
      </c>
      <c r="J423" s="396">
        <f>G423-I423-E423</f>
        <v>0</v>
      </c>
    </row>
    <row r="424" spans="1:14" x14ac:dyDescent="0.25">
      <c r="E424" s="473"/>
      <c r="F424" s="466"/>
      <c r="G424" s="473"/>
      <c r="H424" s="466"/>
      <c r="I424" s="473"/>
    </row>
    <row r="425" spans="1:14" ht="13.8" thickBot="1" x14ac:dyDescent="0.3">
      <c r="A425" s="38" t="s">
        <v>194</v>
      </c>
      <c r="B425" s="42"/>
      <c r="C425" s="38"/>
      <c r="D425" s="53"/>
      <c r="E425" s="493">
        <f>E401+E423</f>
        <v>0</v>
      </c>
      <c r="F425" s="481"/>
      <c r="G425" s="480">
        <f>G401+G423</f>
        <v>909110</v>
      </c>
      <c r="H425" s="481"/>
      <c r="I425" s="493">
        <f>I401+I423</f>
        <v>909110</v>
      </c>
      <c r="J425" s="396">
        <f>G425-I425</f>
        <v>0</v>
      </c>
      <c r="N425" s="396"/>
    </row>
    <row r="426" spans="1:14" ht="13.8" thickTop="1" x14ac:dyDescent="0.25">
      <c r="A426" s="38"/>
      <c r="B426" s="42"/>
      <c r="C426" s="38"/>
      <c r="D426" s="53"/>
      <c r="E426" s="480"/>
      <c r="F426" s="466"/>
      <c r="G426" s="480"/>
      <c r="H426" s="466"/>
      <c r="I426" s="480"/>
    </row>
    <row r="427" spans="1:14" hidden="1" x14ac:dyDescent="0.25">
      <c r="A427" s="38" t="s">
        <v>195</v>
      </c>
      <c r="B427" s="42"/>
      <c r="C427" s="38"/>
      <c r="D427" s="53"/>
      <c r="F427" s="466"/>
      <c r="G427" s="473">
        <f>9969879-8383+1500000+893676+803+25774</f>
        <v>12381749</v>
      </c>
      <c r="H427" s="466"/>
      <c r="L427" s="430"/>
      <c r="M427" s="430"/>
    </row>
    <row r="428" spans="1:14" hidden="1" x14ac:dyDescent="0.25">
      <c r="B428" s="404" t="s">
        <v>196</v>
      </c>
      <c r="C428" s="38"/>
      <c r="D428" s="53"/>
      <c r="F428" s="466"/>
      <c r="G428" s="478">
        <v>-36253</v>
      </c>
      <c r="H428" s="466"/>
      <c r="L428" s="430"/>
      <c r="M428" s="430"/>
    </row>
    <row r="429" spans="1:14" x14ac:dyDescent="0.25">
      <c r="A429" s="38" t="s">
        <v>197</v>
      </c>
      <c r="B429" s="42"/>
      <c r="C429" s="38"/>
      <c r="D429" s="53"/>
      <c r="F429" s="466"/>
      <c r="G429" s="473">
        <f>SUM(G427:G428)</f>
        <v>12345496</v>
      </c>
      <c r="H429" s="466"/>
      <c r="L429" s="430"/>
      <c r="M429" s="430"/>
    </row>
    <row r="430" spans="1:14" x14ac:dyDescent="0.25">
      <c r="A430" s="42" t="s">
        <v>198</v>
      </c>
      <c r="C430" s="38"/>
      <c r="D430" s="53"/>
      <c r="F430" s="466"/>
      <c r="G430" s="478">
        <v>122974</v>
      </c>
      <c r="H430" s="466"/>
    </row>
    <row r="431" spans="1:14" ht="13.8" thickBot="1" x14ac:dyDescent="0.3">
      <c r="A431" s="42" t="s">
        <v>634</v>
      </c>
      <c r="B431" s="42"/>
      <c r="C431" s="38"/>
      <c r="D431" s="53"/>
      <c r="F431" s="468"/>
      <c r="G431" s="494">
        <f>G425+G429+G430</f>
        <v>13377580</v>
      </c>
      <c r="H431" s="468"/>
      <c r="J431" s="495">
        <f>G431-'GF-BudAct Exh 6'!G58</f>
        <v>0</v>
      </c>
      <c r="K431" s="430">
        <f>G431-'GF-BudAct Exh 6'!G58</f>
        <v>0</v>
      </c>
      <c r="L431" s="430"/>
      <c r="N431" s="430"/>
    </row>
    <row r="432" spans="1:14" ht="14.4" thickTop="1" thickBot="1" x14ac:dyDescent="0.3">
      <c r="A432" s="42"/>
      <c r="B432" s="42"/>
      <c r="C432" s="38"/>
      <c r="D432" s="53"/>
      <c r="F432" s="468"/>
      <c r="G432" s="496"/>
      <c r="H432" s="468"/>
      <c r="I432" s="439"/>
      <c r="L432" s="430"/>
    </row>
    <row r="433" spans="1:9" x14ac:dyDescent="0.25">
      <c r="A433" s="42"/>
      <c r="B433" s="861" t="s">
        <v>635</v>
      </c>
      <c r="C433" s="959"/>
      <c r="D433" s="959"/>
      <c r="E433" s="959"/>
      <c r="F433" s="959"/>
      <c r="G433" s="959"/>
      <c r="H433" s="959"/>
      <c r="I433" s="960"/>
    </row>
    <row r="434" spans="1:9" ht="13.8" thickBot="1" x14ac:dyDescent="0.3">
      <c r="A434" s="42"/>
      <c r="B434" s="961"/>
      <c r="C434" s="962"/>
      <c r="D434" s="962"/>
      <c r="E434" s="962"/>
      <c r="F434" s="962"/>
      <c r="G434" s="962"/>
      <c r="H434" s="962"/>
      <c r="I434" s="963"/>
    </row>
    <row r="435" spans="1:9" x14ac:dyDescent="0.25">
      <c r="A435" s="42"/>
      <c r="B435" s="497"/>
      <c r="C435" s="497"/>
      <c r="D435" s="497"/>
      <c r="E435" s="497"/>
      <c r="F435" s="497"/>
      <c r="G435" s="497"/>
      <c r="H435" s="497"/>
      <c r="I435" s="497"/>
    </row>
    <row r="436" spans="1:9" x14ac:dyDescent="0.25">
      <c r="D436" s="404"/>
    </row>
    <row r="437" spans="1:9" x14ac:dyDescent="0.25">
      <c r="D437" s="404"/>
    </row>
    <row r="438" spans="1:9" x14ac:dyDescent="0.25">
      <c r="D438" s="404"/>
    </row>
    <row r="439" spans="1:9" x14ac:dyDescent="0.25">
      <c r="D439" s="404"/>
    </row>
    <row r="440" spans="1:9" x14ac:dyDescent="0.25">
      <c r="D440" s="404"/>
    </row>
    <row r="441" spans="1:9" x14ac:dyDescent="0.25">
      <c r="D441" s="404"/>
    </row>
    <row r="442" spans="1:9" x14ac:dyDescent="0.25">
      <c r="D442" s="404"/>
    </row>
    <row r="443" spans="1:9" x14ac:dyDescent="0.25">
      <c r="D443" s="404"/>
    </row>
    <row r="444" spans="1:9" x14ac:dyDescent="0.25">
      <c r="E444" s="476"/>
      <c r="F444" s="476"/>
      <c r="G444" s="476"/>
      <c r="H444" s="476"/>
      <c r="I444" s="476"/>
    </row>
    <row r="445" spans="1:9" x14ac:dyDescent="0.25">
      <c r="E445" s="476"/>
      <c r="F445" s="476"/>
      <c r="G445" s="476"/>
      <c r="H445" s="476"/>
      <c r="I445" s="476"/>
    </row>
    <row r="446" spans="1:9" x14ac:dyDescent="0.25">
      <c r="E446" s="476"/>
      <c r="F446" s="476"/>
      <c r="G446" s="476"/>
      <c r="H446" s="476"/>
      <c r="I446" s="476"/>
    </row>
    <row r="447" spans="1:9" x14ac:dyDescent="0.25">
      <c r="E447" s="476"/>
      <c r="F447" s="476"/>
      <c r="G447" s="476"/>
      <c r="H447" s="476"/>
      <c r="I447" s="476"/>
    </row>
    <row r="448" spans="1:9" x14ac:dyDescent="0.25">
      <c r="E448" s="476"/>
      <c r="F448" s="476"/>
      <c r="G448" s="476"/>
      <c r="H448" s="476"/>
      <c r="I448" s="476"/>
    </row>
    <row r="449" spans="5:9" x14ac:dyDescent="0.25">
      <c r="E449" s="476"/>
      <c r="F449" s="476"/>
      <c r="G449" s="476"/>
      <c r="H449" s="476"/>
      <c r="I449" s="476"/>
    </row>
    <row r="450" spans="5:9" x14ac:dyDescent="0.25">
      <c r="E450" s="476"/>
      <c r="F450" s="476"/>
      <c r="G450" s="476"/>
      <c r="H450" s="476"/>
      <c r="I450" s="476"/>
    </row>
    <row r="451" spans="5:9" x14ac:dyDescent="0.25">
      <c r="E451" s="476"/>
      <c r="F451" s="476"/>
      <c r="G451" s="476"/>
      <c r="H451" s="476"/>
      <c r="I451" s="476"/>
    </row>
    <row r="452" spans="5:9" x14ac:dyDescent="0.25">
      <c r="E452" s="476"/>
      <c r="F452" s="476"/>
      <c r="G452" s="476"/>
      <c r="H452" s="476"/>
      <c r="I452" s="476"/>
    </row>
    <row r="453" spans="5:9" x14ac:dyDescent="0.25">
      <c r="E453" s="476"/>
      <c r="F453" s="476"/>
      <c r="G453" s="476"/>
      <c r="H453" s="476"/>
      <c r="I453" s="476"/>
    </row>
    <row r="454" spans="5:9" x14ac:dyDescent="0.25">
      <c r="E454" s="476"/>
      <c r="F454" s="476"/>
      <c r="G454" s="476"/>
      <c r="H454" s="476"/>
      <c r="I454" s="476"/>
    </row>
    <row r="455" spans="5:9" x14ac:dyDescent="0.25">
      <c r="E455" s="476"/>
      <c r="F455" s="476"/>
      <c r="G455" s="476"/>
      <c r="H455" s="476"/>
      <c r="I455" s="476"/>
    </row>
    <row r="456" spans="5:9" x14ac:dyDescent="0.25">
      <c r="E456" s="476"/>
      <c r="F456" s="476"/>
      <c r="G456" s="476"/>
      <c r="H456" s="476"/>
      <c r="I456" s="476"/>
    </row>
    <row r="457" spans="5:9" x14ac:dyDescent="0.25">
      <c r="E457" s="476"/>
      <c r="F457" s="476"/>
      <c r="G457" s="476"/>
      <c r="H457" s="476"/>
      <c r="I457" s="476"/>
    </row>
    <row r="458" spans="5:9" x14ac:dyDescent="0.25">
      <c r="E458" s="476"/>
      <c r="F458" s="476"/>
      <c r="G458" s="476"/>
      <c r="H458" s="476"/>
      <c r="I458" s="476"/>
    </row>
    <row r="459" spans="5:9" x14ac:dyDescent="0.25">
      <c r="E459" s="476"/>
      <c r="F459" s="476"/>
      <c r="G459" s="476"/>
      <c r="H459" s="476"/>
      <c r="I459" s="476"/>
    </row>
    <row r="460" spans="5:9" x14ac:dyDescent="0.25">
      <c r="E460" s="476"/>
      <c r="F460" s="476"/>
      <c r="G460" s="476"/>
      <c r="H460" s="476"/>
      <c r="I460" s="476"/>
    </row>
    <row r="461" spans="5:9" x14ac:dyDescent="0.25">
      <c r="E461" s="69"/>
      <c r="F461" s="476"/>
      <c r="G461" s="476"/>
      <c r="H461" s="476"/>
      <c r="I461" s="476"/>
    </row>
    <row r="462" spans="5:9" x14ac:dyDescent="0.25">
      <c r="E462" s="476"/>
      <c r="F462" s="476"/>
      <c r="G462" s="476"/>
      <c r="H462" s="476"/>
      <c r="I462" s="476"/>
    </row>
    <row r="463" spans="5:9" x14ac:dyDescent="0.25">
      <c r="E463" s="476"/>
      <c r="F463" s="476"/>
      <c r="G463" s="476"/>
      <c r="H463" s="476"/>
      <c r="I463" s="476"/>
    </row>
    <row r="464" spans="5:9" x14ac:dyDescent="0.25">
      <c r="E464" s="476"/>
      <c r="F464" s="476"/>
      <c r="G464" s="476"/>
      <c r="H464" s="476"/>
      <c r="I464" s="476"/>
    </row>
    <row r="465" spans="5:9" x14ac:dyDescent="0.25">
      <c r="E465" s="476"/>
      <c r="F465" s="476"/>
      <c r="G465" s="476"/>
      <c r="H465" s="476"/>
      <c r="I465" s="476"/>
    </row>
    <row r="466" spans="5:9" x14ac:dyDescent="0.25">
      <c r="E466" s="476"/>
      <c r="F466" s="476"/>
      <c r="G466" s="476"/>
      <c r="H466" s="476"/>
      <c r="I466" s="476"/>
    </row>
    <row r="467" spans="5:9" x14ac:dyDescent="0.25">
      <c r="E467" s="476"/>
      <c r="F467" s="476"/>
      <c r="G467" s="476"/>
      <c r="H467" s="476"/>
      <c r="I467" s="476"/>
    </row>
    <row r="468" spans="5:9" x14ac:dyDescent="0.25">
      <c r="E468" s="476"/>
      <c r="F468" s="476"/>
      <c r="G468" s="476"/>
      <c r="H468" s="476"/>
      <c r="I468" s="476"/>
    </row>
    <row r="469" spans="5:9" x14ac:dyDescent="0.25">
      <c r="E469" s="476"/>
      <c r="F469" s="476"/>
      <c r="G469" s="476"/>
      <c r="H469" s="476"/>
      <c r="I469" s="476"/>
    </row>
    <row r="470" spans="5:9" x14ac:dyDescent="0.25">
      <c r="E470" s="476"/>
      <c r="F470" s="476"/>
      <c r="G470" s="476"/>
      <c r="H470" s="476"/>
      <c r="I470" s="476"/>
    </row>
    <row r="471" spans="5:9" x14ac:dyDescent="0.25">
      <c r="E471" s="476"/>
      <c r="F471" s="476"/>
      <c r="G471" s="476"/>
      <c r="H471" s="476"/>
      <c r="I471" s="476"/>
    </row>
    <row r="472" spans="5:9" x14ac:dyDescent="0.25">
      <c r="E472" s="476"/>
      <c r="F472" s="476"/>
      <c r="G472" s="476"/>
      <c r="H472" s="476"/>
      <c r="I472" s="476"/>
    </row>
    <row r="473" spans="5:9" x14ac:dyDescent="0.25">
      <c r="E473" s="476"/>
      <c r="F473" s="476"/>
      <c r="G473" s="476"/>
      <c r="H473" s="476"/>
      <c r="I473" s="476"/>
    </row>
    <row r="474" spans="5:9" x14ac:dyDescent="0.25">
      <c r="E474" s="476"/>
      <c r="F474" s="476"/>
      <c r="G474" s="476"/>
      <c r="H474" s="476"/>
      <c r="I474" s="476"/>
    </row>
    <row r="475" spans="5:9" x14ac:dyDescent="0.25">
      <c r="E475" s="476"/>
      <c r="F475" s="476"/>
      <c r="G475" s="476"/>
      <c r="H475" s="476"/>
      <c r="I475" s="476"/>
    </row>
    <row r="476" spans="5:9" x14ac:dyDescent="0.25">
      <c r="E476" s="476"/>
      <c r="F476" s="476"/>
      <c r="G476" s="476"/>
      <c r="H476" s="476"/>
      <c r="I476" s="476"/>
    </row>
    <row r="477" spans="5:9" x14ac:dyDescent="0.25">
      <c r="E477" s="476"/>
      <c r="F477" s="476"/>
      <c r="G477" s="476"/>
      <c r="H477" s="476"/>
      <c r="I477" s="476"/>
    </row>
    <row r="478" spans="5:9" x14ac:dyDescent="0.25">
      <c r="E478" s="476"/>
      <c r="F478" s="476"/>
      <c r="G478" s="476"/>
      <c r="H478" s="476"/>
      <c r="I478" s="476"/>
    </row>
    <row r="479" spans="5:9" x14ac:dyDescent="0.25">
      <c r="E479" s="476"/>
      <c r="F479" s="476"/>
      <c r="G479" s="476"/>
      <c r="H479" s="476"/>
      <c r="I479" s="476"/>
    </row>
    <row r="480" spans="5:9" x14ac:dyDescent="0.25">
      <c r="E480" s="476"/>
      <c r="F480" s="476"/>
      <c r="G480" s="476"/>
      <c r="H480" s="476"/>
      <c r="I480" s="476"/>
    </row>
    <row r="481" spans="5:9" x14ac:dyDescent="0.25">
      <c r="E481" s="476"/>
      <c r="F481" s="476"/>
      <c r="G481" s="476"/>
      <c r="H481" s="476"/>
      <c r="I481" s="476"/>
    </row>
    <row r="482" spans="5:9" x14ac:dyDescent="0.25">
      <c r="E482" s="476"/>
      <c r="F482" s="476"/>
      <c r="G482" s="476"/>
      <c r="H482" s="476"/>
      <c r="I482" s="476"/>
    </row>
    <row r="483" spans="5:9" x14ac:dyDescent="0.25">
      <c r="E483" s="476"/>
      <c r="F483" s="476"/>
      <c r="G483" s="476"/>
      <c r="H483" s="476"/>
      <c r="I483" s="476"/>
    </row>
    <row r="484" spans="5:9" x14ac:dyDescent="0.25">
      <c r="E484" s="476"/>
      <c r="F484" s="476"/>
      <c r="G484" s="476"/>
      <c r="H484" s="476"/>
      <c r="I484" s="476"/>
    </row>
  </sheetData>
  <customSheetViews>
    <customSheetView guid="{A8748736-0722-49EB-85B6-C9B52DDCFE0E}" showPageBreaks="1" fitToPage="1" printArea="1" hiddenRows="1" hiddenColumns="1">
      <selection activeCell="B371" sqref="B371"/>
      <rowBreaks count="10" manualBreakCount="10">
        <brk id="50" max="8" man="1"/>
        <brk id="90" max="8" man="1"/>
        <brk id="132" max="8" man="1"/>
        <brk id="171" max="8" man="1"/>
        <brk id="205" max="8" man="1"/>
        <brk id="248" max="8" man="1"/>
        <brk id="288" max="8" man="1"/>
        <brk id="331" max="8" man="1"/>
        <brk id="361" max="8" man="1"/>
        <brk id="402" max="8" man="1"/>
      </rowBreaks>
      <pageMargins left="0.75" right="0.75" top="1" bottom="1" header="0.5" footer="0.5"/>
      <printOptions horizontalCentered="1"/>
      <pageSetup firstPageNumber="99" fitToHeight="0" orientation="portrait" useFirstPageNumber="1" r:id="rId1"/>
      <headerFooter alignWithMargins="0"/>
    </customSheetView>
    <customSheetView guid="{E0C60316-4586-4AAF-92CB-FA82BB1EB755}" fitToPage="1" topLeftCell="A411">
      <selection activeCell="K60" sqref="K60:K70"/>
      <rowBreaks count="10" manualBreakCount="10">
        <brk id="50" max="8" man="1"/>
        <brk id="90" max="8" man="1"/>
        <brk id="132" max="8" man="1"/>
        <brk id="171" max="8" man="1"/>
        <brk id="205" max="8" man="1"/>
        <brk id="248" max="8" man="1"/>
        <brk id="288" max="8" man="1"/>
        <brk id="331" max="8" man="1"/>
        <brk id="361" max="8" man="1"/>
        <brk id="402" max="8" man="1"/>
      </rowBreaks>
      <pageMargins left="0" right="0" top="0" bottom="0" header="0" footer="0"/>
      <printOptions horizontalCentered="1"/>
      <pageSetup firstPageNumber="99" fitToHeight="0" orientation="portrait" useFirstPageNumber="1" r:id="rId2"/>
      <headerFooter alignWithMargins="0"/>
    </customSheetView>
  </customSheetViews>
  <mergeCells count="3">
    <mergeCell ref="B29:D29"/>
    <mergeCell ref="B420:D420"/>
    <mergeCell ref="B433:I434"/>
  </mergeCells>
  <printOptions horizontalCentered="1"/>
  <pageMargins left="0.75" right="0.75" top="1" bottom="1" header="0.5" footer="0.5"/>
  <pageSetup firstPageNumber="99" fitToHeight="0" orientation="portrait" useFirstPageNumber="1" r:id="rId3"/>
  <headerFooter alignWithMargins="0"/>
  <rowBreaks count="10" manualBreakCount="10">
    <brk id="50" max="8" man="1"/>
    <brk id="90" max="8" man="1"/>
    <brk id="132" max="8" man="1"/>
    <brk id="171" max="8" man="1"/>
    <brk id="205" max="8" man="1"/>
    <brk id="248" max="8" man="1"/>
    <brk id="288" max="8" man="1"/>
    <brk id="331" max="8" man="1"/>
    <brk id="361" max="8" man="1"/>
    <brk id="402" max="8"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47"/>
  <sheetViews>
    <sheetView workbookViewId="0">
      <selection sqref="A1:I1"/>
    </sheetView>
  </sheetViews>
  <sheetFormatPr defaultColWidth="9.109375" defaultRowHeight="13.2" x14ac:dyDescent="0.25"/>
  <cols>
    <col min="1" max="1" width="2.109375" style="75" customWidth="1"/>
    <col min="2" max="2" width="2.44140625" style="75" customWidth="1"/>
    <col min="3" max="3" width="2.33203125" style="75" customWidth="1"/>
    <col min="4" max="4" width="26.5546875" style="75" customWidth="1"/>
    <col min="5" max="5" width="10.6640625" style="75" customWidth="1"/>
    <col min="6" max="6" width="2.6640625" style="75" customWidth="1"/>
    <col min="7" max="7" width="10.6640625" style="75" customWidth="1"/>
    <col min="8" max="8" width="2.6640625" style="75" customWidth="1"/>
    <col min="9" max="9" width="10.6640625" style="75" customWidth="1"/>
    <col min="10" max="10" width="9.5546875" style="75" bestFit="1" customWidth="1"/>
    <col min="11" max="16384" width="9.109375" style="75"/>
  </cols>
  <sheetData>
    <row r="1" spans="1:9" x14ac:dyDescent="0.25">
      <c r="A1" s="964" t="s">
        <v>1</v>
      </c>
      <c r="B1" s="964"/>
      <c r="C1" s="964"/>
      <c r="D1" s="964"/>
      <c r="E1" s="964"/>
      <c r="F1" s="964"/>
      <c r="G1" s="964"/>
      <c r="H1" s="964"/>
      <c r="I1" s="964"/>
    </row>
    <row r="2" spans="1:9" x14ac:dyDescent="0.25">
      <c r="A2" s="96" t="s">
        <v>628</v>
      </c>
      <c r="B2" s="96"/>
      <c r="C2" s="96"/>
      <c r="D2" s="96"/>
      <c r="E2" s="96"/>
      <c r="F2" s="96"/>
      <c r="G2" s="96"/>
      <c r="H2" s="96"/>
      <c r="I2" s="96"/>
    </row>
    <row r="3" spans="1:9" x14ac:dyDescent="0.25">
      <c r="A3" s="96" t="s">
        <v>490</v>
      </c>
      <c r="B3" s="96"/>
      <c r="C3" s="96"/>
      <c r="D3" s="96"/>
      <c r="E3" s="96"/>
      <c r="F3" s="96"/>
      <c r="G3" s="96"/>
      <c r="H3" s="96"/>
      <c r="I3" s="96"/>
    </row>
    <row r="4" spans="1:9" x14ac:dyDescent="0.25">
      <c r="A4" s="96" t="s">
        <v>491</v>
      </c>
      <c r="B4" s="96"/>
      <c r="C4" s="96"/>
      <c r="D4" s="96"/>
      <c r="E4" s="96"/>
      <c r="F4" s="96"/>
      <c r="G4" s="96"/>
      <c r="H4" s="96"/>
      <c r="I4" s="96"/>
    </row>
    <row r="5" spans="1:9" x14ac:dyDescent="0.25">
      <c r="A5" s="96" t="str">
        <f>GFIS_BA!A5</f>
        <v>For the Year Ended June 30, 2022</v>
      </c>
      <c r="B5" s="96"/>
      <c r="C5" s="96"/>
      <c r="D5" s="96"/>
      <c r="E5" s="96"/>
      <c r="F5" s="96"/>
      <c r="G5" s="96"/>
      <c r="H5" s="96"/>
      <c r="I5" s="96"/>
    </row>
    <row r="6" spans="1:9" x14ac:dyDescent="0.25">
      <c r="A6" s="689"/>
      <c r="B6" s="689"/>
      <c r="C6" s="689"/>
      <c r="D6" s="689"/>
      <c r="E6" s="689"/>
      <c r="F6" s="689"/>
      <c r="G6" s="689"/>
      <c r="H6" s="689"/>
      <c r="I6" s="689"/>
    </row>
    <row r="7" spans="1:9" ht="13.8" thickBot="1" x14ac:dyDescent="0.3">
      <c r="A7" s="690"/>
      <c r="B7" s="690"/>
      <c r="C7" s="690"/>
      <c r="D7" s="690"/>
      <c r="E7" s="690"/>
      <c r="F7" s="690"/>
      <c r="G7" s="690"/>
      <c r="H7" s="690"/>
      <c r="I7" s="690"/>
    </row>
    <row r="8" spans="1:9" x14ac:dyDescent="0.25">
      <c r="A8" s="691"/>
      <c r="B8" s="691"/>
      <c r="C8" s="691"/>
      <c r="D8" s="691"/>
      <c r="E8" s="691"/>
      <c r="F8" s="691"/>
      <c r="G8" s="691"/>
      <c r="H8" s="691"/>
      <c r="I8" s="692" t="s">
        <v>215</v>
      </c>
    </row>
    <row r="9" spans="1:9" x14ac:dyDescent="0.25">
      <c r="A9" s="691"/>
      <c r="B9" s="691"/>
      <c r="C9" s="691"/>
      <c r="D9" s="691"/>
      <c r="E9" s="693" t="s">
        <v>218</v>
      </c>
      <c r="F9" s="691"/>
      <c r="G9" s="691"/>
      <c r="H9" s="691"/>
      <c r="I9" s="692" t="s">
        <v>219</v>
      </c>
    </row>
    <row r="10" spans="1:9" x14ac:dyDescent="0.25">
      <c r="A10" s="691"/>
      <c r="B10" s="694" t="s">
        <v>122</v>
      </c>
      <c r="C10" s="691"/>
      <c r="D10" s="691"/>
      <c r="E10" s="695" t="s">
        <v>220</v>
      </c>
      <c r="F10" s="691"/>
      <c r="G10" s="695" t="s">
        <v>221</v>
      </c>
      <c r="H10" s="691"/>
      <c r="I10" s="696" t="s">
        <v>222</v>
      </c>
    </row>
    <row r="11" spans="1:9" x14ac:dyDescent="0.25">
      <c r="A11" s="694" t="s">
        <v>223</v>
      </c>
      <c r="B11" s="691"/>
      <c r="C11" s="691"/>
      <c r="D11" s="691"/>
      <c r="E11" s="691"/>
      <c r="F11" s="691"/>
      <c r="G11" s="691"/>
      <c r="H11" s="691"/>
      <c r="I11" s="691"/>
    </row>
    <row r="12" spans="1:9" x14ac:dyDescent="0.25">
      <c r="A12" s="691"/>
      <c r="B12" s="694" t="s">
        <v>169</v>
      </c>
      <c r="C12" s="691"/>
      <c r="D12" s="691"/>
      <c r="E12" s="697">
        <v>36000</v>
      </c>
      <c r="F12" s="698"/>
      <c r="G12" s="697">
        <v>52679</v>
      </c>
      <c r="H12" s="698"/>
      <c r="I12" s="697">
        <f>G12-E12</f>
        <v>16679</v>
      </c>
    </row>
    <row r="13" spans="1:9" x14ac:dyDescent="0.25">
      <c r="A13" s="691"/>
      <c r="B13" s="691"/>
      <c r="C13" s="691"/>
      <c r="D13" s="691"/>
      <c r="E13" s="699"/>
      <c r="F13" s="699"/>
      <c r="G13" s="699"/>
      <c r="H13" s="699"/>
      <c r="I13" s="699"/>
    </row>
    <row r="14" spans="1:9" x14ac:dyDescent="0.25">
      <c r="A14" s="694" t="s">
        <v>532</v>
      </c>
      <c r="B14" s="691"/>
      <c r="C14" s="691"/>
      <c r="D14" s="691"/>
      <c r="E14" s="699"/>
      <c r="F14" s="699"/>
      <c r="G14" s="699"/>
      <c r="H14" s="699"/>
      <c r="I14" s="699"/>
    </row>
    <row r="15" spans="1:9" x14ac:dyDescent="0.25">
      <c r="A15" s="694" t="s">
        <v>122</v>
      </c>
      <c r="B15" s="694" t="s">
        <v>173</v>
      </c>
      <c r="C15" s="691"/>
      <c r="D15" s="691"/>
      <c r="E15" s="691"/>
      <c r="F15" s="691"/>
      <c r="G15" s="691"/>
      <c r="H15" s="691"/>
      <c r="I15" s="691"/>
    </row>
    <row r="16" spans="1:9" x14ac:dyDescent="0.25">
      <c r="A16" s="691"/>
      <c r="B16" s="691"/>
      <c r="C16" s="694" t="s">
        <v>533</v>
      </c>
      <c r="D16" s="691"/>
      <c r="E16" s="699"/>
      <c r="F16" s="699"/>
      <c r="G16" s="699"/>
      <c r="H16" s="699"/>
      <c r="I16" s="699"/>
    </row>
    <row r="17" spans="1:10" x14ac:dyDescent="0.25">
      <c r="A17" s="691"/>
      <c r="B17" s="691"/>
      <c r="C17" s="691"/>
      <c r="D17" s="694" t="s">
        <v>636</v>
      </c>
      <c r="E17" s="700">
        <v>585500</v>
      </c>
      <c r="F17" s="699"/>
      <c r="G17" s="700">
        <v>562674</v>
      </c>
      <c r="H17" s="699"/>
      <c r="I17" s="700">
        <f>E17-G17</f>
        <v>22826</v>
      </c>
      <c r="J17" s="701"/>
    </row>
    <row r="18" spans="1:10" x14ac:dyDescent="0.25">
      <c r="A18" s="691"/>
      <c r="B18" s="691"/>
      <c r="C18" s="691"/>
      <c r="D18" s="691"/>
      <c r="E18" s="699"/>
      <c r="F18" s="699"/>
      <c r="G18" s="699"/>
      <c r="H18" s="699"/>
      <c r="I18" s="699"/>
      <c r="J18" s="701"/>
    </row>
    <row r="19" spans="1:10" x14ac:dyDescent="0.25">
      <c r="A19" s="694" t="s">
        <v>227</v>
      </c>
      <c r="B19" s="691"/>
      <c r="C19" s="691"/>
      <c r="D19" s="691"/>
      <c r="E19" s="700">
        <f>E12-E17</f>
        <v>-549500</v>
      </c>
      <c r="F19" s="699"/>
      <c r="G19" s="700">
        <f>G12-G17</f>
        <v>-509995</v>
      </c>
      <c r="H19" s="699"/>
      <c r="I19" s="700">
        <f>I12-I17</f>
        <v>-6147</v>
      </c>
      <c r="J19" s="701"/>
    </row>
    <row r="20" spans="1:10" x14ac:dyDescent="0.25">
      <c r="A20" s="691"/>
      <c r="B20" s="691"/>
      <c r="C20" s="691"/>
      <c r="D20" s="691"/>
      <c r="E20" s="699"/>
      <c r="F20" s="699"/>
      <c r="G20" s="699"/>
      <c r="H20" s="699"/>
      <c r="I20" s="699"/>
      <c r="J20" s="701"/>
    </row>
    <row r="21" spans="1:10" x14ac:dyDescent="0.25">
      <c r="A21" s="694" t="s">
        <v>637</v>
      </c>
      <c r="B21" s="691"/>
      <c r="C21" s="691"/>
      <c r="D21" s="691"/>
      <c r="E21" s="691"/>
      <c r="F21" s="691"/>
      <c r="G21" s="691"/>
      <c r="H21" s="691"/>
      <c r="I21" s="691"/>
      <c r="J21" s="701"/>
    </row>
    <row r="22" spans="1:10" x14ac:dyDescent="0.25">
      <c r="A22" s="691"/>
      <c r="B22" s="694" t="s">
        <v>638</v>
      </c>
      <c r="C22" s="691"/>
      <c r="D22" s="691"/>
      <c r="E22" s="691"/>
      <c r="F22" s="691"/>
      <c r="G22" s="691"/>
      <c r="H22" s="691"/>
      <c r="I22" s="691"/>
      <c r="J22" s="701"/>
    </row>
    <row r="23" spans="1:10" x14ac:dyDescent="0.25">
      <c r="A23" s="691"/>
      <c r="B23" s="691"/>
      <c r="C23" s="694" t="s">
        <v>161</v>
      </c>
      <c r="D23" s="691"/>
      <c r="E23" s="700">
        <v>68816</v>
      </c>
      <c r="F23" s="699"/>
      <c r="G23" s="700">
        <v>250616</v>
      </c>
      <c r="H23" s="699"/>
      <c r="I23" s="700">
        <f>G23-E23</f>
        <v>181800</v>
      </c>
      <c r="J23" s="701"/>
    </row>
    <row r="24" spans="1:10" x14ac:dyDescent="0.25">
      <c r="A24" s="691"/>
      <c r="B24" s="691"/>
      <c r="C24" s="691"/>
      <c r="D24" s="691"/>
      <c r="E24" s="699"/>
      <c r="F24" s="699"/>
      <c r="G24" s="699"/>
      <c r="H24" s="699"/>
      <c r="I24" s="699"/>
      <c r="J24" s="701"/>
    </row>
    <row r="25" spans="1:10" x14ac:dyDescent="0.25">
      <c r="A25" s="694" t="s">
        <v>639</v>
      </c>
      <c r="B25" s="691"/>
      <c r="C25" s="691"/>
      <c r="D25" s="691"/>
      <c r="E25" s="699"/>
      <c r="F25" s="699"/>
      <c r="G25" s="699"/>
      <c r="H25" s="699"/>
      <c r="I25" s="699"/>
      <c r="J25" s="701"/>
    </row>
    <row r="26" spans="1:10" x14ac:dyDescent="0.25">
      <c r="A26" s="691"/>
      <c r="B26" s="694" t="s">
        <v>640</v>
      </c>
      <c r="C26" s="691"/>
      <c r="D26" s="691"/>
      <c r="E26" s="699">
        <f>E23+E19</f>
        <v>-480684</v>
      </c>
      <c r="F26" s="699"/>
      <c r="G26" s="699">
        <f>G23+G19</f>
        <v>-259379</v>
      </c>
      <c r="H26" s="699"/>
      <c r="I26" s="699">
        <f>I23+I19</f>
        <v>175653</v>
      </c>
      <c r="J26" s="702"/>
    </row>
    <row r="27" spans="1:10" x14ac:dyDescent="0.25">
      <c r="A27" s="691"/>
      <c r="B27" s="691"/>
      <c r="C27" s="691"/>
      <c r="D27" s="691"/>
      <c r="E27" s="691"/>
      <c r="F27" s="691"/>
      <c r="G27" s="691"/>
      <c r="H27" s="691"/>
      <c r="I27" s="691"/>
      <c r="J27" s="701"/>
    </row>
    <row r="28" spans="1:10" x14ac:dyDescent="0.25">
      <c r="A28" s="694" t="s">
        <v>641</v>
      </c>
      <c r="B28" s="691"/>
      <c r="C28" s="691"/>
      <c r="D28" s="691"/>
      <c r="E28" s="700">
        <v>480684</v>
      </c>
      <c r="F28" s="699"/>
      <c r="G28" s="703">
        <v>0</v>
      </c>
      <c r="H28" s="699"/>
      <c r="I28" s="700">
        <f>G28-E28</f>
        <v>-480684</v>
      </c>
      <c r="J28" s="701"/>
    </row>
    <row r="29" spans="1:10" x14ac:dyDescent="0.25">
      <c r="A29" s="691"/>
      <c r="B29" s="691"/>
      <c r="C29" s="691"/>
      <c r="D29" s="691"/>
      <c r="E29" s="691"/>
      <c r="F29" s="691"/>
      <c r="G29" s="691"/>
      <c r="H29" s="691"/>
      <c r="I29" s="691"/>
      <c r="J29" s="701"/>
    </row>
    <row r="30" spans="1:10" x14ac:dyDescent="0.25">
      <c r="A30" s="694" t="s">
        <v>642</v>
      </c>
      <c r="B30" s="691"/>
      <c r="C30" s="691"/>
      <c r="D30" s="691"/>
      <c r="E30" s="691"/>
      <c r="F30" s="691"/>
      <c r="G30" s="691"/>
      <c r="H30" s="691"/>
      <c r="I30" s="691"/>
      <c r="J30" s="701"/>
    </row>
    <row r="31" spans="1:10" x14ac:dyDescent="0.25">
      <c r="A31" s="694" t="s">
        <v>643</v>
      </c>
      <c r="B31" s="691"/>
      <c r="C31" s="691"/>
      <c r="D31" s="691"/>
      <c r="E31" s="691"/>
      <c r="F31" s="691"/>
      <c r="G31" s="691"/>
      <c r="H31" s="691"/>
      <c r="I31" s="691"/>
      <c r="J31" s="701"/>
    </row>
    <row r="32" spans="1:10" ht="13.8" thickBot="1" x14ac:dyDescent="0.3">
      <c r="A32" s="694" t="s">
        <v>640</v>
      </c>
      <c r="B32" s="691"/>
      <c r="C32" s="691"/>
      <c r="D32" s="691"/>
      <c r="E32" s="704">
        <v>0</v>
      </c>
      <c r="F32" s="691"/>
      <c r="G32" s="699">
        <f>G26</f>
        <v>-259379</v>
      </c>
      <c r="H32" s="691"/>
      <c r="I32" s="705">
        <f>I28+I26</f>
        <v>-305031</v>
      </c>
      <c r="J32" s="701"/>
    </row>
    <row r="33" spans="1:10" ht="13.8" thickTop="1" x14ac:dyDescent="0.25">
      <c r="A33" s="691"/>
      <c r="B33" s="691"/>
      <c r="C33" s="691"/>
      <c r="D33" s="691"/>
      <c r="E33" s="699"/>
      <c r="F33" s="699"/>
      <c r="G33" s="699"/>
      <c r="H33" s="699"/>
      <c r="I33" s="699"/>
      <c r="J33" s="701"/>
    </row>
    <row r="34" spans="1:10" x14ac:dyDescent="0.25">
      <c r="A34" s="694" t="s">
        <v>644</v>
      </c>
      <c r="B34" s="694"/>
      <c r="C34" s="691"/>
      <c r="D34" s="691"/>
      <c r="E34" s="699"/>
      <c r="F34" s="699"/>
      <c r="G34" s="700">
        <v>731102</v>
      </c>
      <c r="H34" s="699"/>
      <c r="I34" s="699"/>
      <c r="J34" s="701"/>
    </row>
    <row r="35" spans="1:10" ht="13.8" thickBot="1" x14ac:dyDescent="0.3">
      <c r="A35" s="694" t="s">
        <v>634</v>
      </c>
      <c r="B35" s="694"/>
      <c r="C35" s="691"/>
      <c r="D35" s="691"/>
      <c r="E35" s="699"/>
      <c r="F35" s="699"/>
      <c r="G35" s="705">
        <f>G32+G34</f>
        <v>471723</v>
      </c>
      <c r="H35" s="699"/>
      <c r="I35" s="699"/>
      <c r="J35" s="701"/>
    </row>
    <row r="36" spans="1:10" ht="13.8" thickTop="1" x14ac:dyDescent="0.25">
      <c r="A36" s="701"/>
      <c r="B36" s="701"/>
      <c r="C36" s="701"/>
      <c r="D36" s="701"/>
      <c r="E36" s="701"/>
      <c r="F36" s="701"/>
      <c r="G36" s="701"/>
      <c r="H36" s="701"/>
      <c r="I36" s="701"/>
      <c r="J36" s="701"/>
    </row>
    <row r="37" spans="1:10" ht="13.8" thickBot="1" x14ac:dyDescent="0.3">
      <c r="A37" s="701"/>
      <c r="B37" s="701"/>
      <c r="C37" s="701"/>
      <c r="D37" s="701"/>
      <c r="E37" s="701"/>
      <c r="F37" s="701"/>
      <c r="G37" s="701"/>
      <c r="H37" s="701"/>
      <c r="I37" s="701"/>
      <c r="J37" s="701"/>
    </row>
    <row r="38" spans="1:10" x14ac:dyDescent="0.25">
      <c r="A38" s="965" t="s">
        <v>645</v>
      </c>
      <c r="B38" s="966"/>
      <c r="C38" s="966"/>
      <c r="D38" s="966"/>
      <c r="E38" s="966"/>
      <c r="F38" s="966"/>
      <c r="G38" s="966"/>
      <c r="H38" s="966"/>
      <c r="I38" s="967"/>
      <c r="J38" s="701"/>
    </row>
    <row r="39" spans="1:10" x14ac:dyDescent="0.25">
      <c r="A39" s="968"/>
      <c r="B39" s="969"/>
      <c r="C39" s="969"/>
      <c r="D39" s="969"/>
      <c r="E39" s="969"/>
      <c r="F39" s="969"/>
      <c r="G39" s="969"/>
      <c r="H39" s="969"/>
      <c r="I39" s="970"/>
      <c r="J39" s="701"/>
    </row>
    <row r="40" spans="1:10" x14ac:dyDescent="0.25">
      <c r="A40" s="968"/>
      <c r="B40" s="969"/>
      <c r="C40" s="969"/>
      <c r="D40" s="969"/>
      <c r="E40" s="969"/>
      <c r="F40" s="969"/>
      <c r="G40" s="969"/>
      <c r="H40" s="969"/>
      <c r="I40" s="970"/>
      <c r="J40" s="701"/>
    </row>
    <row r="41" spans="1:10" x14ac:dyDescent="0.25">
      <c r="A41" s="968"/>
      <c r="B41" s="969"/>
      <c r="C41" s="969"/>
      <c r="D41" s="969"/>
      <c r="E41" s="969"/>
      <c r="F41" s="969"/>
      <c r="G41" s="969"/>
      <c r="H41" s="969"/>
      <c r="I41" s="970"/>
      <c r="J41" s="701"/>
    </row>
    <row r="42" spans="1:10" x14ac:dyDescent="0.25">
      <c r="A42" s="968"/>
      <c r="B42" s="969"/>
      <c r="C42" s="969"/>
      <c r="D42" s="969"/>
      <c r="E42" s="969"/>
      <c r="F42" s="969"/>
      <c r="G42" s="969"/>
      <c r="H42" s="969"/>
      <c r="I42" s="970"/>
      <c r="J42" s="701"/>
    </row>
    <row r="43" spans="1:10" x14ac:dyDescent="0.25">
      <c r="A43" s="968"/>
      <c r="B43" s="969"/>
      <c r="C43" s="969"/>
      <c r="D43" s="969"/>
      <c r="E43" s="969"/>
      <c r="F43" s="969"/>
      <c r="G43" s="969"/>
      <c r="H43" s="969"/>
      <c r="I43" s="970"/>
      <c r="J43" s="701"/>
    </row>
    <row r="44" spans="1:10" x14ac:dyDescent="0.25">
      <c r="A44" s="968"/>
      <c r="B44" s="969"/>
      <c r="C44" s="969"/>
      <c r="D44" s="969"/>
      <c r="E44" s="969"/>
      <c r="F44" s="969"/>
      <c r="G44" s="969"/>
      <c r="H44" s="969"/>
      <c r="I44" s="970"/>
      <c r="J44" s="701"/>
    </row>
    <row r="45" spans="1:10" x14ac:dyDescent="0.25">
      <c r="A45" s="968"/>
      <c r="B45" s="969"/>
      <c r="C45" s="969"/>
      <c r="D45" s="969"/>
      <c r="E45" s="969"/>
      <c r="F45" s="969"/>
      <c r="G45" s="969"/>
      <c r="H45" s="969"/>
      <c r="I45" s="970"/>
      <c r="J45" s="701"/>
    </row>
    <row r="46" spans="1:10" s="103" customFormat="1" ht="13.95" customHeight="1" thickBot="1" x14ac:dyDescent="0.3">
      <c r="A46" s="971"/>
      <c r="B46" s="972"/>
      <c r="C46" s="972"/>
      <c r="D46" s="972"/>
      <c r="E46" s="972"/>
      <c r="F46" s="972"/>
      <c r="G46" s="972"/>
      <c r="H46" s="972"/>
      <c r="I46" s="973"/>
      <c r="J46" s="646"/>
    </row>
    <row r="47" spans="1:10" ht="13.95" customHeight="1" x14ac:dyDescent="0.25">
      <c r="A47" s="646"/>
      <c r="B47" s="646"/>
      <c r="C47" s="646"/>
      <c r="D47" s="646"/>
      <c r="E47" s="646"/>
      <c r="F47" s="646"/>
      <c r="G47" s="646"/>
      <c r="H47" s="646"/>
      <c r="I47" s="646"/>
      <c r="J47" s="561"/>
    </row>
  </sheetData>
  <customSheetViews>
    <customSheetView guid="{A8748736-0722-49EB-85B6-C9B52DDCFE0E}" showPageBreaks="1" printArea="1">
      <selection activeCell="I35" sqref="I35"/>
      <pageMargins left="0.75" right="0.75" top="1" bottom="1" header="0.5" footer="0.5"/>
      <printOptions horizontalCentered="1"/>
      <pageSetup firstPageNumber="113" fitToHeight="0" orientation="portrait" useFirstPageNumber="1" r:id="rId1"/>
      <headerFooter alignWithMargins="0"/>
    </customSheetView>
    <customSheetView guid="{E0C60316-4586-4AAF-92CB-FA82BB1EB755}" topLeftCell="A7">
      <selection sqref="A1:I1"/>
      <pageMargins left="0" right="0" top="0" bottom="0" header="0" footer="0"/>
      <printOptions horizontalCentered="1"/>
      <pageSetup firstPageNumber="113" fitToHeight="0" orientation="portrait" useFirstPageNumber="1" r:id="rId2"/>
      <headerFooter alignWithMargins="0"/>
    </customSheetView>
  </customSheetViews>
  <mergeCells count="2">
    <mergeCell ref="A1:I1"/>
    <mergeCell ref="A38:I46"/>
  </mergeCells>
  <printOptions horizontalCentered="1"/>
  <pageMargins left="0.75" right="0.75" top="1" bottom="1" header="0.5" footer="0.5"/>
  <pageSetup firstPageNumber="113" fitToHeight="0" orientation="portrait" useFirstPageNumber="1" r:id="rId3"/>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F00"/>
    <pageSetUpPr fitToPage="1"/>
  </sheetPr>
  <dimension ref="A1:O52"/>
  <sheetViews>
    <sheetView workbookViewId="0"/>
  </sheetViews>
  <sheetFormatPr defaultColWidth="9.109375" defaultRowHeight="13.2" x14ac:dyDescent="0.25"/>
  <cols>
    <col min="1" max="1" width="36.44140625" style="35" customWidth="1"/>
    <col min="2" max="2" width="11.109375" style="35" customWidth="1"/>
    <col min="3" max="3" width="12" style="35" customWidth="1"/>
    <col min="4" max="4" width="13.109375" style="35" customWidth="1"/>
    <col min="5" max="5" width="11" style="35" customWidth="1"/>
    <col min="6" max="6" width="11.33203125" style="35" customWidth="1"/>
    <col min="7" max="8" width="11.6640625" style="35" customWidth="1"/>
    <col min="9" max="9" width="10.88671875" style="35" customWidth="1"/>
    <col min="10" max="10" width="11.5546875" style="35" customWidth="1"/>
    <col min="11" max="11" width="11.109375" style="35" customWidth="1"/>
    <col min="12" max="12" width="11" style="35" bestFit="1" customWidth="1"/>
    <col min="13" max="13" width="11.33203125" style="83" bestFit="1" customWidth="1"/>
    <col min="14" max="14" width="11.44140625" style="35" bestFit="1" customWidth="1"/>
    <col min="15" max="15" width="10.5546875" style="35" bestFit="1" customWidth="1"/>
    <col min="16" max="16384" width="9.109375" style="35"/>
  </cols>
  <sheetData>
    <row r="1" spans="1:13" x14ac:dyDescent="0.25">
      <c r="A1" s="104"/>
      <c r="B1" s="29"/>
      <c r="C1" s="29"/>
      <c r="D1" s="29"/>
      <c r="E1" s="29"/>
      <c r="F1" s="29"/>
      <c r="G1" s="29"/>
      <c r="H1" s="29"/>
      <c r="I1" s="29"/>
      <c r="J1" s="29"/>
      <c r="K1" s="29"/>
      <c r="L1" s="417"/>
      <c r="M1" s="476"/>
    </row>
    <row r="2" spans="1:13" x14ac:dyDescent="0.25">
      <c r="A2" s="977" t="s">
        <v>1</v>
      </c>
      <c r="B2" s="977"/>
      <c r="C2" s="977"/>
      <c r="D2" s="977"/>
      <c r="E2" s="977"/>
      <c r="F2" s="977"/>
      <c r="G2" s="977"/>
      <c r="H2" s="977"/>
      <c r="I2" s="977"/>
      <c r="J2" s="977"/>
      <c r="K2" s="977"/>
      <c r="L2" s="977"/>
      <c r="M2" s="476"/>
    </row>
    <row r="3" spans="1:13" x14ac:dyDescent="0.25">
      <c r="A3" s="977" t="s">
        <v>646</v>
      </c>
      <c r="B3" s="977"/>
      <c r="C3" s="977"/>
      <c r="D3" s="977"/>
      <c r="E3" s="977"/>
      <c r="F3" s="977"/>
      <c r="G3" s="977"/>
      <c r="H3" s="977"/>
      <c r="I3" s="977"/>
      <c r="J3" s="977"/>
      <c r="K3" s="977"/>
      <c r="L3" s="977"/>
      <c r="M3" s="476"/>
    </row>
    <row r="4" spans="1:13" x14ac:dyDescent="0.25">
      <c r="A4" s="977" t="s">
        <v>647</v>
      </c>
      <c r="B4" s="977"/>
      <c r="C4" s="977"/>
      <c r="D4" s="977"/>
      <c r="E4" s="977"/>
      <c r="F4" s="977"/>
      <c r="G4" s="977"/>
      <c r="H4" s="977"/>
      <c r="I4" s="977"/>
      <c r="J4" s="977"/>
      <c r="K4" s="977"/>
      <c r="L4" s="977"/>
      <c r="M4" s="476"/>
    </row>
    <row r="5" spans="1:13" x14ac:dyDescent="0.25">
      <c r="A5" s="978" t="str">
        <f>'GWNetPos 68 Exh 1'!A4:F4</f>
        <v>June 30, 2022</v>
      </c>
      <c r="B5" s="978"/>
      <c r="C5" s="978"/>
      <c r="D5" s="978"/>
      <c r="E5" s="978"/>
      <c r="F5" s="978"/>
      <c r="G5" s="978"/>
      <c r="H5" s="978"/>
      <c r="I5" s="978"/>
      <c r="J5" s="978"/>
      <c r="K5" s="978"/>
      <c r="L5" s="978"/>
      <c r="M5" s="476"/>
    </row>
    <row r="6" spans="1:13" x14ac:dyDescent="0.25">
      <c r="A6" s="29"/>
      <c r="B6" s="29"/>
      <c r="C6" s="29"/>
      <c r="D6" s="29"/>
      <c r="E6" s="29"/>
      <c r="F6" s="29"/>
      <c r="G6" s="29"/>
      <c r="H6" s="29"/>
      <c r="I6" s="29"/>
      <c r="J6" s="29"/>
      <c r="K6" s="29"/>
      <c r="L6" s="29"/>
      <c r="M6" s="476"/>
    </row>
    <row r="7" spans="1:13" x14ac:dyDescent="0.25">
      <c r="A7" s="29"/>
      <c r="B7" s="106"/>
      <c r="C7" s="107" t="s">
        <v>648</v>
      </c>
      <c r="D7" s="107"/>
      <c r="E7" s="107"/>
      <c r="F7" s="107"/>
      <c r="G7" s="107"/>
      <c r="H7" s="106"/>
      <c r="I7" s="979" t="s">
        <v>649</v>
      </c>
      <c r="J7" s="979"/>
      <c r="K7" s="979"/>
      <c r="L7" s="29"/>
      <c r="M7" s="476"/>
    </row>
    <row r="8" spans="1:13" ht="60" x14ac:dyDescent="0.25">
      <c r="A8" s="29"/>
      <c r="B8" s="108" t="s">
        <v>650</v>
      </c>
      <c r="C8" s="108" t="s">
        <v>651</v>
      </c>
      <c r="D8" s="108" t="s">
        <v>652</v>
      </c>
      <c r="E8" s="108" t="s">
        <v>653</v>
      </c>
      <c r="F8" s="108" t="s">
        <v>654</v>
      </c>
      <c r="G8" s="631" t="s">
        <v>655</v>
      </c>
      <c r="H8" s="108" t="s">
        <v>656</v>
      </c>
      <c r="I8" s="108" t="s">
        <v>657</v>
      </c>
      <c r="J8" s="108" t="s">
        <v>658</v>
      </c>
      <c r="K8" s="108" t="s">
        <v>659</v>
      </c>
      <c r="L8" s="108" t="s">
        <v>660</v>
      </c>
      <c r="M8" s="109"/>
    </row>
    <row r="9" spans="1:13" x14ac:dyDescent="0.25">
      <c r="A9" s="110" t="s">
        <v>12</v>
      </c>
      <c r="B9" s="29"/>
      <c r="C9" s="29"/>
      <c r="D9" s="29"/>
      <c r="E9" s="29"/>
      <c r="F9" s="29"/>
      <c r="G9" s="29"/>
      <c r="H9" s="29"/>
      <c r="I9" s="29"/>
      <c r="J9" s="29"/>
      <c r="K9" s="29"/>
      <c r="L9" s="29"/>
      <c r="M9" s="476"/>
    </row>
    <row r="10" spans="1:13" x14ac:dyDescent="0.25">
      <c r="A10" s="29" t="s">
        <v>13</v>
      </c>
      <c r="B10" s="111">
        <f>1450+1000</f>
        <v>2450</v>
      </c>
      <c r="C10" s="111">
        <v>1783</v>
      </c>
      <c r="D10" s="111">
        <v>53478</v>
      </c>
      <c r="E10" s="111">
        <v>2724</v>
      </c>
      <c r="F10" s="111">
        <v>72179</v>
      </c>
      <c r="G10" s="630">
        <v>0</v>
      </c>
      <c r="H10" s="111">
        <f>SUM(B10:G10)</f>
        <v>132614</v>
      </c>
      <c r="I10" s="111">
        <f>2244-1720</f>
        <v>524</v>
      </c>
      <c r="J10" s="111">
        <f>46000+558550-558550</f>
        <v>46000</v>
      </c>
      <c r="K10" s="111">
        <f>SUM(I10:J10)</f>
        <v>46524</v>
      </c>
      <c r="L10" s="111">
        <f>+H10+K10</f>
        <v>179138</v>
      </c>
      <c r="M10" s="476"/>
    </row>
    <row r="11" spans="1:13" x14ac:dyDescent="0.25">
      <c r="A11" s="29" t="s">
        <v>19</v>
      </c>
      <c r="B11" s="112">
        <v>0</v>
      </c>
      <c r="C11" s="112">
        <v>0</v>
      </c>
      <c r="D11" s="112">
        <v>0</v>
      </c>
      <c r="E11" s="112">
        <v>0</v>
      </c>
      <c r="F11" s="112">
        <v>0</v>
      </c>
      <c r="G11" s="628">
        <v>290000</v>
      </c>
      <c r="H11" s="111">
        <f t="shared" ref="H11:H14" si="0">SUM(B11:G11)</f>
        <v>290000</v>
      </c>
      <c r="I11" s="112">
        <v>1720</v>
      </c>
      <c r="J11" s="112">
        <v>558550</v>
      </c>
      <c r="K11" s="112">
        <f>SUM(I11:J11)</f>
        <v>560270</v>
      </c>
      <c r="L11" s="111">
        <f t="shared" ref="L11:L14" si="1">+H11+K11</f>
        <v>850270</v>
      </c>
      <c r="M11" s="476"/>
    </row>
    <row r="12" spans="1:13" x14ac:dyDescent="0.25">
      <c r="A12" s="29" t="s">
        <v>661</v>
      </c>
      <c r="B12" s="112">
        <v>0</v>
      </c>
      <c r="C12" s="112">
        <v>0</v>
      </c>
      <c r="D12" s="112">
        <v>0</v>
      </c>
      <c r="E12" s="112">
        <v>0</v>
      </c>
      <c r="F12" s="112">
        <v>2687</v>
      </c>
      <c r="G12" s="112">
        <v>0</v>
      </c>
      <c r="H12" s="111">
        <f t="shared" si="0"/>
        <v>2687</v>
      </c>
      <c r="I12" s="112">
        <v>9093</v>
      </c>
      <c r="J12" s="112">
        <v>0</v>
      </c>
      <c r="K12" s="112">
        <f>SUM(I12:J12)</f>
        <v>9093</v>
      </c>
      <c r="L12" s="111">
        <f t="shared" si="1"/>
        <v>11780</v>
      </c>
      <c r="M12" s="476"/>
    </row>
    <row r="13" spans="1:13" x14ac:dyDescent="0.25">
      <c r="A13" s="29" t="s">
        <v>662</v>
      </c>
      <c r="B13" s="112">
        <v>4478</v>
      </c>
      <c r="C13" s="112">
        <v>1345</v>
      </c>
      <c r="D13" s="112">
        <v>0</v>
      </c>
      <c r="E13" s="112">
        <v>0</v>
      </c>
      <c r="F13" s="112">
        <v>0</v>
      </c>
      <c r="G13" s="112">
        <v>0</v>
      </c>
      <c r="H13" s="111">
        <f t="shared" si="0"/>
        <v>5823</v>
      </c>
      <c r="I13" s="112">
        <v>0</v>
      </c>
      <c r="J13" s="112">
        <v>0</v>
      </c>
      <c r="K13" s="112">
        <v>0</v>
      </c>
      <c r="L13" s="111">
        <f t="shared" si="1"/>
        <v>5823</v>
      </c>
      <c r="M13" s="476" t="s">
        <v>122</v>
      </c>
    </row>
    <row r="14" spans="1:13" x14ac:dyDescent="0.25">
      <c r="A14" s="29" t="s">
        <v>15</v>
      </c>
      <c r="B14" s="114">
        <v>0</v>
      </c>
      <c r="C14" s="114">
        <v>0</v>
      </c>
      <c r="D14" s="113">
        <v>0</v>
      </c>
      <c r="E14" s="113">
        <v>0</v>
      </c>
      <c r="F14" s="113">
        <v>0</v>
      </c>
      <c r="G14" s="113">
        <v>0</v>
      </c>
      <c r="H14" s="111">
        <f t="shared" si="0"/>
        <v>0</v>
      </c>
      <c r="I14" s="114">
        <v>0</v>
      </c>
      <c r="J14" s="114">
        <f>57800-3000</f>
        <v>54800</v>
      </c>
      <c r="K14" s="112">
        <f>SUM(I14:J14)</f>
        <v>54800</v>
      </c>
      <c r="L14" s="111">
        <f t="shared" si="1"/>
        <v>54800</v>
      </c>
      <c r="M14" s="476"/>
    </row>
    <row r="15" spans="1:13" ht="13.8" thickBot="1" x14ac:dyDescent="0.3">
      <c r="A15" s="29" t="s">
        <v>27</v>
      </c>
      <c r="B15" s="115">
        <f t="shared" ref="B15:L15" si="2">SUM(B10:B14)</f>
        <v>6928</v>
      </c>
      <c r="C15" s="115">
        <f t="shared" si="2"/>
        <v>3128</v>
      </c>
      <c r="D15" s="115">
        <f>SUM(D10:D14)</f>
        <v>53478</v>
      </c>
      <c r="E15" s="115">
        <f>SUM(E10:E14)</f>
        <v>2724</v>
      </c>
      <c r="F15" s="115">
        <f>SUM(F10:F14)</f>
        <v>74866</v>
      </c>
      <c r="G15" s="115">
        <f>SUM(G10:G14)</f>
        <v>290000</v>
      </c>
      <c r="H15" s="115">
        <f>SUM(H10:H14)</f>
        <v>431124</v>
      </c>
      <c r="I15" s="115">
        <f t="shared" si="2"/>
        <v>11337</v>
      </c>
      <c r="J15" s="115">
        <f t="shared" si="2"/>
        <v>659350</v>
      </c>
      <c r="K15" s="115">
        <f t="shared" si="2"/>
        <v>670687</v>
      </c>
      <c r="L15" s="115">
        <f t="shared" si="2"/>
        <v>1101811</v>
      </c>
      <c r="M15" s="476"/>
    </row>
    <row r="16" spans="1:13" ht="7.35" customHeight="1" thickTop="1" x14ac:dyDescent="0.25">
      <c r="A16" s="29"/>
      <c r="B16" s="29"/>
      <c r="C16" s="29"/>
      <c r="D16" s="29"/>
      <c r="E16" s="29"/>
      <c r="F16" s="29"/>
      <c r="G16" s="29"/>
      <c r="H16" s="29"/>
      <c r="I16" s="29"/>
      <c r="J16" s="29"/>
      <c r="K16" s="29"/>
      <c r="L16" s="29"/>
      <c r="M16" s="476"/>
    </row>
    <row r="17" spans="1:12" x14ac:dyDescent="0.25">
      <c r="A17" s="110" t="s">
        <v>117</v>
      </c>
      <c r="B17" s="29"/>
      <c r="C17" s="29"/>
      <c r="D17" s="29"/>
      <c r="E17" s="29"/>
      <c r="F17" s="29"/>
      <c r="G17" s="29"/>
      <c r="H17" s="29"/>
      <c r="I17" s="29"/>
      <c r="J17" s="29"/>
      <c r="K17" s="29"/>
      <c r="L17" s="29"/>
    </row>
    <row r="18" spans="1:12" x14ac:dyDescent="0.25">
      <c r="A18" s="29" t="s">
        <v>118</v>
      </c>
      <c r="B18" s="29"/>
      <c r="C18" s="29"/>
      <c r="D18" s="29"/>
      <c r="E18" s="29"/>
      <c r="F18" s="29"/>
      <c r="G18" s="29"/>
      <c r="H18" s="29"/>
      <c r="I18" s="29"/>
      <c r="J18" s="29"/>
      <c r="K18" s="29"/>
      <c r="L18" s="29"/>
    </row>
    <row r="19" spans="1:12" ht="27.9" customHeight="1" x14ac:dyDescent="0.25">
      <c r="A19" s="116" t="s">
        <v>663</v>
      </c>
      <c r="B19" s="111">
        <v>4478</v>
      </c>
      <c r="C19" s="111">
        <v>0</v>
      </c>
      <c r="D19" s="111">
        <v>7132</v>
      </c>
      <c r="E19" s="111">
        <v>0</v>
      </c>
      <c r="F19" s="111">
        <v>0</v>
      </c>
      <c r="G19" s="111">
        <v>0</v>
      </c>
      <c r="H19" s="111">
        <f>SUM(B19:G19)</f>
        <v>11610</v>
      </c>
      <c r="I19" s="111">
        <v>3368</v>
      </c>
      <c r="J19" s="111">
        <v>5500</v>
      </c>
      <c r="K19" s="111">
        <f>SUM(I19:J19)</f>
        <v>8868</v>
      </c>
      <c r="L19" s="111">
        <f>K19+H19</f>
        <v>20478</v>
      </c>
    </row>
    <row r="20" spans="1:12" x14ac:dyDescent="0.25">
      <c r="A20" s="117" t="s">
        <v>32</v>
      </c>
      <c r="B20" s="112">
        <v>0</v>
      </c>
      <c r="C20" s="112">
        <v>0</v>
      </c>
      <c r="D20" s="112">
        <v>0</v>
      </c>
      <c r="E20" s="112">
        <v>2724</v>
      </c>
      <c r="F20" s="112">
        <v>72179</v>
      </c>
      <c r="G20" s="112">
        <v>0</v>
      </c>
      <c r="H20" s="111">
        <f t="shared" ref="H20:H22" si="3">SUM(B20:G20)</f>
        <v>74903</v>
      </c>
      <c r="I20" s="112">
        <v>0</v>
      </c>
      <c r="J20" s="112">
        <v>0</v>
      </c>
      <c r="K20" s="112">
        <f>SUM(I20:J20)</f>
        <v>0</v>
      </c>
      <c r="L20" s="111">
        <f t="shared" ref="L20:L22" si="4">K20+H20</f>
        <v>74903</v>
      </c>
    </row>
    <row r="21" spans="1:12" x14ac:dyDescent="0.25">
      <c r="A21" s="117" t="s">
        <v>121</v>
      </c>
      <c r="B21" s="112">
        <v>0</v>
      </c>
      <c r="C21" s="112">
        <v>0</v>
      </c>
      <c r="D21" s="112">
        <v>0</v>
      </c>
      <c r="E21" s="112">
        <v>0</v>
      </c>
      <c r="F21" s="112">
        <v>0</v>
      </c>
      <c r="G21" s="112">
        <v>0</v>
      </c>
      <c r="H21" s="111">
        <f t="shared" si="3"/>
        <v>0</v>
      </c>
      <c r="I21" s="112">
        <v>0</v>
      </c>
      <c r="J21" s="112">
        <v>85030</v>
      </c>
      <c r="K21" s="112">
        <f>SUM(I21:J21)</f>
        <v>85030</v>
      </c>
      <c r="L21" s="111">
        <f t="shared" si="4"/>
        <v>85030</v>
      </c>
    </row>
    <row r="22" spans="1:12" x14ac:dyDescent="0.25">
      <c r="A22" s="117" t="s">
        <v>1115</v>
      </c>
      <c r="B22" s="112">
        <v>0</v>
      </c>
      <c r="C22" s="112">
        <v>0</v>
      </c>
      <c r="D22" s="112">
        <v>0</v>
      </c>
      <c r="E22" s="112">
        <v>0</v>
      </c>
      <c r="F22" s="112">
        <v>0</v>
      </c>
      <c r="G22" s="628">
        <v>290000</v>
      </c>
      <c r="H22" s="111">
        <f t="shared" si="3"/>
        <v>290000</v>
      </c>
      <c r="I22" s="112">
        <v>0</v>
      </c>
      <c r="J22" s="112">
        <v>0</v>
      </c>
      <c r="K22" s="112">
        <f>SUM(I22:J22)</f>
        <v>0</v>
      </c>
      <c r="L22" s="111">
        <f t="shared" si="4"/>
        <v>290000</v>
      </c>
    </row>
    <row r="23" spans="1:12" x14ac:dyDescent="0.25">
      <c r="A23" s="118" t="s">
        <v>39</v>
      </c>
      <c r="B23" s="119">
        <f t="shared" ref="B23:L23" si="5">SUM(B19:B22)</f>
        <v>4478</v>
      </c>
      <c r="C23" s="119">
        <f t="shared" si="5"/>
        <v>0</v>
      </c>
      <c r="D23" s="119">
        <f t="shared" si="5"/>
        <v>7132</v>
      </c>
      <c r="E23" s="119">
        <f t="shared" si="5"/>
        <v>2724</v>
      </c>
      <c r="F23" s="119">
        <f t="shared" si="5"/>
        <v>72179</v>
      </c>
      <c r="G23" s="119">
        <f t="shared" si="5"/>
        <v>290000</v>
      </c>
      <c r="H23" s="119">
        <f t="shared" si="5"/>
        <v>376513</v>
      </c>
      <c r="I23" s="119">
        <f t="shared" si="5"/>
        <v>3368</v>
      </c>
      <c r="J23" s="119">
        <f t="shared" si="5"/>
        <v>90530</v>
      </c>
      <c r="K23" s="119">
        <f t="shared" si="5"/>
        <v>93898</v>
      </c>
      <c r="L23" s="119">
        <f t="shared" si="5"/>
        <v>470411</v>
      </c>
    </row>
    <row r="24" spans="1:12" ht="7.35" customHeight="1" x14ac:dyDescent="0.25">
      <c r="A24" s="118"/>
      <c r="B24" s="113"/>
      <c r="C24" s="113"/>
      <c r="D24" s="113"/>
      <c r="E24" s="113"/>
      <c r="F24" s="113"/>
      <c r="G24" s="113"/>
      <c r="H24" s="113"/>
      <c r="I24" s="113"/>
      <c r="J24" s="113"/>
      <c r="K24" s="113"/>
      <c r="L24" s="113"/>
    </row>
    <row r="25" spans="1:12" x14ac:dyDescent="0.25">
      <c r="A25" s="110" t="s">
        <v>40</v>
      </c>
      <c r="B25" s="113"/>
      <c r="C25" s="113"/>
      <c r="D25" s="113"/>
      <c r="E25" s="113"/>
      <c r="F25" s="113"/>
      <c r="G25" s="113"/>
      <c r="H25" s="113"/>
      <c r="I25" s="113"/>
      <c r="J25" s="113"/>
      <c r="K25" s="113"/>
      <c r="L25" s="113"/>
    </row>
    <row r="26" spans="1:12" x14ac:dyDescent="0.25">
      <c r="A26" s="116" t="s">
        <v>664</v>
      </c>
      <c r="B26" s="113">
        <v>0</v>
      </c>
      <c r="C26" s="113">
        <v>1345</v>
      </c>
      <c r="D26" s="113">
        <v>0</v>
      </c>
      <c r="E26" s="113">
        <v>0</v>
      </c>
      <c r="F26" s="113">
        <v>0</v>
      </c>
      <c r="G26" s="113">
        <v>0</v>
      </c>
      <c r="H26" s="113">
        <f>SUM(B26:G26)</f>
        <v>1345</v>
      </c>
      <c r="I26" s="113">
        <v>0</v>
      </c>
      <c r="J26" s="113">
        <v>0</v>
      </c>
      <c r="K26" s="113">
        <v>0</v>
      </c>
      <c r="L26" s="113">
        <f>K26+H26</f>
        <v>1345</v>
      </c>
    </row>
    <row r="27" spans="1:12" x14ac:dyDescent="0.25">
      <c r="A27" s="118" t="s">
        <v>665</v>
      </c>
      <c r="B27" s="119">
        <f t="shared" ref="B27:H27" si="6">SUM(B26)</f>
        <v>0</v>
      </c>
      <c r="C27" s="119">
        <f t="shared" si="6"/>
        <v>1345</v>
      </c>
      <c r="D27" s="119">
        <f t="shared" si="6"/>
        <v>0</v>
      </c>
      <c r="E27" s="119">
        <f t="shared" si="6"/>
        <v>0</v>
      </c>
      <c r="F27" s="119">
        <f t="shared" si="6"/>
        <v>0</v>
      </c>
      <c r="G27" s="119">
        <f>SUM(G26)</f>
        <v>0</v>
      </c>
      <c r="H27" s="119">
        <f t="shared" si="6"/>
        <v>1345</v>
      </c>
      <c r="I27" s="119">
        <f>SUM(I26:I26)</f>
        <v>0</v>
      </c>
      <c r="J27" s="119">
        <f>SUM(J26:J26)</f>
        <v>0</v>
      </c>
      <c r="K27" s="119">
        <f>SUM(K26:K26)</f>
        <v>0</v>
      </c>
      <c r="L27" s="119">
        <f>K27+H27</f>
        <v>1345</v>
      </c>
    </row>
    <row r="28" spans="1:12" ht="7.35" customHeight="1" x14ac:dyDescent="0.25">
      <c r="A28" s="29"/>
      <c r="B28" s="29"/>
      <c r="C28" s="29"/>
      <c r="D28" s="29"/>
      <c r="E28" s="29"/>
      <c r="F28" s="29"/>
      <c r="G28" s="29"/>
      <c r="H28" s="29"/>
      <c r="I28" s="29"/>
      <c r="J28" s="29"/>
      <c r="K28" s="29"/>
      <c r="L28" s="29"/>
    </row>
    <row r="29" spans="1:12" x14ac:dyDescent="0.25">
      <c r="A29" s="29" t="s">
        <v>123</v>
      </c>
      <c r="B29" s="29"/>
      <c r="C29" s="29"/>
      <c r="D29" s="29"/>
      <c r="E29" s="29"/>
      <c r="F29" s="29"/>
      <c r="G29" s="29"/>
      <c r="H29" s="29"/>
      <c r="I29" s="29"/>
      <c r="J29" s="29"/>
      <c r="K29" s="29"/>
      <c r="L29" s="29"/>
    </row>
    <row r="30" spans="1:12" x14ac:dyDescent="0.25">
      <c r="A30" s="117" t="s">
        <v>126</v>
      </c>
      <c r="B30" s="112"/>
      <c r="C30" s="112"/>
      <c r="D30" s="112"/>
      <c r="E30" s="112"/>
      <c r="F30" s="112"/>
      <c r="G30" s="112"/>
      <c r="H30" s="112"/>
      <c r="I30" s="112"/>
      <c r="J30" s="112"/>
      <c r="K30" s="112"/>
      <c r="L30" s="404"/>
    </row>
    <row r="31" spans="1:12" x14ac:dyDescent="0.25">
      <c r="A31" s="117" t="s">
        <v>666</v>
      </c>
      <c r="B31" s="112">
        <v>4478</v>
      </c>
      <c r="C31" s="112">
        <v>0</v>
      </c>
      <c r="D31" s="112">
        <v>0</v>
      </c>
      <c r="E31" s="112">
        <v>0</v>
      </c>
      <c r="F31" s="112">
        <v>0</v>
      </c>
      <c r="G31" s="112">
        <v>0</v>
      </c>
      <c r="H31" s="112">
        <f>SUM(B31:G31)</f>
        <v>4478</v>
      </c>
      <c r="I31" s="112">
        <v>0</v>
      </c>
      <c r="J31" s="112">
        <v>0</v>
      </c>
      <c r="K31" s="112">
        <f>SUM(I31:J31)</f>
        <v>0</v>
      </c>
      <c r="L31" s="112">
        <f>K31+H31</f>
        <v>4478</v>
      </c>
    </row>
    <row r="32" spans="1:12" x14ac:dyDescent="0.25">
      <c r="A32" s="117" t="s">
        <v>667</v>
      </c>
      <c r="B32" s="112">
        <v>0</v>
      </c>
      <c r="C32" s="112">
        <v>1783</v>
      </c>
      <c r="D32" s="112">
        <v>0</v>
      </c>
      <c r="E32" s="112">
        <v>0</v>
      </c>
      <c r="F32" s="112">
        <v>0</v>
      </c>
      <c r="G32" s="112">
        <v>0</v>
      </c>
      <c r="H32" s="112">
        <f t="shared" ref="H32:H40" si="7">SUM(B32:G32)</f>
        <v>1783</v>
      </c>
      <c r="I32" s="112">
        <v>0</v>
      </c>
      <c r="J32" s="112">
        <v>0</v>
      </c>
      <c r="K32" s="112">
        <f>SUM(I32:J32)</f>
        <v>0</v>
      </c>
      <c r="L32" s="112">
        <f t="shared" ref="L32:L40" si="8">K32+H32</f>
        <v>1783</v>
      </c>
    </row>
    <row r="33" spans="1:15" x14ac:dyDescent="0.25">
      <c r="A33" s="117" t="s">
        <v>668</v>
      </c>
      <c r="B33" s="112">
        <v>0</v>
      </c>
      <c r="C33" s="112">
        <v>0</v>
      </c>
      <c r="D33" s="112">
        <v>0</v>
      </c>
      <c r="E33" s="112">
        <v>0</v>
      </c>
      <c r="F33" s="112">
        <v>0</v>
      </c>
      <c r="G33" s="112">
        <v>0</v>
      </c>
      <c r="H33" s="112">
        <f t="shared" si="7"/>
        <v>0</v>
      </c>
      <c r="I33" s="112">
        <v>0</v>
      </c>
      <c r="J33" s="112">
        <v>558550</v>
      </c>
      <c r="K33" s="112">
        <f>SUM(I33:J33)</f>
        <v>558550</v>
      </c>
      <c r="L33" s="112">
        <f t="shared" si="8"/>
        <v>558550</v>
      </c>
    </row>
    <row r="34" spans="1:15" x14ac:dyDescent="0.25">
      <c r="A34" s="117" t="s">
        <v>669</v>
      </c>
      <c r="B34" s="112">
        <v>0</v>
      </c>
      <c r="C34" s="112">
        <v>0</v>
      </c>
      <c r="D34" s="112">
        <v>46346</v>
      </c>
      <c r="E34" s="112">
        <v>0</v>
      </c>
      <c r="F34" s="112">
        <v>0</v>
      </c>
      <c r="G34" s="112">
        <v>0</v>
      </c>
      <c r="H34" s="112">
        <f t="shared" si="7"/>
        <v>46346</v>
      </c>
      <c r="I34" s="112">
        <v>0</v>
      </c>
      <c r="J34" s="112">
        <v>0</v>
      </c>
      <c r="K34" s="112">
        <v>0</v>
      </c>
      <c r="L34" s="112">
        <f t="shared" si="8"/>
        <v>46346</v>
      </c>
      <c r="M34" s="476"/>
      <c r="N34" s="404"/>
    </row>
    <row r="35" spans="1:15" hidden="1" x14ac:dyDescent="0.25">
      <c r="A35" s="632" t="s">
        <v>1105</v>
      </c>
      <c r="B35" s="112">
        <v>0</v>
      </c>
      <c r="C35" s="112">
        <v>0</v>
      </c>
      <c r="D35" s="112">
        <v>0</v>
      </c>
      <c r="E35" s="112">
        <v>0</v>
      </c>
      <c r="F35" s="112">
        <v>0</v>
      </c>
      <c r="G35" s="112">
        <v>0</v>
      </c>
      <c r="H35" s="112">
        <f t="shared" si="7"/>
        <v>0</v>
      </c>
      <c r="I35" s="112"/>
      <c r="J35" s="112"/>
      <c r="K35" s="112"/>
      <c r="L35" s="112">
        <f t="shared" si="8"/>
        <v>0</v>
      </c>
      <c r="M35" s="476"/>
      <c r="N35" s="404"/>
    </row>
    <row r="36" spans="1:15" x14ac:dyDescent="0.25">
      <c r="A36" s="117" t="s">
        <v>670</v>
      </c>
      <c r="B36" s="112">
        <v>0</v>
      </c>
      <c r="C36" s="112">
        <v>0</v>
      </c>
      <c r="D36" s="112">
        <v>0</v>
      </c>
      <c r="E36" s="112">
        <v>0</v>
      </c>
      <c r="F36" s="112">
        <v>2687</v>
      </c>
      <c r="G36" s="112">
        <v>0</v>
      </c>
      <c r="H36" s="112">
        <f t="shared" si="7"/>
        <v>2687</v>
      </c>
      <c r="I36" s="112">
        <v>0</v>
      </c>
      <c r="J36" s="112">
        <v>0</v>
      </c>
      <c r="K36" s="112">
        <v>0</v>
      </c>
      <c r="L36" s="112">
        <f t="shared" si="8"/>
        <v>2687</v>
      </c>
      <c r="M36" s="476"/>
      <c r="N36" s="404"/>
    </row>
    <row r="37" spans="1:15" x14ac:dyDescent="0.25">
      <c r="A37" s="117" t="s">
        <v>671</v>
      </c>
      <c r="B37" s="112"/>
      <c r="C37" s="112"/>
      <c r="D37" s="112"/>
      <c r="E37" s="112"/>
      <c r="F37" s="112"/>
      <c r="G37" s="112"/>
      <c r="H37" s="112">
        <f t="shared" si="7"/>
        <v>0</v>
      </c>
      <c r="I37" s="112"/>
      <c r="J37" s="112"/>
      <c r="K37" s="112"/>
      <c r="L37" s="112">
        <f t="shared" si="8"/>
        <v>0</v>
      </c>
      <c r="M37" s="476"/>
      <c r="N37" s="404"/>
    </row>
    <row r="38" spans="1:15" x14ac:dyDescent="0.25">
      <c r="A38" s="117" t="s">
        <v>672</v>
      </c>
      <c r="B38" s="112"/>
      <c r="C38" s="112">
        <v>0</v>
      </c>
      <c r="D38" s="112">
        <v>0</v>
      </c>
      <c r="E38" s="112">
        <v>0</v>
      </c>
      <c r="F38" s="112">
        <v>0</v>
      </c>
      <c r="G38" s="112">
        <v>0</v>
      </c>
      <c r="H38" s="112">
        <f t="shared" si="7"/>
        <v>0</v>
      </c>
      <c r="I38" s="112">
        <v>7969</v>
      </c>
      <c r="J38" s="112">
        <v>0</v>
      </c>
      <c r="K38" s="112">
        <f>SUM(I38:J38)</f>
        <v>7969</v>
      </c>
      <c r="L38" s="112">
        <f t="shared" si="8"/>
        <v>7969</v>
      </c>
      <c r="M38" s="476"/>
      <c r="N38" s="404"/>
    </row>
    <row r="39" spans="1:15" x14ac:dyDescent="0.25">
      <c r="A39" s="117" t="s">
        <v>673</v>
      </c>
      <c r="B39" s="112">
        <v>0</v>
      </c>
      <c r="C39" s="112">
        <v>0</v>
      </c>
      <c r="D39" s="112">
        <v>0</v>
      </c>
      <c r="E39" s="112">
        <v>0</v>
      </c>
      <c r="F39" s="112">
        <v>0</v>
      </c>
      <c r="G39" s="112">
        <v>0</v>
      </c>
      <c r="H39" s="112">
        <f t="shared" si="7"/>
        <v>0</v>
      </c>
      <c r="I39" s="112">
        <v>0</v>
      </c>
      <c r="J39" s="112">
        <v>10270</v>
      </c>
      <c r="K39" s="112">
        <f>SUM(I39:J39)</f>
        <v>10270</v>
      </c>
      <c r="L39" s="112">
        <f t="shared" si="8"/>
        <v>10270</v>
      </c>
      <c r="M39" s="476"/>
      <c r="N39" s="404"/>
    </row>
    <row r="40" spans="1:15" x14ac:dyDescent="0.25">
      <c r="A40" s="117" t="s">
        <v>674</v>
      </c>
      <c r="B40" s="114">
        <f>-3028+1000</f>
        <v>-2028</v>
      </c>
      <c r="C40" s="114">
        <v>0</v>
      </c>
      <c r="D40" s="113">
        <v>0</v>
      </c>
      <c r="E40" s="113">
        <v>0</v>
      </c>
      <c r="F40" s="113">
        <v>0</v>
      </c>
      <c r="G40" s="113">
        <v>0</v>
      </c>
      <c r="H40" s="112">
        <f t="shared" si="7"/>
        <v>-2028</v>
      </c>
      <c r="I40" s="114">
        <v>0</v>
      </c>
      <c r="J40" s="114">
        <v>0</v>
      </c>
      <c r="K40" s="112">
        <f>SUM(I40:J40)</f>
        <v>0</v>
      </c>
      <c r="L40" s="112">
        <f t="shared" si="8"/>
        <v>-2028</v>
      </c>
      <c r="M40" s="476"/>
      <c r="N40" s="404"/>
    </row>
    <row r="41" spans="1:15" x14ac:dyDescent="0.25">
      <c r="A41" s="120" t="s">
        <v>138</v>
      </c>
      <c r="B41" s="119">
        <f t="shared" ref="B41:K41" si="9">SUM(B30:B40)</f>
        <v>2450</v>
      </c>
      <c r="C41" s="119">
        <f t="shared" si="9"/>
        <v>1783</v>
      </c>
      <c r="D41" s="119">
        <f t="shared" ref="D41:H41" si="10">SUM(D30:D40)</f>
        <v>46346</v>
      </c>
      <c r="E41" s="119">
        <f t="shared" si="10"/>
        <v>0</v>
      </c>
      <c r="F41" s="119">
        <f t="shared" si="10"/>
        <v>2687</v>
      </c>
      <c r="G41" s="119">
        <f t="shared" si="10"/>
        <v>0</v>
      </c>
      <c r="H41" s="119">
        <f t="shared" si="10"/>
        <v>53266</v>
      </c>
      <c r="I41" s="119">
        <f t="shared" si="9"/>
        <v>7969</v>
      </c>
      <c r="J41" s="119">
        <f t="shared" si="9"/>
        <v>568820</v>
      </c>
      <c r="K41" s="119">
        <f t="shared" si="9"/>
        <v>576789</v>
      </c>
      <c r="L41" s="119">
        <f>SUM(L31:L40)</f>
        <v>630055</v>
      </c>
      <c r="M41" s="476"/>
      <c r="N41" s="404" t="str">
        <f>IF(L15=L42," ", "Out of balance")</f>
        <v xml:space="preserve"> </v>
      </c>
    </row>
    <row r="42" spans="1:15" ht="30.6" customHeight="1" thickBot="1" x14ac:dyDescent="0.3">
      <c r="A42" s="650" t="s">
        <v>139</v>
      </c>
      <c r="B42" s="121">
        <f t="shared" ref="B42:L42" si="11">+B23+B41+B27</f>
        <v>6928</v>
      </c>
      <c r="C42" s="121">
        <f t="shared" si="11"/>
        <v>3128</v>
      </c>
      <c r="D42" s="121">
        <f t="shared" ref="D42:H42" si="12">+D23+D41+D27</f>
        <v>53478</v>
      </c>
      <c r="E42" s="121">
        <f t="shared" si="12"/>
        <v>2724</v>
      </c>
      <c r="F42" s="121">
        <f t="shared" si="12"/>
        <v>74866</v>
      </c>
      <c r="G42" s="121">
        <f t="shared" si="12"/>
        <v>290000</v>
      </c>
      <c r="H42" s="121">
        <f t="shared" si="12"/>
        <v>431124</v>
      </c>
      <c r="I42" s="121">
        <f t="shared" si="11"/>
        <v>11337</v>
      </c>
      <c r="J42" s="121">
        <f t="shared" si="11"/>
        <v>659350</v>
      </c>
      <c r="K42" s="121">
        <f t="shared" si="11"/>
        <v>670687</v>
      </c>
      <c r="L42" s="121">
        <f t="shared" si="11"/>
        <v>1101811</v>
      </c>
      <c r="M42" s="476"/>
      <c r="N42" s="430">
        <f>'Rev, exp, chgs in fb Exh 4'!C55+'Rev, exp, chgs in fb Exh 4'!D55</f>
        <v>630055</v>
      </c>
      <c r="O42" s="1131">
        <f>+L42-N42</f>
        <v>471756</v>
      </c>
    </row>
    <row r="43" spans="1:15" ht="13.8" thickTop="1" x14ac:dyDescent="0.25">
      <c r="A43" s="404"/>
      <c r="B43" s="404"/>
      <c r="C43" s="404"/>
      <c r="D43" s="404"/>
      <c r="E43" s="404"/>
      <c r="F43" s="404"/>
      <c r="G43" s="404"/>
      <c r="H43" s="404"/>
      <c r="I43" s="404"/>
      <c r="J43" s="404"/>
      <c r="K43" s="404"/>
      <c r="L43" s="430"/>
      <c r="M43" s="476"/>
      <c r="N43" s="404"/>
    </row>
    <row r="44" spans="1:15" ht="45" customHeight="1" x14ac:dyDescent="0.25">
      <c r="A44" s="974" t="s">
        <v>675</v>
      </c>
      <c r="B44" s="975"/>
      <c r="C44" s="975"/>
      <c r="D44" s="976"/>
      <c r="E44" s="404"/>
      <c r="F44" s="974" t="s">
        <v>676</v>
      </c>
      <c r="G44" s="975"/>
      <c r="H44" s="975"/>
      <c r="I44" s="975"/>
      <c r="J44" s="975"/>
      <c r="K44" s="975"/>
      <c r="L44" s="976"/>
      <c r="M44" s="476"/>
      <c r="N44" s="404"/>
    </row>
    <row r="45" spans="1:15" ht="13.2" customHeight="1" x14ac:dyDescent="0.25">
      <c r="A45" s="404"/>
      <c r="B45" s="404"/>
      <c r="C45" s="404"/>
      <c r="D45" s="404"/>
      <c r="E45" s="404"/>
      <c r="F45" s="404"/>
      <c r="G45"/>
      <c r="H45"/>
      <c r="I45"/>
      <c r="J45"/>
      <c r="K45"/>
      <c r="L45"/>
      <c r="M45" s="476"/>
      <c r="N45" s="404"/>
    </row>
    <row r="46" spans="1:15" ht="13.2" customHeight="1" x14ac:dyDescent="0.25">
      <c r="A46" s="404"/>
      <c r="B46" s="404"/>
      <c r="C46" s="404"/>
      <c r="D46" s="404"/>
      <c r="E46" s="404"/>
      <c r="F46" s="404"/>
      <c r="G46"/>
      <c r="H46"/>
      <c r="I46"/>
      <c r="J46"/>
      <c r="K46"/>
      <c r="L46"/>
      <c r="M46" s="476"/>
      <c r="N46" s="404"/>
    </row>
    <row r="47" spans="1:15" ht="13.2" customHeight="1" x14ac:dyDescent="0.25">
      <c r="A47" s="404"/>
      <c r="B47" s="404"/>
      <c r="C47" s="404"/>
      <c r="D47" s="404"/>
      <c r="E47" s="404"/>
      <c r="F47" s="404"/>
      <c r="G47"/>
      <c r="H47"/>
      <c r="I47"/>
      <c r="J47"/>
      <c r="K47"/>
      <c r="L47"/>
      <c r="M47" s="476"/>
      <c r="N47" s="404"/>
    </row>
    <row r="48" spans="1:15" ht="13.2" customHeight="1" x14ac:dyDescent="0.25">
      <c r="A48" s="404"/>
      <c r="B48" s="404"/>
      <c r="C48" s="404"/>
      <c r="D48" s="404"/>
      <c r="E48" s="404"/>
      <c r="F48" s="404"/>
      <c r="G48"/>
      <c r="H48"/>
      <c r="I48"/>
      <c r="J48"/>
      <c r="K48"/>
      <c r="L48"/>
      <c r="M48" s="476"/>
      <c r="N48" s="404"/>
    </row>
    <row r="49" spans="1:14" x14ac:dyDescent="0.25">
      <c r="A49" s="404"/>
      <c r="B49" s="404"/>
      <c r="C49" s="404"/>
      <c r="D49" s="404"/>
      <c r="E49" s="404"/>
      <c r="F49" s="404"/>
      <c r="G49" s="404"/>
      <c r="H49" s="404"/>
      <c r="I49" s="122"/>
      <c r="J49" s="122"/>
      <c r="K49" s="122"/>
      <c r="L49" s="122"/>
      <c r="M49" s="476"/>
      <c r="N49" s="404"/>
    </row>
    <row r="52" spans="1:14" x14ac:dyDescent="0.25">
      <c r="G52" s="706"/>
      <c r="H52" s="706"/>
    </row>
  </sheetData>
  <customSheetViews>
    <customSheetView guid="{A8748736-0722-49EB-85B6-C9B52DDCFE0E}" showPageBreaks="1" printArea="1" topLeftCell="A4">
      <selection activeCell="N33" sqref="N33"/>
      <colBreaks count="1" manualBreakCount="1">
        <brk id="13" max="1048575" man="1"/>
      </colBreaks>
      <pageMargins left="0.75" right="0.75" top="1" bottom="1" header="0.5" footer="0.5"/>
      <printOptions horizontalCentered="1"/>
      <pageSetup scale="76" firstPageNumber="112" fitToWidth="0" orientation="landscape" useFirstPageNumber="1" r:id="rId1"/>
      <headerFooter alignWithMargins="0"/>
    </customSheetView>
    <customSheetView guid="{E0C60316-4586-4AAF-92CB-FA82BB1EB755}">
      <selection activeCell="D11" sqref="D11"/>
      <colBreaks count="1" manualBreakCount="1">
        <brk id="8" max="1048575" man="1"/>
      </colBreaks>
      <pageMargins left="0" right="0" top="0" bottom="0" header="0" footer="0"/>
      <printOptions horizontalCentered="1"/>
      <pageSetup scale="79" firstPageNumber="112" fitToHeight="0" orientation="landscape" useFirstPageNumber="1" r:id="rId2"/>
      <headerFooter alignWithMargins="0"/>
    </customSheetView>
  </customSheetViews>
  <mergeCells count="7">
    <mergeCell ref="A44:D44"/>
    <mergeCell ref="F44:L44"/>
    <mergeCell ref="A2:L2"/>
    <mergeCell ref="A3:L3"/>
    <mergeCell ref="A4:L4"/>
    <mergeCell ref="A5:L5"/>
    <mergeCell ref="I7:K7"/>
  </mergeCells>
  <printOptions horizontalCentered="1"/>
  <pageMargins left="0.75" right="0.75" top="1" bottom="1" header="0.5" footer="0.5"/>
  <pageSetup scale="75" firstPageNumber="112" orientation="landscape" useFirstPageNumber="1" r:id="rId3"/>
  <headerFooter alignWithMargins="0"/>
  <colBreaks count="1" manualBreakCount="1">
    <brk id="11"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FF00"/>
  </sheetPr>
  <dimension ref="A1:M43"/>
  <sheetViews>
    <sheetView workbookViewId="0"/>
  </sheetViews>
  <sheetFormatPr defaultColWidth="9.109375" defaultRowHeight="13.2" x14ac:dyDescent="0.25"/>
  <cols>
    <col min="1" max="1" width="33.44140625" style="60" customWidth="1"/>
    <col min="2" max="2" width="11.109375" style="35" customWidth="1"/>
    <col min="3" max="3" width="10.6640625" style="35" customWidth="1"/>
    <col min="4" max="4" width="13.44140625" style="35" customWidth="1"/>
    <col min="5" max="5" width="10.6640625" style="35" customWidth="1"/>
    <col min="6" max="6" width="11.33203125" style="35" customWidth="1"/>
    <col min="7" max="9" width="12.88671875" style="35" customWidth="1"/>
    <col min="10" max="10" width="12.5546875" style="35" customWidth="1"/>
    <col min="11" max="11" width="12" style="35" customWidth="1"/>
    <col min="12" max="12" width="12.33203125" style="35" customWidth="1"/>
    <col min="13" max="13" width="10.33203125" style="83" bestFit="1" customWidth="1"/>
    <col min="14" max="16384" width="9.109375" style="35"/>
  </cols>
  <sheetData>
    <row r="1" spans="1:13" x14ac:dyDescent="0.25">
      <c r="A1" s="650"/>
      <c r="B1" s="29"/>
      <c r="C1" s="29"/>
      <c r="D1" s="29"/>
      <c r="E1" s="29"/>
      <c r="F1" s="29"/>
      <c r="G1" s="29"/>
      <c r="H1" s="29"/>
      <c r="I1" s="29"/>
      <c r="J1" s="29"/>
      <c r="K1" s="29"/>
      <c r="L1" s="417"/>
      <c r="M1" s="476"/>
    </row>
    <row r="2" spans="1:13" x14ac:dyDescent="0.25">
      <c r="A2" s="977" t="s">
        <v>1</v>
      </c>
      <c r="B2" s="977"/>
      <c r="C2" s="977"/>
      <c r="D2" s="977"/>
      <c r="E2" s="977"/>
      <c r="F2" s="977"/>
      <c r="G2" s="977"/>
      <c r="H2" s="977"/>
      <c r="I2" s="977"/>
      <c r="J2" s="977"/>
      <c r="K2" s="977"/>
      <c r="L2" s="977"/>
      <c r="M2" s="476"/>
    </row>
    <row r="3" spans="1:13" x14ac:dyDescent="0.25">
      <c r="A3" s="977" t="s">
        <v>677</v>
      </c>
      <c r="B3" s="977"/>
      <c r="C3" s="977"/>
      <c r="D3" s="977"/>
      <c r="E3" s="977"/>
      <c r="F3" s="977"/>
      <c r="G3" s="977"/>
      <c r="H3" s="977"/>
      <c r="I3" s="977"/>
      <c r="J3" s="977"/>
      <c r="K3" s="977"/>
      <c r="L3" s="977"/>
      <c r="M3" s="476"/>
    </row>
    <row r="4" spans="1:13" x14ac:dyDescent="0.25">
      <c r="A4" s="977" t="s">
        <v>647</v>
      </c>
      <c r="B4" s="977"/>
      <c r="C4" s="977"/>
      <c r="D4" s="977"/>
      <c r="E4" s="977"/>
      <c r="F4" s="977"/>
      <c r="G4" s="977"/>
      <c r="H4" s="977"/>
      <c r="I4" s="977"/>
      <c r="J4" s="977"/>
      <c r="K4" s="977"/>
      <c r="L4" s="977"/>
      <c r="M4" s="476"/>
    </row>
    <row r="5" spans="1:13" x14ac:dyDescent="0.25">
      <c r="A5" s="977" t="str">
        <f>'GWStmtAct 68 Exh 2'!A4</f>
        <v>For the Year Ended June 30, 2022</v>
      </c>
      <c r="B5" s="977"/>
      <c r="C5" s="977"/>
      <c r="D5" s="977"/>
      <c r="E5" s="977"/>
      <c r="F5" s="977"/>
      <c r="G5" s="977"/>
      <c r="H5" s="977"/>
      <c r="I5" s="977"/>
      <c r="J5" s="977"/>
      <c r="K5" s="977"/>
      <c r="L5" s="977"/>
      <c r="M5" s="476"/>
    </row>
    <row r="6" spans="1:13" x14ac:dyDescent="0.25">
      <c r="A6" s="650"/>
      <c r="B6" s="29"/>
      <c r="C6" s="29"/>
      <c r="D6" s="29"/>
      <c r="E6" s="29"/>
      <c r="F6" s="29"/>
      <c r="G6" s="29"/>
      <c r="H6" s="29"/>
      <c r="I6" s="29"/>
      <c r="J6" s="29"/>
      <c r="K6" s="29"/>
      <c r="L6" s="29"/>
      <c r="M6" s="476"/>
    </row>
    <row r="7" spans="1:13" x14ac:dyDescent="0.25">
      <c r="A7" s="650" t="s">
        <v>122</v>
      </c>
      <c r="B7" s="979" t="s">
        <v>678</v>
      </c>
      <c r="C7" s="979"/>
      <c r="D7" s="979"/>
      <c r="E7" s="979"/>
      <c r="F7" s="979"/>
      <c r="G7" s="979"/>
      <c r="H7" s="979"/>
      <c r="I7" s="979" t="s">
        <v>649</v>
      </c>
      <c r="J7" s="979"/>
      <c r="K7" s="979"/>
      <c r="L7" s="29" t="s">
        <v>122</v>
      </c>
      <c r="M7" s="476"/>
    </row>
    <row r="8" spans="1:13" ht="60" x14ac:dyDescent="0.25">
      <c r="A8" s="650"/>
      <c r="B8" s="108" t="s">
        <v>650</v>
      </c>
      <c r="C8" s="108" t="s">
        <v>651</v>
      </c>
      <c r="D8" s="108" t="s">
        <v>652</v>
      </c>
      <c r="E8" s="108" t="s">
        <v>653</v>
      </c>
      <c r="F8" s="108" t="s">
        <v>654</v>
      </c>
      <c r="G8" s="631" t="s">
        <v>655</v>
      </c>
      <c r="H8" s="108" t="s">
        <v>656</v>
      </c>
      <c r="I8" s="108" t="s">
        <v>657</v>
      </c>
      <c r="J8" s="108" t="s">
        <v>658</v>
      </c>
      <c r="K8" s="108" t="s">
        <v>659</v>
      </c>
      <c r="L8" s="108" t="s">
        <v>679</v>
      </c>
      <c r="M8" s="70"/>
    </row>
    <row r="9" spans="1:13" x14ac:dyDescent="0.25">
      <c r="A9" s="123" t="s">
        <v>162</v>
      </c>
      <c r="B9" s="29"/>
      <c r="C9" s="29"/>
      <c r="D9" s="29"/>
      <c r="E9" s="29"/>
      <c r="F9" s="29"/>
      <c r="G9" s="29"/>
      <c r="H9" s="29"/>
      <c r="I9" s="29"/>
      <c r="J9" s="29"/>
      <c r="K9" s="29"/>
      <c r="L9" s="29"/>
      <c r="M9" s="476"/>
    </row>
    <row r="10" spans="1:13" x14ac:dyDescent="0.25">
      <c r="A10" s="650" t="s">
        <v>163</v>
      </c>
      <c r="B10" s="111">
        <v>0</v>
      </c>
      <c r="C10" s="111">
        <v>20861</v>
      </c>
      <c r="D10" s="111">
        <v>0</v>
      </c>
      <c r="E10" s="111">
        <v>0</v>
      </c>
      <c r="F10" s="111">
        <v>0</v>
      </c>
      <c r="G10" s="111">
        <v>0</v>
      </c>
      <c r="H10" s="111">
        <f>SUM(B10:G10)</f>
        <v>20861</v>
      </c>
      <c r="I10" s="111">
        <v>0</v>
      </c>
      <c r="J10" s="111">
        <v>0</v>
      </c>
      <c r="K10" s="111">
        <f>SUM(I10:J10)</f>
        <v>0</v>
      </c>
      <c r="L10" s="111">
        <f>H10+K10</f>
        <v>20861</v>
      </c>
      <c r="M10" s="476"/>
    </row>
    <row r="11" spans="1:13" x14ac:dyDescent="0.25">
      <c r="A11" s="124" t="s">
        <v>164</v>
      </c>
      <c r="B11" s="113">
        <v>0</v>
      </c>
      <c r="C11" s="113">
        <v>0</v>
      </c>
      <c r="D11" s="113">
        <v>0</v>
      </c>
      <c r="E11" s="113">
        <v>0</v>
      </c>
      <c r="F11" s="113">
        <v>0</v>
      </c>
      <c r="G11" s="113">
        <v>0</v>
      </c>
      <c r="H11" s="111">
        <f t="shared" ref="H11:H17" si="0">SUM(B11:G11)</f>
        <v>0</v>
      </c>
      <c r="I11" s="113">
        <v>0</v>
      </c>
      <c r="J11" s="113">
        <v>376400</v>
      </c>
      <c r="K11" s="113">
        <f>SUM(I11:J11)</f>
        <v>376400</v>
      </c>
      <c r="L11" s="111">
        <f t="shared" ref="L11:L17" si="1">H11+K11</f>
        <v>376400</v>
      </c>
      <c r="M11" s="476"/>
    </row>
    <row r="12" spans="1:13" x14ac:dyDescent="0.25">
      <c r="A12" s="650" t="s">
        <v>166</v>
      </c>
      <c r="B12" s="112">
        <v>57136</v>
      </c>
      <c r="C12" s="112">
        <v>0</v>
      </c>
      <c r="D12" s="112">
        <v>566064</v>
      </c>
      <c r="E12" s="112">
        <v>0</v>
      </c>
      <c r="F12" s="112">
        <v>0</v>
      </c>
      <c r="G12" s="112">
        <v>0</v>
      </c>
      <c r="H12" s="111">
        <f t="shared" si="0"/>
        <v>623200</v>
      </c>
      <c r="I12" s="112">
        <f>32832-1720+1720</f>
        <v>32832</v>
      </c>
      <c r="J12" s="112">
        <f>47770+619059</f>
        <v>666829</v>
      </c>
      <c r="K12" s="112">
        <f>SUM(I12:J12)</f>
        <v>699661</v>
      </c>
      <c r="L12" s="111">
        <f t="shared" si="1"/>
        <v>1322861</v>
      </c>
      <c r="M12" s="476"/>
    </row>
    <row r="13" spans="1:13" x14ac:dyDescent="0.25">
      <c r="A13" s="815" t="s">
        <v>167</v>
      </c>
      <c r="B13" s="112">
        <v>0</v>
      </c>
      <c r="C13" s="112">
        <v>0</v>
      </c>
      <c r="D13" s="112">
        <v>0</v>
      </c>
      <c r="E13" s="112">
        <v>12600</v>
      </c>
      <c r="F13" s="112">
        <v>0</v>
      </c>
      <c r="G13" s="112">
        <v>0</v>
      </c>
      <c r="H13" s="111">
        <f t="shared" si="0"/>
        <v>12600</v>
      </c>
      <c r="I13" s="112">
        <v>0</v>
      </c>
      <c r="J13" s="112">
        <v>0</v>
      </c>
      <c r="K13" s="112">
        <f>SUM(I13:J13)</f>
        <v>0</v>
      </c>
      <c r="L13" s="111">
        <f t="shared" si="1"/>
        <v>12600</v>
      </c>
      <c r="M13" s="476"/>
    </row>
    <row r="14" spans="1:13" x14ac:dyDescent="0.25">
      <c r="A14" s="650" t="s">
        <v>168</v>
      </c>
      <c r="B14" s="112">
        <v>0</v>
      </c>
      <c r="C14" s="112">
        <v>0</v>
      </c>
      <c r="D14" s="112">
        <v>0</v>
      </c>
      <c r="E14" s="112">
        <v>0</v>
      </c>
      <c r="F14" s="112">
        <v>481900</v>
      </c>
      <c r="G14" s="112">
        <v>0</v>
      </c>
      <c r="H14" s="111">
        <f t="shared" si="0"/>
        <v>481900</v>
      </c>
      <c r="I14" s="112">
        <v>0</v>
      </c>
      <c r="J14" s="112">
        <v>0</v>
      </c>
      <c r="K14" s="112">
        <v>0</v>
      </c>
      <c r="L14" s="111">
        <f t="shared" si="1"/>
        <v>481900</v>
      </c>
      <c r="M14" s="476"/>
    </row>
    <row r="15" spans="1:13" x14ac:dyDescent="0.25">
      <c r="A15" s="650"/>
      <c r="B15" s="112"/>
      <c r="C15" s="112"/>
      <c r="D15" s="112"/>
      <c r="E15" s="112"/>
      <c r="F15" s="112"/>
      <c r="G15" s="112"/>
      <c r="H15" s="111">
        <f t="shared" si="0"/>
        <v>0</v>
      </c>
      <c r="I15" s="112"/>
      <c r="J15" s="112"/>
      <c r="K15" s="112"/>
      <c r="L15" s="111">
        <f t="shared" si="1"/>
        <v>0</v>
      </c>
      <c r="M15" s="476"/>
    </row>
    <row r="16" spans="1:13" x14ac:dyDescent="0.25">
      <c r="A16" s="650" t="s">
        <v>169</v>
      </c>
      <c r="B16" s="112">
        <v>0</v>
      </c>
      <c r="C16" s="112">
        <v>99</v>
      </c>
      <c r="D16" s="112">
        <v>568</v>
      </c>
      <c r="E16" s="112">
        <v>0</v>
      </c>
      <c r="F16" s="112">
        <v>0</v>
      </c>
      <c r="G16" s="112">
        <v>0</v>
      </c>
      <c r="H16" s="111">
        <f t="shared" si="0"/>
        <v>667</v>
      </c>
      <c r="I16" s="112">
        <v>13600</v>
      </c>
      <c r="J16" s="112">
        <f>16700+21550</f>
        <v>38250</v>
      </c>
      <c r="K16" s="112">
        <f>SUM(I16:J16)</f>
        <v>51850</v>
      </c>
      <c r="L16" s="111">
        <f t="shared" si="1"/>
        <v>52517</v>
      </c>
      <c r="M16" s="476"/>
    </row>
    <row r="17" spans="1:13" x14ac:dyDescent="0.25">
      <c r="A17" s="650" t="s">
        <v>170</v>
      </c>
      <c r="B17" s="112">
        <v>0</v>
      </c>
      <c r="C17" s="112">
        <v>0</v>
      </c>
      <c r="D17" s="112">
        <v>0</v>
      </c>
      <c r="E17" s="112">
        <v>0</v>
      </c>
      <c r="F17" s="112">
        <v>0</v>
      </c>
      <c r="G17" s="112">
        <v>0</v>
      </c>
      <c r="H17" s="111">
        <f t="shared" si="0"/>
        <v>0</v>
      </c>
      <c r="I17" s="112">
        <v>70000</v>
      </c>
      <c r="J17" s="112">
        <v>0</v>
      </c>
      <c r="K17" s="112">
        <f>SUM(I17:J17)</f>
        <v>70000</v>
      </c>
      <c r="L17" s="111">
        <f t="shared" si="1"/>
        <v>70000</v>
      </c>
      <c r="M17" s="476"/>
    </row>
    <row r="18" spans="1:13" x14ac:dyDescent="0.25">
      <c r="A18" s="116" t="s">
        <v>171</v>
      </c>
      <c r="B18" s="119">
        <f t="shared" ref="B18:L18" si="2">SUM(B10:B17)</f>
        <v>57136</v>
      </c>
      <c r="C18" s="119">
        <f t="shared" si="2"/>
        <v>20960</v>
      </c>
      <c r="D18" s="119">
        <f t="shared" si="2"/>
        <v>566632</v>
      </c>
      <c r="E18" s="119">
        <f t="shared" si="2"/>
        <v>12600</v>
      </c>
      <c r="F18" s="119">
        <f t="shared" si="2"/>
        <v>481900</v>
      </c>
      <c r="G18" s="119">
        <f t="shared" si="2"/>
        <v>0</v>
      </c>
      <c r="H18" s="119">
        <f t="shared" si="2"/>
        <v>1139228</v>
      </c>
      <c r="I18" s="119">
        <f t="shared" si="2"/>
        <v>116432</v>
      </c>
      <c r="J18" s="119">
        <f t="shared" si="2"/>
        <v>1081479</v>
      </c>
      <c r="K18" s="119">
        <f t="shared" si="2"/>
        <v>1197911</v>
      </c>
      <c r="L18" s="119">
        <f t="shared" si="2"/>
        <v>2337139</v>
      </c>
      <c r="M18" s="476"/>
    </row>
    <row r="19" spans="1:13" x14ac:dyDescent="0.25">
      <c r="A19" s="650"/>
      <c r="B19" s="112"/>
      <c r="C19" s="112"/>
      <c r="D19" s="112"/>
      <c r="E19" s="112"/>
      <c r="F19" s="112"/>
      <c r="G19" s="112"/>
      <c r="H19" s="112"/>
      <c r="I19" s="112"/>
      <c r="J19" s="112"/>
      <c r="K19" s="112"/>
      <c r="L19" s="112"/>
      <c r="M19" s="476"/>
    </row>
    <row r="20" spans="1:13" x14ac:dyDescent="0.25">
      <c r="A20" s="123" t="s">
        <v>172</v>
      </c>
      <c r="B20" s="112"/>
      <c r="C20" s="112"/>
      <c r="D20" s="112"/>
      <c r="E20" s="112"/>
      <c r="F20" s="112"/>
      <c r="G20" s="112"/>
      <c r="H20" s="112"/>
      <c r="I20" s="112"/>
      <c r="J20" s="112"/>
      <c r="K20" s="112"/>
      <c r="L20" s="112"/>
      <c r="M20" s="404"/>
    </row>
    <row r="21" spans="1:13" x14ac:dyDescent="0.25">
      <c r="A21" s="650"/>
      <c r="B21" s="112"/>
      <c r="C21" s="112"/>
      <c r="D21" s="112"/>
      <c r="E21" s="112"/>
      <c r="F21" s="112"/>
      <c r="G21" s="112"/>
      <c r="H21" s="112"/>
      <c r="I21" s="112"/>
      <c r="J21" s="112"/>
      <c r="K21" s="112"/>
      <c r="L21" s="112"/>
      <c r="M21" s="404"/>
    </row>
    <row r="22" spans="1:13" x14ac:dyDescent="0.25">
      <c r="A22" s="650" t="s">
        <v>173</v>
      </c>
      <c r="B22" s="112"/>
      <c r="C22" s="112"/>
      <c r="D22" s="112"/>
      <c r="E22" s="112"/>
      <c r="F22" s="112"/>
      <c r="G22" s="112"/>
      <c r="H22" s="112"/>
      <c r="I22" s="112"/>
      <c r="J22" s="112"/>
      <c r="K22" s="112"/>
      <c r="L22" s="112"/>
      <c r="M22" s="404"/>
    </row>
    <row r="23" spans="1:13" ht="15" customHeight="1" x14ac:dyDescent="0.25">
      <c r="A23" s="116" t="s">
        <v>70</v>
      </c>
      <c r="B23" s="112">
        <v>0</v>
      </c>
      <c r="C23" s="112">
        <v>0</v>
      </c>
      <c r="D23" s="112">
        <v>0</v>
      </c>
      <c r="E23" s="112">
        <v>12600</v>
      </c>
      <c r="F23" s="112">
        <v>482577</v>
      </c>
      <c r="G23" s="112">
        <v>0</v>
      </c>
      <c r="H23" s="112">
        <f>SUM(B23:G23)</f>
        <v>495177</v>
      </c>
      <c r="I23" s="112">
        <v>0</v>
      </c>
      <c r="J23" s="112">
        <v>0</v>
      </c>
      <c r="K23" s="112">
        <f>SUM(I23:J23)</f>
        <v>0</v>
      </c>
      <c r="L23" s="112">
        <f>+H23+K23</f>
        <v>495177</v>
      </c>
      <c r="M23" s="404"/>
    </row>
    <row r="24" spans="1:13" x14ac:dyDescent="0.25">
      <c r="A24" s="116" t="s">
        <v>44</v>
      </c>
      <c r="B24" s="112">
        <v>55686</v>
      </c>
      <c r="C24" s="112">
        <v>20800</v>
      </c>
      <c r="D24" s="112">
        <v>0</v>
      </c>
      <c r="E24" s="112">
        <v>0</v>
      </c>
      <c r="F24" s="112">
        <v>0</v>
      </c>
      <c r="G24" s="112">
        <v>0</v>
      </c>
      <c r="H24" s="112">
        <f t="shared" ref="H24:H27" si="3">SUM(B24:G24)</f>
        <v>76486</v>
      </c>
      <c r="I24" s="112">
        <v>20177</v>
      </c>
      <c r="J24" s="112">
        <v>0</v>
      </c>
      <c r="K24" s="112">
        <f>SUM(I24:J24)</f>
        <v>20177</v>
      </c>
      <c r="L24" s="112">
        <f>+H24+K24</f>
        <v>96663</v>
      </c>
      <c r="M24" s="404"/>
    </row>
    <row r="25" spans="1:13" x14ac:dyDescent="0.25">
      <c r="A25" s="116" t="s">
        <v>73</v>
      </c>
      <c r="B25" s="112">
        <v>0</v>
      </c>
      <c r="C25" s="112">
        <v>0</v>
      </c>
      <c r="D25" s="112">
        <v>532637</v>
      </c>
      <c r="E25" s="112">
        <v>0</v>
      </c>
      <c r="F25" s="112">
        <v>0</v>
      </c>
      <c r="G25" s="112">
        <v>0</v>
      </c>
      <c r="H25" s="112">
        <f t="shared" si="3"/>
        <v>532637</v>
      </c>
      <c r="I25" s="112"/>
      <c r="J25" s="112"/>
      <c r="K25" s="112">
        <f>SUM(I25:J25)</f>
        <v>0</v>
      </c>
      <c r="L25" s="112">
        <f>+H25+K25</f>
        <v>532637</v>
      </c>
      <c r="M25" s="404"/>
    </row>
    <row r="26" spans="1:13" x14ac:dyDescent="0.25">
      <c r="A26" s="116"/>
      <c r="B26" s="112"/>
      <c r="C26" s="112"/>
      <c r="D26" s="112"/>
      <c r="E26" s="112"/>
      <c r="F26" s="112"/>
      <c r="G26" s="112"/>
      <c r="H26" s="112">
        <f t="shared" si="3"/>
        <v>0</v>
      </c>
      <c r="I26" s="112"/>
      <c r="J26" s="112"/>
      <c r="K26" s="112"/>
      <c r="L26" s="112"/>
      <c r="M26" s="404"/>
    </row>
    <row r="27" spans="1:13" x14ac:dyDescent="0.25">
      <c r="A27" s="116" t="s">
        <v>177</v>
      </c>
      <c r="B27" s="112">
        <v>0</v>
      </c>
      <c r="C27" s="112">
        <v>0</v>
      </c>
      <c r="D27" s="112">
        <v>0</v>
      </c>
      <c r="E27" s="112">
        <v>0</v>
      </c>
      <c r="F27" s="112">
        <v>0</v>
      </c>
      <c r="G27" s="112">
        <v>0</v>
      </c>
      <c r="H27" s="112">
        <f t="shared" si="3"/>
        <v>0</v>
      </c>
      <c r="I27" s="112">
        <f>'CPBA-1'!J32+'CPBA-1'!J37</f>
        <v>125919</v>
      </c>
      <c r="J27" s="112">
        <v>1700600</v>
      </c>
      <c r="K27" s="112">
        <f>SUM(I27:J27)</f>
        <v>1826519</v>
      </c>
      <c r="L27" s="112">
        <f>+H27+K27</f>
        <v>1826519</v>
      </c>
      <c r="M27" s="404"/>
    </row>
    <row r="28" spans="1:13" x14ac:dyDescent="0.25">
      <c r="A28" s="125" t="s">
        <v>183</v>
      </c>
      <c r="B28" s="119">
        <f t="shared" ref="B28:L28" si="4">SUM(B23:B27)</f>
        <v>55686</v>
      </c>
      <c r="C28" s="119">
        <f t="shared" si="4"/>
        <v>20800</v>
      </c>
      <c r="D28" s="119">
        <f>SUM(D23:D27)</f>
        <v>532637</v>
      </c>
      <c r="E28" s="119">
        <f>SUM(E23:E27)</f>
        <v>12600</v>
      </c>
      <c r="F28" s="119">
        <f>SUM(F23:F27)</f>
        <v>482577</v>
      </c>
      <c r="G28" s="119">
        <f>SUM(G23:G27)</f>
        <v>0</v>
      </c>
      <c r="H28" s="119">
        <f t="shared" si="4"/>
        <v>1104300</v>
      </c>
      <c r="I28" s="119">
        <f t="shared" si="4"/>
        <v>146096</v>
      </c>
      <c r="J28" s="119">
        <f t="shared" si="4"/>
        <v>1700600</v>
      </c>
      <c r="K28" s="119">
        <f t="shared" si="4"/>
        <v>1846696</v>
      </c>
      <c r="L28" s="119">
        <f t="shared" si="4"/>
        <v>2950996</v>
      </c>
      <c r="M28" s="404"/>
    </row>
    <row r="29" spans="1:13" ht="23.4" x14ac:dyDescent="0.25">
      <c r="A29" s="126" t="s">
        <v>184</v>
      </c>
      <c r="B29" s="119">
        <f t="shared" ref="B29:L29" si="5">+B18-B28</f>
        <v>1450</v>
      </c>
      <c r="C29" s="119">
        <f t="shared" si="5"/>
        <v>160</v>
      </c>
      <c r="D29" s="119">
        <f>+D18-D28</f>
        <v>33995</v>
      </c>
      <c r="E29" s="119">
        <f>+E18-E28</f>
        <v>0</v>
      </c>
      <c r="F29" s="119">
        <f>+F18-F28</f>
        <v>-677</v>
      </c>
      <c r="G29" s="119">
        <f>+G18-G28</f>
        <v>0</v>
      </c>
      <c r="H29" s="119">
        <f t="shared" si="5"/>
        <v>34928</v>
      </c>
      <c r="I29" s="119">
        <f t="shared" si="5"/>
        <v>-29664</v>
      </c>
      <c r="J29" s="119">
        <f t="shared" si="5"/>
        <v>-619121</v>
      </c>
      <c r="K29" s="119">
        <f t="shared" si="5"/>
        <v>-648785</v>
      </c>
      <c r="L29" s="119">
        <f t="shared" si="5"/>
        <v>-613857</v>
      </c>
      <c r="M29" s="404"/>
    </row>
    <row r="30" spans="1:13" x14ac:dyDescent="0.25">
      <c r="A30" s="650"/>
      <c r="B30" s="112"/>
      <c r="C30" s="112"/>
      <c r="D30" s="112"/>
      <c r="E30" s="112"/>
      <c r="F30" s="112"/>
      <c r="G30" s="112"/>
      <c r="H30" s="112"/>
      <c r="I30" s="112"/>
      <c r="J30" s="112"/>
      <c r="K30" s="112"/>
      <c r="L30" s="112"/>
      <c r="M30" s="404"/>
    </row>
    <row r="31" spans="1:13" x14ac:dyDescent="0.25">
      <c r="A31" s="123" t="s">
        <v>185</v>
      </c>
      <c r="B31" s="112"/>
      <c r="C31" s="112"/>
      <c r="D31" s="112"/>
      <c r="E31" s="112"/>
      <c r="F31" s="112"/>
      <c r="G31" s="112"/>
      <c r="H31" s="112"/>
      <c r="I31" s="112"/>
      <c r="J31" s="112"/>
      <c r="K31" s="112"/>
      <c r="L31" s="112"/>
      <c r="M31" s="404"/>
    </row>
    <row r="32" spans="1:13" x14ac:dyDescent="0.25">
      <c r="A32" s="650" t="s">
        <v>186</v>
      </c>
      <c r="B32" s="112">
        <v>0</v>
      </c>
      <c r="C32" s="112">
        <v>0</v>
      </c>
      <c r="D32" s="112">
        <v>0</v>
      </c>
      <c r="E32" s="112">
        <v>0</v>
      </c>
      <c r="F32" s="112">
        <v>0</v>
      </c>
      <c r="G32" s="112">
        <v>0</v>
      </c>
      <c r="H32" s="112">
        <f>SUM(B32:G32)</f>
        <v>0</v>
      </c>
      <c r="I32" s="112">
        <v>10000</v>
      </c>
      <c r="J32" s="112">
        <f>70000+200000</f>
        <v>270000</v>
      </c>
      <c r="K32" s="112">
        <f t="shared" ref="K32:K38" si="6">SUM(I32:J32)</f>
        <v>280000</v>
      </c>
      <c r="L32" s="112">
        <f>+H32+K32</f>
        <v>280000</v>
      </c>
      <c r="M32" s="404"/>
    </row>
    <row r="33" spans="1:13" x14ac:dyDescent="0.25">
      <c r="A33" s="650" t="s">
        <v>187</v>
      </c>
      <c r="B33" s="112">
        <v>-10000</v>
      </c>
      <c r="C33" s="112">
        <v>0</v>
      </c>
      <c r="D33" s="112">
        <v>0</v>
      </c>
      <c r="E33" s="112">
        <v>0</v>
      </c>
      <c r="F33" s="112">
        <v>0</v>
      </c>
      <c r="G33" s="112">
        <v>0</v>
      </c>
      <c r="H33" s="112">
        <f t="shared" ref="H33:H34" si="7">SUM(B33:G33)</f>
        <v>-10000</v>
      </c>
      <c r="I33" s="112">
        <v>0</v>
      </c>
      <c r="J33" s="112">
        <v>-619059</v>
      </c>
      <c r="K33" s="112">
        <f t="shared" si="6"/>
        <v>-619059</v>
      </c>
      <c r="L33" s="112">
        <f>+H33+K33</f>
        <v>-629059</v>
      </c>
      <c r="M33" s="404"/>
    </row>
    <row r="34" spans="1:13" x14ac:dyDescent="0.25">
      <c r="A34" s="650" t="s">
        <v>190</v>
      </c>
      <c r="B34" s="112">
        <v>0</v>
      </c>
      <c r="C34" s="112">
        <v>0</v>
      </c>
      <c r="D34" s="112">
        <v>0</v>
      </c>
      <c r="E34" s="112">
        <v>0</v>
      </c>
      <c r="F34" s="112">
        <v>0</v>
      </c>
      <c r="G34" s="112">
        <v>0</v>
      </c>
      <c r="H34" s="112">
        <f t="shared" si="7"/>
        <v>0</v>
      </c>
      <c r="I34" s="112">
        <v>0</v>
      </c>
      <c r="J34" s="112">
        <v>1200000</v>
      </c>
      <c r="K34" s="112">
        <f t="shared" si="6"/>
        <v>1200000</v>
      </c>
      <c r="L34" s="112">
        <f>+H34+K34</f>
        <v>1200000</v>
      </c>
      <c r="M34" s="404"/>
    </row>
    <row r="35" spans="1:13" x14ac:dyDescent="0.25">
      <c r="A35" s="116" t="s">
        <v>193</v>
      </c>
      <c r="B35" s="119">
        <f t="shared" ref="B35:L35" si="8">SUM(B32:B34)</f>
        <v>-10000</v>
      </c>
      <c r="C35" s="119">
        <f t="shared" si="8"/>
        <v>0</v>
      </c>
      <c r="D35" s="119">
        <f t="shared" si="8"/>
        <v>0</v>
      </c>
      <c r="E35" s="119">
        <f t="shared" si="8"/>
        <v>0</v>
      </c>
      <c r="F35" s="119">
        <f t="shared" si="8"/>
        <v>0</v>
      </c>
      <c r="G35" s="119">
        <f t="shared" ref="G35" si="9">SUM(G32:G34)</f>
        <v>0</v>
      </c>
      <c r="H35" s="119">
        <f t="shared" si="8"/>
        <v>-10000</v>
      </c>
      <c r="I35" s="119">
        <f t="shared" si="8"/>
        <v>10000</v>
      </c>
      <c r="J35" s="119">
        <f t="shared" si="8"/>
        <v>850941</v>
      </c>
      <c r="K35" s="119">
        <f t="shared" si="8"/>
        <v>860941</v>
      </c>
      <c r="L35" s="119">
        <f t="shared" si="8"/>
        <v>850941</v>
      </c>
      <c r="M35" s="404"/>
    </row>
    <row r="36" spans="1:13" x14ac:dyDescent="0.25">
      <c r="A36" s="116" t="s">
        <v>680</v>
      </c>
      <c r="B36" s="112">
        <f t="shared" ref="B36:L36" si="10">+B29+B35</f>
        <v>-8550</v>
      </c>
      <c r="C36" s="112">
        <f t="shared" si="10"/>
        <v>160</v>
      </c>
      <c r="D36" s="112">
        <f t="shared" si="10"/>
        <v>33995</v>
      </c>
      <c r="E36" s="112">
        <f t="shared" si="10"/>
        <v>0</v>
      </c>
      <c r="F36" s="112">
        <f t="shared" si="10"/>
        <v>-677</v>
      </c>
      <c r="G36" s="112">
        <f t="shared" si="10"/>
        <v>0</v>
      </c>
      <c r="H36" s="112">
        <f t="shared" si="10"/>
        <v>24928</v>
      </c>
      <c r="I36" s="112">
        <f t="shared" si="10"/>
        <v>-19664</v>
      </c>
      <c r="J36" s="112">
        <f t="shared" si="10"/>
        <v>231820</v>
      </c>
      <c r="K36" s="112">
        <f t="shared" si="10"/>
        <v>212156</v>
      </c>
      <c r="L36" s="112">
        <f t="shared" si="10"/>
        <v>237084</v>
      </c>
      <c r="M36" s="404"/>
    </row>
    <row r="37" spans="1:13" ht="6.6" customHeight="1" x14ac:dyDescent="0.25">
      <c r="A37" s="116"/>
      <c r="B37" s="112"/>
      <c r="C37" s="112"/>
      <c r="D37" s="112"/>
      <c r="E37" s="112"/>
      <c r="F37" s="112"/>
      <c r="G37" s="112"/>
      <c r="H37" s="112"/>
      <c r="I37" s="112"/>
      <c r="J37" s="112"/>
      <c r="K37" s="112"/>
      <c r="L37" s="112"/>
      <c r="M37" s="404"/>
    </row>
    <row r="38" spans="1:13" ht="23.4" x14ac:dyDescent="0.25">
      <c r="A38" s="650" t="s">
        <v>195</v>
      </c>
      <c r="B38" s="113">
        <v>11000</v>
      </c>
      <c r="C38" s="113">
        <v>1623</v>
      </c>
      <c r="D38" s="113">
        <v>0</v>
      </c>
      <c r="E38" s="113">
        <v>0</v>
      </c>
      <c r="F38" s="113">
        <v>0</v>
      </c>
      <c r="G38" s="113">
        <v>0</v>
      </c>
      <c r="H38" s="113">
        <f>SUM(B38:G38)</f>
        <v>12623</v>
      </c>
      <c r="I38" s="113">
        <f>37633-10000</f>
        <v>27633</v>
      </c>
      <c r="J38" s="113">
        <v>337000</v>
      </c>
      <c r="K38" s="112">
        <f t="shared" si="6"/>
        <v>364633</v>
      </c>
      <c r="L38" s="112">
        <f>H38+K38</f>
        <v>377256</v>
      </c>
      <c r="M38" s="404"/>
    </row>
    <row r="39" spans="1:13" ht="23.4" x14ac:dyDescent="0.25">
      <c r="A39" s="116" t="s">
        <v>196</v>
      </c>
      <c r="B39" s="114">
        <v>0</v>
      </c>
      <c r="C39" s="114">
        <v>0</v>
      </c>
      <c r="D39" s="114">
        <v>12351</v>
      </c>
      <c r="E39" s="114">
        <v>0</v>
      </c>
      <c r="F39" s="114">
        <v>3364</v>
      </c>
      <c r="G39" s="114">
        <v>0</v>
      </c>
      <c r="H39" s="114">
        <f>SUM(B39:G39)</f>
        <v>15715</v>
      </c>
      <c r="I39" s="114"/>
      <c r="J39" s="114"/>
      <c r="K39" s="114">
        <f>SUM(I39:J39)</f>
        <v>0</v>
      </c>
      <c r="L39" s="114">
        <f>H39+K39</f>
        <v>15715</v>
      </c>
      <c r="M39" s="404"/>
    </row>
    <row r="40" spans="1:13" x14ac:dyDescent="0.25">
      <c r="A40" s="650" t="s">
        <v>681</v>
      </c>
      <c r="B40" s="113">
        <f>SUM(B38:B39)</f>
        <v>11000</v>
      </c>
      <c r="C40" s="113">
        <f t="shared" ref="C40:L40" si="11">SUM(C38:C39)</f>
        <v>1623</v>
      </c>
      <c r="D40" s="113">
        <f t="shared" si="11"/>
        <v>12351</v>
      </c>
      <c r="E40" s="113">
        <f t="shared" si="11"/>
        <v>0</v>
      </c>
      <c r="F40" s="113">
        <f t="shared" si="11"/>
        <v>3364</v>
      </c>
      <c r="G40" s="113">
        <f t="shared" ref="G40" si="12">SUM(G38:G39)</f>
        <v>0</v>
      </c>
      <c r="H40" s="113">
        <f t="shared" si="11"/>
        <v>28338</v>
      </c>
      <c r="I40" s="113">
        <f t="shared" si="11"/>
        <v>27633</v>
      </c>
      <c r="J40" s="113">
        <f t="shared" si="11"/>
        <v>337000</v>
      </c>
      <c r="K40" s="113">
        <f t="shared" si="11"/>
        <v>364633</v>
      </c>
      <c r="L40" s="113">
        <f t="shared" si="11"/>
        <v>392971</v>
      </c>
      <c r="M40" s="404"/>
    </row>
    <row r="41" spans="1:13" ht="13.8" thickBot="1" x14ac:dyDescent="0.3">
      <c r="A41" s="650" t="s">
        <v>199</v>
      </c>
      <c r="B41" s="115">
        <f t="shared" ref="B41:H41" si="13">B36+B40</f>
        <v>2450</v>
      </c>
      <c r="C41" s="115">
        <f t="shared" si="13"/>
        <v>1783</v>
      </c>
      <c r="D41" s="115">
        <f t="shared" si="13"/>
        <v>46346</v>
      </c>
      <c r="E41" s="115">
        <f t="shared" si="13"/>
        <v>0</v>
      </c>
      <c r="F41" s="115">
        <f t="shared" si="13"/>
        <v>2687</v>
      </c>
      <c r="G41" s="115">
        <f t="shared" ref="G41" si="14">G36+G40</f>
        <v>0</v>
      </c>
      <c r="H41" s="115">
        <f t="shared" si="13"/>
        <v>53266</v>
      </c>
      <c r="I41" s="115">
        <f>SUM(I36:I38)</f>
        <v>7969</v>
      </c>
      <c r="J41" s="115">
        <f>SUM(J36:J38)</f>
        <v>568820</v>
      </c>
      <c r="K41" s="115">
        <f>K36+K40</f>
        <v>576789</v>
      </c>
      <c r="L41" s="115">
        <f>L36+L40</f>
        <v>630055</v>
      </c>
      <c r="M41" s="404"/>
    </row>
    <row r="42" spans="1:13" ht="13.8" thickTop="1" x14ac:dyDescent="0.25">
      <c r="A42" s="650"/>
      <c r="B42" s="29"/>
      <c r="C42" s="29"/>
      <c r="D42" s="29"/>
      <c r="E42" s="29"/>
      <c r="F42" s="29"/>
      <c r="G42" s="29"/>
      <c r="H42" s="29"/>
      <c r="I42" s="29"/>
      <c r="J42" s="112"/>
      <c r="K42" s="29"/>
      <c r="L42" s="29"/>
      <c r="M42" s="404"/>
    </row>
    <row r="43" spans="1:13" x14ac:dyDescent="0.25">
      <c r="A43" s="641"/>
      <c r="B43" s="404"/>
      <c r="C43" s="404"/>
      <c r="D43" s="404"/>
      <c r="E43" s="404"/>
      <c r="F43" s="404"/>
      <c r="G43" s="404"/>
      <c r="H43" s="404"/>
      <c r="I43" s="404"/>
      <c r="J43" s="404"/>
      <c r="K43" s="404"/>
      <c r="L43" s="404"/>
      <c r="M43" s="404"/>
    </row>
  </sheetData>
  <customSheetViews>
    <customSheetView guid="{A8748736-0722-49EB-85B6-C9B52DDCFE0E}" showPageBreaks="1" printArea="1" topLeftCell="A4">
      <selection activeCell="H31" sqref="H31"/>
      <pageMargins left="0.75" right="0.75" top="1" bottom="1" header="0.5" footer="0.5"/>
      <printOptions horizontalCentered="1"/>
      <pageSetup scale="72" firstPageNumber="114" fitToWidth="0" orientation="landscape" useFirstPageNumber="1" r:id="rId1"/>
      <headerFooter alignWithMargins="0"/>
    </customSheetView>
    <customSheetView guid="{E0C60316-4586-4AAF-92CB-FA82BB1EB755}">
      <selection activeCell="D28" sqref="D28"/>
      <pageMargins left="0" right="0" top="0" bottom="0" header="0" footer="0"/>
      <printOptions horizontalCentered="1"/>
      <pageSetup scale="94" firstPageNumber="114" fitToHeight="0" orientation="landscape" useFirstPageNumber="1" r:id="rId2"/>
      <headerFooter alignWithMargins="0"/>
    </customSheetView>
  </customSheetViews>
  <mergeCells count="6">
    <mergeCell ref="I7:K7"/>
    <mergeCell ref="A2:L2"/>
    <mergeCell ref="A3:L3"/>
    <mergeCell ref="A4:L4"/>
    <mergeCell ref="A5:L5"/>
    <mergeCell ref="B7:H7"/>
  </mergeCells>
  <printOptions horizontalCentered="1"/>
  <pageMargins left="0.75" right="0.75" top="1" bottom="1" header="0.5" footer="0.5"/>
  <pageSetup scale="72" firstPageNumber="114" fitToWidth="0" orientation="landscape" useFirstPageNumber="1" r:id="rId3"/>
  <headerFooter alignWithMargins="0"/>
  <ignoredErrors>
    <ignoredError sqref="K35" formula="1"/>
  </ignoredError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tint="-0.14999847407452621"/>
  </sheetPr>
  <dimension ref="A1:R46"/>
  <sheetViews>
    <sheetView workbookViewId="0"/>
  </sheetViews>
  <sheetFormatPr defaultColWidth="9.109375" defaultRowHeight="13.2" x14ac:dyDescent="0.25"/>
  <cols>
    <col min="1" max="1" width="1.88671875" style="35" customWidth="1"/>
    <col min="2" max="2" width="9.109375" style="35"/>
    <col min="3" max="3" width="22.6640625" style="35" customWidth="1"/>
    <col min="4" max="4" width="3" style="35" bestFit="1" customWidth="1"/>
    <col min="5" max="5" width="10.6640625" style="35" customWidth="1"/>
    <col min="6" max="6" width="3" style="35" bestFit="1" customWidth="1"/>
    <col min="7" max="7" width="10.6640625" style="35" customWidth="1"/>
    <col min="8" max="8" width="3" style="36" bestFit="1" customWidth="1"/>
    <col min="9" max="9" width="10.6640625" style="35" customWidth="1"/>
    <col min="10" max="16384" width="9.109375" style="35"/>
  </cols>
  <sheetData>
    <row r="1" spans="1:18" x14ac:dyDescent="0.25">
      <c r="A1" s="127" t="s">
        <v>1</v>
      </c>
      <c r="B1" s="128"/>
      <c r="C1" s="128"/>
      <c r="D1" s="128"/>
      <c r="E1" s="128"/>
      <c r="F1" s="129"/>
      <c r="G1" s="129"/>
      <c r="H1" s="505"/>
      <c r="I1" s="129"/>
      <c r="J1" s="404"/>
      <c r="K1" s="404"/>
      <c r="L1" s="404"/>
      <c r="M1" s="404"/>
      <c r="N1" s="404"/>
      <c r="O1" s="404"/>
      <c r="P1" s="404"/>
      <c r="Q1" s="404"/>
      <c r="R1" s="404"/>
    </row>
    <row r="2" spans="1:18" x14ac:dyDescent="0.25">
      <c r="A2" s="127" t="s">
        <v>682</v>
      </c>
      <c r="B2" s="128"/>
      <c r="C2" s="128"/>
      <c r="D2" s="128"/>
      <c r="E2" s="128"/>
      <c r="F2" s="129"/>
      <c r="G2" s="129"/>
      <c r="H2" s="505"/>
      <c r="I2" s="129"/>
      <c r="J2" s="404"/>
      <c r="K2" s="404"/>
      <c r="L2" s="404"/>
      <c r="M2" s="404"/>
      <c r="N2" s="404"/>
      <c r="O2" s="404"/>
      <c r="P2" s="404"/>
      <c r="Q2" s="404"/>
      <c r="R2" s="404"/>
    </row>
    <row r="3" spans="1:18" x14ac:dyDescent="0.25">
      <c r="A3" s="127" t="s">
        <v>683</v>
      </c>
      <c r="B3" s="128"/>
      <c r="C3" s="128"/>
      <c r="D3" s="128"/>
      <c r="E3" s="128"/>
      <c r="F3" s="129"/>
      <c r="G3" s="129"/>
      <c r="H3" s="505"/>
      <c r="I3" s="129"/>
      <c r="J3" s="404"/>
      <c r="K3" s="404"/>
      <c r="L3" s="404"/>
      <c r="M3" s="404"/>
      <c r="N3" s="404"/>
      <c r="O3" s="404"/>
      <c r="P3" s="404"/>
      <c r="Q3" s="404"/>
      <c r="R3" s="404"/>
    </row>
    <row r="4" spans="1:18" x14ac:dyDescent="0.25">
      <c r="A4" s="127" t="s">
        <v>491</v>
      </c>
      <c r="B4" s="128"/>
      <c r="C4" s="128"/>
      <c r="D4" s="128"/>
      <c r="E4" s="128"/>
      <c r="F4" s="129"/>
      <c r="G4" s="129"/>
      <c r="H4" s="505"/>
      <c r="I4" s="129"/>
      <c r="J4" s="404"/>
      <c r="K4" s="404"/>
      <c r="L4" s="404"/>
      <c r="M4" s="404"/>
      <c r="N4" s="404"/>
      <c r="O4" s="404"/>
      <c r="P4" s="404"/>
      <c r="Q4" s="404"/>
      <c r="R4" s="404"/>
    </row>
    <row r="5" spans="1:18" x14ac:dyDescent="0.25">
      <c r="A5" s="127" t="str">
        <f>GFIS_BA!A5</f>
        <v>For the Year Ended June 30, 2022</v>
      </c>
      <c r="B5" s="128"/>
      <c r="C5" s="128"/>
      <c r="D5" s="128"/>
      <c r="E5" s="128"/>
      <c r="F5" s="129"/>
      <c r="G5" s="129"/>
      <c r="H5" s="505"/>
      <c r="I5" s="129"/>
      <c r="J5" s="404"/>
      <c r="K5" s="404"/>
      <c r="L5" s="404"/>
      <c r="M5" s="404"/>
      <c r="N5" s="404"/>
      <c r="O5" s="404"/>
      <c r="P5" s="404"/>
      <c r="Q5" s="404"/>
      <c r="R5" s="404"/>
    </row>
    <row r="6" spans="1:18" x14ac:dyDescent="0.25">
      <c r="A6" s="128"/>
      <c r="B6" s="128"/>
      <c r="C6" s="128"/>
      <c r="D6" s="128"/>
      <c r="E6" s="128"/>
      <c r="F6" s="129"/>
      <c r="G6" s="129"/>
      <c r="H6" s="505"/>
      <c r="I6" s="129"/>
      <c r="J6" s="404"/>
      <c r="K6" s="404"/>
      <c r="L6" s="404"/>
      <c r="M6" s="404"/>
      <c r="N6" s="404"/>
      <c r="O6" s="404"/>
      <c r="P6" s="404"/>
      <c r="Q6" s="404"/>
      <c r="R6" s="404"/>
    </row>
    <row r="7" spans="1:18" x14ac:dyDescent="0.25">
      <c r="A7" s="130"/>
      <c r="B7" s="130"/>
      <c r="C7" s="130"/>
      <c r="D7" s="130"/>
      <c r="E7" s="130"/>
      <c r="F7" s="29"/>
      <c r="G7" s="29"/>
      <c r="H7" s="105"/>
      <c r="I7" s="131" t="s">
        <v>215</v>
      </c>
      <c r="J7" s="132"/>
      <c r="K7" s="132"/>
      <c r="L7" s="132"/>
      <c r="M7" s="132"/>
      <c r="N7" s="132"/>
      <c r="O7" s="105"/>
      <c r="P7" s="105"/>
      <c r="Q7" s="105"/>
      <c r="R7" s="105"/>
    </row>
    <row r="8" spans="1:18" x14ac:dyDescent="0.25">
      <c r="A8" s="130"/>
      <c r="B8" s="130"/>
      <c r="C8" s="130"/>
      <c r="D8" s="130"/>
      <c r="E8" s="133" t="s">
        <v>218</v>
      </c>
      <c r="F8" s="29"/>
      <c r="G8" s="29"/>
      <c r="H8" s="105"/>
      <c r="I8" s="131" t="s">
        <v>219</v>
      </c>
      <c r="J8" s="132"/>
      <c r="K8" s="132"/>
      <c r="L8" s="132"/>
      <c r="M8" s="132"/>
      <c r="N8" s="132"/>
      <c r="O8" s="105"/>
      <c r="P8" s="105"/>
      <c r="Q8" s="105"/>
      <c r="R8" s="134"/>
    </row>
    <row r="9" spans="1:18" x14ac:dyDescent="0.25">
      <c r="A9" s="130"/>
      <c r="B9" s="648" t="s">
        <v>122</v>
      </c>
      <c r="C9" s="130"/>
      <c r="D9" s="130"/>
      <c r="E9" s="135" t="s">
        <v>220</v>
      </c>
      <c r="F9" s="29"/>
      <c r="G9" s="136" t="s">
        <v>221</v>
      </c>
      <c r="H9" s="105"/>
      <c r="I9" s="136" t="s">
        <v>222</v>
      </c>
      <c r="J9" s="132"/>
      <c r="K9" s="132"/>
      <c r="L9" s="132"/>
      <c r="M9" s="132"/>
      <c r="N9" s="137"/>
      <c r="O9" s="105"/>
      <c r="P9" s="105"/>
      <c r="Q9" s="105"/>
      <c r="R9" s="134"/>
    </row>
    <row r="10" spans="1:18" x14ac:dyDescent="0.25">
      <c r="A10" s="29"/>
      <c r="B10" s="130"/>
      <c r="C10" s="130"/>
      <c r="D10" s="130"/>
      <c r="E10" s="130"/>
      <c r="F10" s="29"/>
      <c r="G10" s="29"/>
      <c r="H10" s="105"/>
      <c r="I10" s="29"/>
      <c r="J10" s="132"/>
      <c r="K10" s="138"/>
      <c r="L10" s="132"/>
      <c r="M10" s="132"/>
      <c r="N10" s="137"/>
      <c r="O10" s="105"/>
      <c r="P10" s="134"/>
      <c r="Q10" s="105"/>
      <c r="R10" s="134"/>
    </row>
    <row r="11" spans="1:18" x14ac:dyDescent="0.25">
      <c r="A11" s="648" t="s">
        <v>684</v>
      </c>
      <c r="B11" s="29"/>
      <c r="C11" s="130"/>
      <c r="D11" s="130"/>
      <c r="E11" s="139"/>
      <c r="F11" s="140"/>
      <c r="G11" s="140"/>
      <c r="H11" s="145"/>
      <c r="I11" s="140"/>
      <c r="J11" s="105"/>
      <c r="K11" s="132"/>
      <c r="L11" s="132"/>
      <c r="M11" s="132"/>
      <c r="N11" s="132"/>
      <c r="O11" s="105"/>
      <c r="P11" s="105"/>
      <c r="Q11" s="105"/>
      <c r="R11" s="105"/>
    </row>
    <row r="12" spans="1:18" x14ac:dyDescent="0.25">
      <c r="A12" s="130"/>
      <c r="B12" s="29" t="s">
        <v>166</v>
      </c>
      <c r="C12" s="404"/>
      <c r="D12" s="141"/>
      <c r="E12" s="142">
        <v>68000</v>
      </c>
      <c r="F12" s="143"/>
      <c r="G12" s="142">
        <v>57136</v>
      </c>
      <c r="H12" s="143"/>
      <c r="I12" s="142">
        <f>+G12-E12</f>
        <v>-10864</v>
      </c>
      <c r="J12" s="138"/>
      <c r="K12" s="105"/>
      <c r="L12" s="132"/>
      <c r="M12" s="132"/>
      <c r="N12" s="144"/>
      <c r="O12" s="145"/>
      <c r="P12" s="145"/>
      <c r="Q12" s="145"/>
      <c r="R12" s="145"/>
    </row>
    <row r="13" spans="1:18" x14ac:dyDescent="0.25">
      <c r="A13" s="130"/>
      <c r="B13" s="404"/>
      <c r="C13" s="29" t="s">
        <v>8</v>
      </c>
      <c r="D13" s="141"/>
      <c r="E13" s="146">
        <f>SUM(E12:E12)</f>
        <v>68000</v>
      </c>
      <c r="F13" s="147"/>
      <c r="G13" s="146">
        <f>SUM(G12:G12)</f>
        <v>57136</v>
      </c>
      <c r="H13" s="143"/>
      <c r="I13" s="146">
        <f>SUM(I12:I12)</f>
        <v>-10864</v>
      </c>
      <c r="J13" s="132"/>
      <c r="K13" s="435"/>
      <c r="L13" s="435"/>
      <c r="M13" s="148"/>
      <c r="N13" s="144"/>
      <c r="O13" s="149"/>
      <c r="P13" s="144"/>
      <c r="Q13" s="149"/>
      <c r="R13" s="144"/>
    </row>
    <row r="14" spans="1:18" x14ac:dyDescent="0.25">
      <c r="A14" s="130"/>
      <c r="B14" s="130"/>
      <c r="C14" s="130"/>
      <c r="D14" s="648"/>
      <c r="E14" s="139"/>
      <c r="F14" s="140"/>
      <c r="G14" s="140"/>
      <c r="H14" s="145"/>
      <c r="I14" s="140"/>
      <c r="J14" s="132"/>
      <c r="K14" s="132"/>
      <c r="L14" s="132"/>
      <c r="M14" s="138"/>
      <c r="N14" s="144"/>
      <c r="O14" s="145"/>
      <c r="P14" s="145"/>
      <c r="Q14" s="145"/>
      <c r="R14" s="145"/>
    </row>
    <row r="15" spans="1:18" x14ac:dyDescent="0.25">
      <c r="A15" s="648" t="s">
        <v>224</v>
      </c>
      <c r="B15" s="130"/>
      <c r="C15" s="130"/>
      <c r="D15" s="130"/>
      <c r="E15" s="130"/>
      <c r="F15" s="29"/>
      <c r="G15" s="29"/>
      <c r="H15" s="105"/>
      <c r="I15" s="29"/>
      <c r="J15" s="138"/>
      <c r="K15" s="132"/>
      <c r="L15" s="132"/>
      <c r="M15" s="132"/>
      <c r="N15" s="132"/>
      <c r="O15" s="105"/>
      <c r="P15" s="105"/>
      <c r="Q15" s="105"/>
      <c r="R15" s="105"/>
    </row>
    <row r="16" spans="1:18" x14ac:dyDescent="0.25">
      <c r="A16" s="648"/>
      <c r="B16" s="130" t="s">
        <v>685</v>
      </c>
      <c r="C16" s="130"/>
      <c r="D16" s="130"/>
      <c r="E16" s="130">
        <v>12500</v>
      </c>
      <c r="F16" s="29"/>
      <c r="G16" s="130">
        <v>11314</v>
      </c>
      <c r="H16" s="506"/>
      <c r="I16" s="130">
        <f t="shared" ref="I16:I22" si="0">E16-G16</f>
        <v>1186</v>
      </c>
      <c r="J16" s="138"/>
      <c r="K16" s="132"/>
      <c r="L16" s="132"/>
      <c r="M16" s="132"/>
      <c r="N16" s="132"/>
      <c r="O16" s="105"/>
      <c r="P16" s="105"/>
      <c r="Q16" s="105"/>
      <c r="R16" s="105"/>
    </row>
    <row r="17" spans="1:18" x14ac:dyDescent="0.25">
      <c r="A17" s="648"/>
      <c r="B17" s="130" t="s">
        <v>686</v>
      </c>
      <c r="C17" s="130"/>
      <c r="D17" s="130"/>
      <c r="E17" s="130">
        <v>3700</v>
      </c>
      <c r="F17" s="29"/>
      <c r="G17" s="130">
        <v>3682</v>
      </c>
      <c r="H17" s="506"/>
      <c r="I17" s="130">
        <f t="shared" si="0"/>
        <v>18</v>
      </c>
      <c r="J17" s="138"/>
      <c r="K17" s="132"/>
      <c r="L17" s="132"/>
      <c r="M17" s="132"/>
      <c r="N17" s="132"/>
      <c r="O17" s="105"/>
      <c r="P17" s="105"/>
      <c r="Q17" s="105"/>
      <c r="R17" s="105"/>
    </row>
    <row r="18" spans="1:18" x14ac:dyDescent="0.25">
      <c r="A18" s="648"/>
      <c r="B18" s="130" t="s">
        <v>687</v>
      </c>
      <c r="C18" s="130"/>
      <c r="D18" s="130"/>
      <c r="E18" s="130">
        <v>2650</v>
      </c>
      <c r="F18" s="29"/>
      <c r="G18" s="130">
        <v>2649</v>
      </c>
      <c r="H18" s="506"/>
      <c r="I18" s="130">
        <f t="shared" si="0"/>
        <v>1</v>
      </c>
      <c r="J18" s="138"/>
      <c r="K18" s="132"/>
      <c r="L18" s="132"/>
      <c r="M18" s="132"/>
      <c r="N18" s="132"/>
      <c r="O18" s="105"/>
      <c r="P18" s="105"/>
      <c r="Q18" s="105"/>
      <c r="R18" s="105"/>
    </row>
    <row r="19" spans="1:18" x14ac:dyDescent="0.25">
      <c r="A19" s="648"/>
      <c r="B19" s="130" t="s">
        <v>688</v>
      </c>
      <c r="C19" s="130"/>
      <c r="D19" s="130"/>
      <c r="E19" s="130">
        <v>19875</v>
      </c>
      <c r="F19" s="29"/>
      <c r="G19" s="130">
        <v>18833</v>
      </c>
      <c r="H19" s="506"/>
      <c r="I19" s="130">
        <f t="shared" si="0"/>
        <v>1042</v>
      </c>
      <c r="J19" s="138"/>
      <c r="K19" s="132"/>
      <c r="L19" s="132"/>
      <c r="M19" s="132"/>
      <c r="N19" s="132"/>
      <c r="O19" s="105"/>
      <c r="P19" s="105"/>
      <c r="Q19" s="105"/>
      <c r="R19" s="105"/>
    </row>
    <row r="20" spans="1:18" x14ac:dyDescent="0.25">
      <c r="A20" s="29"/>
      <c r="B20" s="648" t="s">
        <v>689</v>
      </c>
      <c r="C20" s="130"/>
      <c r="D20" s="130"/>
      <c r="E20" s="150">
        <v>3000</v>
      </c>
      <c r="F20" s="150"/>
      <c r="G20" s="130">
        <v>2933</v>
      </c>
      <c r="H20" s="506"/>
      <c r="I20" s="130">
        <f t="shared" si="0"/>
        <v>67</v>
      </c>
      <c r="J20" s="105"/>
      <c r="K20" s="138"/>
      <c r="L20" s="132"/>
      <c r="M20" s="132"/>
      <c r="N20" s="151"/>
      <c r="O20" s="151"/>
      <c r="P20" s="151"/>
      <c r="Q20" s="151"/>
      <c r="R20" s="151"/>
    </row>
    <row r="21" spans="1:18" x14ac:dyDescent="0.25">
      <c r="A21" s="29"/>
      <c r="B21" s="648" t="s">
        <v>177</v>
      </c>
      <c r="C21" s="130"/>
      <c r="D21" s="130"/>
      <c r="E21" s="150">
        <v>6275</v>
      </c>
      <c r="F21" s="150"/>
      <c r="G21" s="130">
        <v>6275</v>
      </c>
      <c r="H21" s="506"/>
      <c r="I21" s="130">
        <f t="shared" si="0"/>
        <v>0</v>
      </c>
      <c r="J21" s="105"/>
      <c r="K21" s="138"/>
      <c r="L21" s="132"/>
      <c r="M21" s="132"/>
      <c r="N21" s="151"/>
      <c r="O21" s="151"/>
      <c r="P21" s="151"/>
      <c r="Q21" s="151"/>
      <c r="R21" s="151"/>
    </row>
    <row r="22" spans="1:18" x14ac:dyDescent="0.25">
      <c r="A22" s="29"/>
      <c r="B22" s="648" t="s">
        <v>690</v>
      </c>
      <c r="C22" s="130"/>
      <c r="D22" s="130"/>
      <c r="E22" s="150">
        <v>10000</v>
      </c>
      <c r="F22" s="150"/>
      <c r="G22" s="130">
        <v>10000</v>
      </c>
      <c r="H22" s="506"/>
      <c r="I22" s="130">
        <f t="shared" si="0"/>
        <v>0</v>
      </c>
      <c r="J22" s="105"/>
      <c r="K22" s="138"/>
      <c r="L22" s="132"/>
      <c r="M22" s="132"/>
      <c r="N22" s="151"/>
      <c r="O22" s="151"/>
      <c r="P22" s="151"/>
      <c r="Q22" s="151"/>
      <c r="R22" s="151"/>
    </row>
    <row r="23" spans="1:18" x14ac:dyDescent="0.25">
      <c r="A23" s="29"/>
      <c r="B23" s="648"/>
      <c r="C23" s="29" t="s">
        <v>8</v>
      </c>
      <c r="D23" s="130"/>
      <c r="E23" s="152">
        <f>SUM(E16:E22)</f>
        <v>58000</v>
      </c>
      <c r="F23" s="153"/>
      <c r="G23" s="152">
        <f>SUM(G16:G22)</f>
        <v>55686</v>
      </c>
      <c r="H23" s="150"/>
      <c r="I23" s="154">
        <f>SUM(I16:I22)</f>
        <v>2314</v>
      </c>
      <c r="J23" s="105"/>
      <c r="K23" s="105"/>
      <c r="L23" s="105"/>
      <c r="M23" s="105"/>
      <c r="N23" s="105"/>
      <c r="O23" s="105"/>
      <c r="P23" s="105"/>
      <c r="Q23" s="105"/>
      <c r="R23" s="105"/>
    </row>
    <row r="24" spans="1:18" x14ac:dyDescent="0.25">
      <c r="A24" s="29"/>
      <c r="B24" s="648"/>
      <c r="C24" s="130"/>
      <c r="D24" s="130"/>
      <c r="E24" s="155"/>
      <c r="F24" s="155"/>
      <c r="G24" s="155"/>
      <c r="H24" s="150"/>
      <c r="I24" s="150"/>
      <c r="J24" s="29"/>
      <c r="K24" s="29"/>
      <c r="L24" s="29"/>
      <c r="M24" s="29"/>
      <c r="N24" s="29"/>
      <c r="O24" s="29"/>
      <c r="P24" s="29"/>
      <c r="Q24" s="29"/>
      <c r="R24" s="29"/>
    </row>
    <row r="25" spans="1:18" x14ac:dyDescent="0.25">
      <c r="A25" s="648" t="s">
        <v>227</v>
      </c>
      <c r="B25" s="29"/>
      <c r="C25" s="29"/>
      <c r="D25" s="130"/>
      <c r="E25" s="156">
        <f>E12-E23</f>
        <v>10000</v>
      </c>
      <c r="F25" s="150"/>
      <c r="G25" s="157">
        <f>+G13-G23</f>
        <v>1450</v>
      </c>
      <c r="H25" s="150"/>
      <c r="I25" s="157">
        <f>I13+I23</f>
        <v>-8550</v>
      </c>
      <c r="J25" s="158"/>
      <c r="K25" s="29"/>
      <c r="L25" s="29"/>
      <c r="M25" s="29"/>
      <c r="N25" s="29"/>
      <c r="O25" s="29"/>
      <c r="P25" s="29"/>
      <c r="Q25" s="29"/>
      <c r="R25" s="29"/>
    </row>
    <row r="26" spans="1:18" x14ac:dyDescent="0.25">
      <c r="A26" s="29"/>
      <c r="B26" s="29"/>
      <c r="C26" s="29"/>
      <c r="D26" s="130"/>
      <c r="E26" s="159"/>
      <c r="F26" s="159"/>
      <c r="G26" s="159"/>
      <c r="H26" s="159"/>
      <c r="I26" s="159"/>
      <c r="J26" s="29"/>
      <c r="K26" s="29"/>
      <c r="L26" s="29"/>
      <c r="M26" s="29"/>
      <c r="N26" s="29"/>
      <c r="O26" s="29"/>
      <c r="P26" s="29"/>
      <c r="Q26" s="29"/>
      <c r="R26" s="29"/>
    </row>
    <row r="27" spans="1:18" ht="14.25" customHeight="1" x14ac:dyDescent="0.25">
      <c r="A27" s="648" t="s">
        <v>637</v>
      </c>
      <c r="B27" s="404"/>
      <c r="C27" s="404"/>
      <c r="D27" s="404"/>
      <c r="E27" s="404"/>
      <c r="F27" s="404"/>
      <c r="G27" s="404"/>
      <c r="H27" s="435"/>
      <c r="I27" s="404"/>
      <c r="J27" s="29"/>
      <c r="K27" s="404"/>
      <c r="L27" s="404"/>
      <c r="M27" s="404"/>
      <c r="N27" s="404"/>
      <c r="O27" s="404"/>
      <c r="P27" s="404"/>
      <c r="Q27" s="404"/>
      <c r="R27" s="404"/>
    </row>
    <row r="28" spans="1:18" x14ac:dyDescent="0.25">
      <c r="A28" s="648"/>
      <c r="B28" s="980" t="s">
        <v>691</v>
      </c>
      <c r="C28" s="980"/>
      <c r="D28" s="130"/>
      <c r="E28" s="335">
        <v>-10000</v>
      </c>
      <c r="F28" s="159"/>
      <c r="G28" s="160">
        <v>-10000</v>
      </c>
      <c r="H28" s="159"/>
      <c r="I28" s="457">
        <f>G28-E28</f>
        <v>0</v>
      </c>
      <c r="J28" s="404"/>
      <c r="K28" s="404"/>
      <c r="L28" s="404"/>
      <c r="M28" s="404"/>
      <c r="N28" s="404"/>
      <c r="O28" s="404"/>
      <c r="P28" s="404"/>
      <c r="Q28" s="404"/>
      <c r="R28" s="404"/>
    </row>
    <row r="29" spans="1:18" x14ac:dyDescent="0.25">
      <c r="A29" s="648"/>
      <c r="B29" s="648"/>
      <c r="C29" s="648"/>
      <c r="D29" s="130"/>
      <c r="E29" s="165"/>
      <c r="F29" s="159"/>
      <c r="G29" s="159"/>
      <c r="H29" s="159"/>
      <c r="I29" s="458"/>
      <c r="J29" s="404"/>
      <c r="K29" s="404"/>
      <c r="L29" s="404"/>
      <c r="M29" s="404"/>
      <c r="N29" s="404"/>
      <c r="O29" s="404"/>
      <c r="P29" s="404"/>
      <c r="Q29" s="404"/>
      <c r="R29" s="404"/>
    </row>
    <row r="30" spans="1:18" x14ac:dyDescent="0.25">
      <c r="A30" s="648" t="s">
        <v>641</v>
      </c>
      <c r="B30" s="648"/>
      <c r="C30" s="648"/>
      <c r="D30" s="130"/>
      <c r="E30" s="335">
        <v>0</v>
      </c>
      <c r="F30" s="459"/>
      <c r="G30" s="457">
        <v>0</v>
      </c>
      <c r="H30" s="459"/>
      <c r="I30" s="457">
        <f>E30-G30</f>
        <v>0</v>
      </c>
      <c r="J30" s="404"/>
      <c r="K30" s="404"/>
      <c r="L30" s="404"/>
      <c r="M30" s="404"/>
      <c r="N30" s="404"/>
      <c r="O30" s="404"/>
      <c r="P30" s="404"/>
      <c r="Q30" s="404"/>
      <c r="R30" s="404"/>
    </row>
    <row r="31" spans="1:18" x14ac:dyDescent="0.25">
      <c r="A31" s="648"/>
      <c r="B31" s="648"/>
      <c r="C31" s="648"/>
      <c r="D31" s="130"/>
      <c r="E31" s="165"/>
      <c r="F31" s="159"/>
      <c r="G31" s="159"/>
      <c r="H31" s="159"/>
      <c r="I31" s="130"/>
      <c r="J31" s="404"/>
      <c r="K31" s="404"/>
      <c r="L31" s="404"/>
      <c r="M31" s="404"/>
      <c r="N31" s="404"/>
      <c r="O31" s="404"/>
      <c r="P31" s="404"/>
      <c r="Q31" s="404"/>
      <c r="R31" s="404"/>
    </row>
    <row r="32" spans="1:18" ht="13.8" thickBot="1" x14ac:dyDescent="0.3">
      <c r="A32" s="648" t="s">
        <v>227</v>
      </c>
      <c r="B32" s="648"/>
      <c r="C32" s="648"/>
      <c r="D32" s="130"/>
      <c r="E32" s="500">
        <f>E25+E28+E30</f>
        <v>0</v>
      </c>
      <c r="F32" s="159"/>
      <c r="G32" s="159">
        <f>G25+G28-G30</f>
        <v>-8550</v>
      </c>
      <c r="H32" s="159"/>
      <c r="I32" s="161">
        <f>I25+I28-I30</f>
        <v>-8550</v>
      </c>
      <c r="J32" s="404"/>
      <c r="K32" s="404"/>
      <c r="L32" s="404"/>
      <c r="M32" s="404"/>
      <c r="N32" s="404"/>
      <c r="O32" s="404"/>
      <c r="P32" s="404"/>
      <c r="Q32" s="404"/>
      <c r="R32" s="404"/>
    </row>
    <row r="33" spans="1:9" ht="13.8" thickTop="1" x14ac:dyDescent="0.25">
      <c r="A33" s="648"/>
      <c r="B33" s="648"/>
      <c r="C33" s="648"/>
      <c r="D33" s="130"/>
      <c r="E33" s="130"/>
      <c r="F33" s="159"/>
      <c r="G33" s="159"/>
      <c r="H33" s="159"/>
      <c r="I33" s="130"/>
    </row>
    <row r="34" spans="1:9" x14ac:dyDescent="0.25">
      <c r="A34" s="648" t="s">
        <v>644</v>
      </c>
      <c r="B34" s="648"/>
      <c r="C34" s="130"/>
      <c r="D34" s="130"/>
      <c r="E34" s="130"/>
      <c r="F34" s="159"/>
      <c r="G34" s="159">
        <f>1000+10000</f>
        <v>11000</v>
      </c>
      <c r="H34" s="159"/>
      <c r="I34" s="130"/>
    </row>
    <row r="35" spans="1:9" ht="13.8" thickBot="1" x14ac:dyDescent="0.3">
      <c r="A35" s="648" t="s">
        <v>634</v>
      </c>
      <c r="B35" s="648"/>
      <c r="C35" s="130"/>
      <c r="D35" s="648"/>
      <c r="E35" s="648"/>
      <c r="F35" s="162"/>
      <c r="G35" s="163">
        <f>G34+G13-G23+G28</f>
        <v>2450</v>
      </c>
      <c r="H35" s="507"/>
      <c r="I35" s="648"/>
    </row>
    <row r="36" spans="1:9" ht="13.8" thickTop="1" x14ac:dyDescent="0.25">
      <c r="A36" s="29"/>
      <c r="B36" s="29"/>
      <c r="C36" s="29"/>
      <c r="D36" s="29"/>
      <c r="E36" s="29"/>
      <c r="F36" s="29"/>
      <c r="G36" s="29"/>
      <c r="H36" s="105"/>
      <c r="I36" s="29"/>
    </row>
    <row r="37" spans="1:9" ht="13.8" thickBot="1" x14ac:dyDescent="0.3">
      <c r="A37" s="404"/>
      <c r="B37" s="404"/>
      <c r="C37" s="404"/>
      <c r="D37" s="404"/>
      <c r="E37" s="404"/>
      <c r="F37" s="404"/>
      <c r="G37" s="404"/>
      <c r="H37" s="435"/>
      <c r="I37" s="404"/>
    </row>
    <row r="38" spans="1:9" ht="14.4" customHeight="1" x14ac:dyDescent="0.25">
      <c r="A38" s="404"/>
      <c r="B38" s="981" t="s">
        <v>692</v>
      </c>
      <c r="C38" s="982"/>
      <c r="D38" s="982"/>
      <c r="E38" s="982"/>
      <c r="F38" s="982"/>
      <c r="G38" s="982"/>
      <c r="H38" s="982"/>
      <c r="I38" s="983"/>
    </row>
    <row r="39" spans="1:9" ht="14.4" customHeight="1" x14ac:dyDescent="0.25">
      <c r="A39" s="404"/>
      <c r="B39" s="984"/>
      <c r="C39" s="985"/>
      <c r="D39" s="985"/>
      <c r="E39" s="985"/>
      <c r="F39" s="985"/>
      <c r="G39" s="985"/>
      <c r="H39" s="985"/>
      <c r="I39" s="986"/>
    </row>
    <row r="40" spans="1:9" ht="14.4" customHeight="1" x14ac:dyDescent="0.25">
      <c r="A40" s="404"/>
      <c r="B40" s="987"/>
      <c r="C40" s="988"/>
      <c r="D40" s="988"/>
      <c r="E40" s="988"/>
      <c r="F40" s="988"/>
      <c r="G40" s="988"/>
      <c r="H40" s="988"/>
      <c r="I40" s="989"/>
    </row>
    <row r="41" spans="1:9" x14ac:dyDescent="0.25">
      <c r="A41" s="404"/>
      <c r="B41" s="990" t="s">
        <v>693</v>
      </c>
      <c r="C41" s="988"/>
      <c r="D41" s="988"/>
      <c r="E41" s="988"/>
      <c r="F41" s="988"/>
      <c r="G41" s="988"/>
      <c r="H41" s="988"/>
      <c r="I41" s="989"/>
    </row>
    <row r="42" spans="1:9" ht="13.8" thickBot="1" x14ac:dyDescent="0.3">
      <c r="A42" s="404"/>
      <c r="B42" s="991"/>
      <c r="C42" s="992"/>
      <c r="D42" s="992"/>
      <c r="E42" s="992"/>
      <c r="F42" s="992"/>
      <c r="G42" s="992"/>
      <c r="H42" s="992"/>
      <c r="I42" s="993"/>
    </row>
    <row r="44" spans="1:9" x14ac:dyDescent="0.25">
      <c r="A44" s="404"/>
      <c r="B44" s="371"/>
      <c r="C44" s="368"/>
      <c r="D44" s="368"/>
      <c r="E44" s="368"/>
      <c r="F44" s="368"/>
      <c r="G44" s="368"/>
      <c r="H44" s="368"/>
      <c r="I44" s="368"/>
    </row>
    <row r="45" spans="1:9" x14ac:dyDescent="0.25">
      <c r="A45" s="404"/>
      <c r="B45" s="368"/>
      <c r="C45" s="368"/>
      <c r="D45" s="368"/>
      <c r="E45" s="368"/>
      <c r="F45" s="368"/>
      <c r="G45" s="368"/>
      <c r="H45" s="368"/>
      <c r="I45" s="368"/>
    </row>
    <row r="46" spans="1:9" x14ac:dyDescent="0.25">
      <c r="A46" s="404"/>
      <c r="B46" s="610"/>
      <c r="C46" s="610"/>
      <c r="D46" s="610"/>
      <c r="E46" s="610"/>
      <c r="F46" s="610"/>
      <c r="G46" s="610"/>
      <c r="H46" s="610"/>
      <c r="I46" s="610"/>
    </row>
  </sheetData>
  <customSheetViews>
    <customSheetView guid="{A8748736-0722-49EB-85B6-C9B52DDCFE0E}">
      <selection activeCell="L34" sqref="L34"/>
      <pageMargins left="0.75" right="0.75" top="1" bottom="1" header="0.5" footer="0.5"/>
      <printOptions horizontalCentered="1"/>
      <pageSetup firstPageNumber="111" fitToHeight="0" orientation="portrait" useFirstPageNumber="1" r:id="rId1"/>
      <headerFooter alignWithMargins="0"/>
    </customSheetView>
    <customSheetView guid="{E0C60316-4586-4AAF-92CB-FA82BB1EB755}">
      <selection activeCell="B29" sqref="B29"/>
      <pageMargins left="0" right="0" top="0" bottom="0" header="0" footer="0"/>
      <printOptions horizontalCentered="1"/>
      <pageSetup firstPageNumber="111" fitToHeight="0" orientation="portrait" useFirstPageNumber="1" r:id="rId2"/>
      <headerFooter alignWithMargins="0"/>
    </customSheetView>
  </customSheetViews>
  <mergeCells count="3">
    <mergeCell ref="B28:C28"/>
    <mergeCell ref="B38:I40"/>
    <mergeCell ref="B41:I42"/>
  </mergeCells>
  <phoneticPr fontId="0" type="noConversion"/>
  <printOptions horizontalCentered="1"/>
  <pageMargins left="0.75" right="0.75" top="1" bottom="1" header="0.5" footer="0.5"/>
  <pageSetup firstPageNumber="111" fitToHeight="0" orientation="portrait" useFirstPageNumber="1" r:id="rId3"/>
  <headerFooter alignWithMargins="0"/>
  <legacyDrawing r:id="rId4"/>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31"/>
  <sheetViews>
    <sheetView workbookViewId="0">
      <selection sqref="A1:I1"/>
    </sheetView>
  </sheetViews>
  <sheetFormatPr defaultColWidth="9.109375" defaultRowHeight="13.2" x14ac:dyDescent="0.25"/>
  <cols>
    <col min="1" max="1" width="3.109375" style="35" customWidth="1"/>
    <col min="2" max="2" width="3.88671875" style="35" customWidth="1"/>
    <col min="3" max="3" width="3" style="35" customWidth="1"/>
    <col min="4" max="4" width="18.44140625" style="35" customWidth="1"/>
    <col min="5" max="5" width="9.109375" style="35"/>
    <col min="6" max="6" width="2.5546875" style="35" customWidth="1"/>
    <col min="7" max="7" width="9.109375" style="35"/>
    <col min="8" max="8" width="2.88671875" style="35" customWidth="1"/>
    <col min="9" max="16384" width="9.109375" style="35"/>
  </cols>
  <sheetData>
    <row r="1" spans="1:9" x14ac:dyDescent="0.25">
      <c r="A1" s="994" t="s">
        <v>1</v>
      </c>
      <c r="B1" s="994"/>
      <c r="C1" s="994"/>
      <c r="D1" s="994"/>
      <c r="E1" s="994"/>
      <c r="F1" s="994"/>
      <c r="G1" s="994"/>
      <c r="H1" s="994"/>
      <c r="I1" s="994"/>
    </row>
    <row r="2" spans="1:9" x14ac:dyDescent="0.25">
      <c r="A2" s="994" t="s">
        <v>694</v>
      </c>
      <c r="B2" s="994"/>
      <c r="C2" s="994"/>
      <c r="D2" s="994"/>
      <c r="E2" s="994"/>
      <c r="F2" s="994"/>
      <c r="G2" s="994"/>
      <c r="H2" s="994"/>
      <c r="I2" s="994"/>
    </row>
    <row r="3" spans="1:9" x14ac:dyDescent="0.25">
      <c r="A3" s="994" t="s">
        <v>683</v>
      </c>
      <c r="B3" s="994"/>
      <c r="C3" s="994"/>
      <c r="D3" s="994"/>
      <c r="E3" s="994"/>
      <c r="F3" s="994"/>
      <c r="G3" s="994"/>
      <c r="H3" s="994"/>
      <c r="I3" s="994"/>
    </row>
    <row r="4" spans="1:9" x14ac:dyDescent="0.25">
      <c r="A4" s="994" t="s">
        <v>491</v>
      </c>
      <c r="B4" s="994"/>
      <c r="C4" s="994"/>
      <c r="D4" s="994"/>
      <c r="E4" s="994"/>
      <c r="F4" s="994"/>
      <c r="G4" s="994"/>
      <c r="H4" s="994"/>
      <c r="I4" s="994"/>
    </row>
    <row r="5" spans="1:9" x14ac:dyDescent="0.25">
      <c r="A5" s="994" t="str">
        <f>GFIS_BA!A5</f>
        <v>For the Year Ended June 30, 2022</v>
      </c>
      <c r="B5" s="994"/>
      <c r="C5" s="994"/>
      <c r="D5" s="994"/>
      <c r="E5" s="994"/>
      <c r="F5" s="994"/>
      <c r="G5" s="994"/>
      <c r="H5" s="994"/>
      <c r="I5" s="994"/>
    </row>
    <row r="6" spans="1:9" x14ac:dyDescent="0.25">
      <c r="A6" s="994"/>
      <c r="B6" s="994"/>
      <c r="C6" s="994"/>
      <c r="D6" s="994"/>
      <c r="E6" s="994"/>
      <c r="F6" s="994"/>
      <c r="G6" s="994"/>
      <c r="H6" s="994"/>
      <c r="I6" s="994"/>
    </row>
    <row r="7" spans="1:9" ht="13.8" thickBot="1" x14ac:dyDescent="0.3">
      <c r="A7" s="164"/>
      <c r="B7" s="164"/>
      <c r="C7" s="164"/>
      <c r="D7" s="164"/>
      <c r="E7" s="164"/>
      <c r="F7" s="94"/>
      <c r="G7" s="94"/>
      <c r="H7" s="94"/>
      <c r="I7" s="94"/>
    </row>
    <row r="8" spans="1:9" x14ac:dyDescent="0.25">
      <c r="A8" s="165"/>
      <c r="B8" s="165"/>
      <c r="C8" s="165"/>
      <c r="D8" s="165"/>
      <c r="E8" s="165"/>
      <c r="F8" s="29"/>
      <c r="G8" s="29"/>
      <c r="H8" s="29"/>
      <c r="I8" s="131" t="s">
        <v>215</v>
      </c>
    </row>
    <row r="9" spans="1:9" x14ac:dyDescent="0.25">
      <c r="A9" s="165"/>
      <c r="B9" s="165"/>
      <c r="C9" s="165"/>
      <c r="D9" s="165"/>
      <c r="E9" s="166" t="s">
        <v>218</v>
      </c>
      <c r="F9" s="29"/>
      <c r="G9" s="29"/>
      <c r="H9" s="29"/>
      <c r="I9" s="131" t="s">
        <v>219</v>
      </c>
    </row>
    <row r="10" spans="1:9" x14ac:dyDescent="0.25">
      <c r="A10" s="165"/>
      <c r="B10" s="167" t="s">
        <v>122</v>
      </c>
      <c r="C10" s="165"/>
      <c r="D10" s="165"/>
      <c r="E10" s="168" t="s">
        <v>220</v>
      </c>
      <c r="F10" s="29"/>
      <c r="G10" s="136" t="s">
        <v>221</v>
      </c>
      <c r="H10" s="29"/>
      <c r="I10" s="136" t="s">
        <v>222</v>
      </c>
    </row>
    <row r="11" spans="1:9" x14ac:dyDescent="0.25">
      <c r="A11" s="167" t="s">
        <v>223</v>
      </c>
      <c r="B11" s="165"/>
      <c r="C11" s="165"/>
      <c r="D11" s="165"/>
      <c r="E11" s="165"/>
      <c r="F11" s="29"/>
      <c r="G11" s="29"/>
      <c r="H11" s="29"/>
      <c r="I11" s="29"/>
    </row>
    <row r="12" spans="1:9" x14ac:dyDescent="0.25">
      <c r="A12" s="165"/>
      <c r="B12" s="167" t="s">
        <v>493</v>
      </c>
      <c r="C12" s="165"/>
      <c r="D12" s="165"/>
      <c r="E12" s="169"/>
      <c r="F12" s="140"/>
      <c r="G12" s="140"/>
      <c r="H12" s="140"/>
      <c r="I12" s="140"/>
    </row>
    <row r="13" spans="1:9" x14ac:dyDescent="0.25">
      <c r="A13" s="165"/>
      <c r="B13" s="165"/>
      <c r="C13" s="167" t="s">
        <v>695</v>
      </c>
      <c r="D13" s="165"/>
      <c r="E13" s="170">
        <v>19200</v>
      </c>
      <c r="F13" s="171"/>
      <c r="G13" s="171">
        <v>19313</v>
      </c>
      <c r="H13" s="171"/>
      <c r="I13" s="171">
        <f>G13-E13</f>
        <v>113</v>
      </c>
    </row>
    <row r="14" spans="1:9" x14ac:dyDescent="0.25">
      <c r="A14" s="165"/>
      <c r="B14" s="165"/>
      <c r="C14" s="167" t="s">
        <v>696</v>
      </c>
      <c r="D14" s="165"/>
      <c r="E14" s="172">
        <v>1500</v>
      </c>
      <c r="F14" s="140"/>
      <c r="G14" s="173">
        <v>1548</v>
      </c>
      <c r="H14" s="140"/>
      <c r="I14" s="173">
        <f>G14-E14</f>
        <v>48</v>
      </c>
    </row>
    <row r="15" spans="1:9" x14ac:dyDescent="0.25">
      <c r="A15" s="165"/>
      <c r="B15" s="165"/>
      <c r="C15" s="165"/>
      <c r="D15" s="167" t="s">
        <v>495</v>
      </c>
      <c r="E15" s="144">
        <f>SUM(E13:E14)</f>
        <v>20700</v>
      </c>
      <c r="F15" s="140"/>
      <c r="G15" s="144">
        <f>SUM(G13:G14)</f>
        <v>20861</v>
      </c>
      <c r="H15" s="145"/>
      <c r="I15" s="144">
        <f>SUM(I13:I14)</f>
        <v>161</v>
      </c>
    </row>
    <row r="16" spans="1:9" x14ac:dyDescent="0.25">
      <c r="A16" s="165"/>
      <c r="B16" s="165"/>
      <c r="C16" s="165"/>
      <c r="D16" s="165"/>
      <c r="E16" s="169"/>
      <c r="F16" s="140"/>
      <c r="G16" s="140"/>
      <c r="H16" s="404"/>
      <c r="I16" s="404"/>
    </row>
    <row r="17" spans="1:9" x14ac:dyDescent="0.25">
      <c r="A17" s="165"/>
      <c r="B17" s="167" t="s">
        <v>169</v>
      </c>
      <c r="C17" s="165"/>
      <c r="D17" s="165"/>
      <c r="E17" s="174">
        <v>100</v>
      </c>
      <c r="F17" s="140"/>
      <c r="G17" s="175">
        <v>99</v>
      </c>
      <c r="H17" s="140"/>
      <c r="I17" s="175">
        <f>G17-E17</f>
        <v>-1</v>
      </c>
    </row>
    <row r="18" spans="1:9" x14ac:dyDescent="0.25">
      <c r="A18" s="165"/>
      <c r="B18" s="165"/>
      <c r="C18" s="165"/>
      <c r="D18" s="167" t="s">
        <v>171</v>
      </c>
      <c r="E18" s="174">
        <f>E15+E17</f>
        <v>20800</v>
      </c>
      <c r="F18" s="140"/>
      <c r="G18" s="174">
        <f>G15+G17</f>
        <v>20960</v>
      </c>
      <c r="H18" s="140"/>
      <c r="I18" s="174">
        <f>G18-E18</f>
        <v>160</v>
      </c>
    </row>
    <row r="19" spans="1:9" x14ac:dyDescent="0.25">
      <c r="A19" s="165"/>
      <c r="B19" s="165"/>
      <c r="C19" s="165"/>
      <c r="D19" s="165"/>
      <c r="E19" s="169"/>
      <c r="F19" s="140"/>
      <c r="G19" s="140"/>
      <c r="H19" s="140"/>
      <c r="I19" s="140"/>
    </row>
    <row r="20" spans="1:9" x14ac:dyDescent="0.25">
      <c r="A20" s="167" t="s">
        <v>532</v>
      </c>
      <c r="B20" s="165"/>
      <c r="C20" s="165"/>
      <c r="D20" s="165"/>
      <c r="E20" s="169"/>
      <c r="F20" s="140"/>
      <c r="G20" s="140"/>
      <c r="H20" s="140"/>
      <c r="I20" s="140"/>
    </row>
    <row r="21" spans="1:9" x14ac:dyDescent="0.25">
      <c r="A21" s="165"/>
      <c r="B21" s="167" t="s">
        <v>173</v>
      </c>
      <c r="C21" s="165"/>
      <c r="D21" s="165"/>
      <c r="E21" s="165"/>
      <c r="F21" s="29"/>
      <c r="G21" s="29"/>
      <c r="H21" s="29"/>
      <c r="I21" s="29"/>
    </row>
    <row r="22" spans="1:9" x14ac:dyDescent="0.25">
      <c r="A22" s="165"/>
      <c r="B22" s="167" t="s">
        <v>697</v>
      </c>
      <c r="C22" s="165"/>
      <c r="D22" s="165"/>
      <c r="E22" s="169"/>
      <c r="F22" s="140"/>
      <c r="G22" s="140"/>
      <c r="H22" s="140"/>
      <c r="I22" s="140"/>
    </row>
    <row r="23" spans="1:9" x14ac:dyDescent="0.25">
      <c r="A23" s="165"/>
      <c r="B23" s="165"/>
      <c r="C23" s="167" t="s">
        <v>698</v>
      </c>
      <c r="D23" s="165"/>
      <c r="E23" s="169">
        <v>9800</v>
      </c>
      <c r="F23" s="140"/>
      <c r="G23" s="140">
        <v>9800</v>
      </c>
      <c r="H23" s="140"/>
      <c r="I23" s="176">
        <f>E23-G23</f>
        <v>0</v>
      </c>
    </row>
    <row r="24" spans="1:9" x14ac:dyDescent="0.25">
      <c r="A24" s="165"/>
      <c r="B24" s="165"/>
      <c r="C24" s="167" t="s">
        <v>699</v>
      </c>
      <c r="D24" s="165"/>
      <c r="E24" s="174">
        <v>11000</v>
      </c>
      <c r="F24" s="140"/>
      <c r="G24" s="175">
        <v>11000</v>
      </c>
      <c r="H24" s="140"/>
      <c r="I24" s="177">
        <f>E24-G24</f>
        <v>0</v>
      </c>
    </row>
    <row r="25" spans="1:9" x14ac:dyDescent="0.25">
      <c r="A25" s="165"/>
      <c r="B25" s="165"/>
      <c r="C25" s="165"/>
      <c r="D25" s="167" t="s">
        <v>183</v>
      </c>
      <c r="E25" s="174">
        <f>SUM(E23:E24)</f>
        <v>20800</v>
      </c>
      <c r="F25" s="140"/>
      <c r="G25" s="174">
        <f>SUM(G23:G24)</f>
        <v>20800</v>
      </c>
      <c r="H25" s="140"/>
      <c r="I25" s="174">
        <f>SUM(I23:I24)</f>
        <v>0</v>
      </c>
    </row>
    <row r="26" spans="1:9" x14ac:dyDescent="0.25">
      <c r="A26" s="165"/>
      <c r="B26" s="165"/>
      <c r="C26" s="165"/>
      <c r="D26" s="165"/>
      <c r="E26" s="169"/>
      <c r="F26" s="140"/>
      <c r="G26" s="140"/>
      <c r="H26" s="140"/>
      <c r="I26" s="169"/>
    </row>
    <row r="27" spans="1:9" ht="13.8" thickBot="1" x14ac:dyDescent="0.3">
      <c r="A27" s="167" t="s">
        <v>194</v>
      </c>
      <c r="B27" s="165"/>
      <c r="C27" s="165"/>
      <c r="D27" s="165"/>
      <c r="E27" s="178">
        <f>E18-E25</f>
        <v>0</v>
      </c>
      <c r="F27" s="140"/>
      <c r="G27" s="140">
        <f>G18-G25</f>
        <v>160</v>
      </c>
      <c r="H27" s="140"/>
      <c r="I27" s="179">
        <f>I18-I25</f>
        <v>160</v>
      </c>
    </row>
    <row r="28" spans="1:9" ht="13.8" thickTop="1" x14ac:dyDescent="0.25">
      <c r="A28" s="165"/>
      <c r="B28" s="165"/>
      <c r="C28" s="165"/>
      <c r="D28" s="165"/>
      <c r="E28" s="169"/>
      <c r="F28" s="140"/>
      <c r="G28" s="140"/>
      <c r="H28" s="140"/>
      <c r="I28" s="140"/>
    </row>
    <row r="29" spans="1:9" x14ac:dyDescent="0.25">
      <c r="A29" s="167" t="s">
        <v>644</v>
      </c>
      <c r="B29" s="167"/>
      <c r="C29" s="165"/>
      <c r="D29" s="165"/>
      <c r="E29" s="169"/>
      <c r="F29" s="140"/>
      <c r="G29" s="175">
        <v>1623</v>
      </c>
      <c r="H29" s="140"/>
      <c r="I29" s="140"/>
    </row>
    <row r="30" spans="1:9" ht="13.8" thickBot="1" x14ac:dyDescent="0.3">
      <c r="A30" s="167" t="s">
        <v>634</v>
      </c>
      <c r="B30" s="167"/>
      <c r="C30" s="165"/>
      <c r="D30" s="165"/>
      <c r="E30" s="169"/>
      <c r="F30" s="140"/>
      <c r="G30" s="179">
        <f>G27+G29</f>
        <v>1783</v>
      </c>
      <c r="H30" s="140"/>
      <c r="I30" s="140"/>
    </row>
    <row r="31" spans="1:9" ht="13.8" thickTop="1" x14ac:dyDescent="0.25">
      <c r="A31" s="404"/>
      <c r="B31" s="404"/>
      <c r="C31" s="404"/>
      <c r="D31" s="404"/>
      <c r="E31" s="404"/>
      <c r="F31" s="404"/>
      <c r="G31" s="404"/>
      <c r="H31" s="404"/>
      <c r="I31" s="404"/>
    </row>
  </sheetData>
  <customSheetViews>
    <customSheetView guid="{A8748736-0722-49EB-85B6-C9B52DDCFE0E}">
      <selection activeCell="G52" sqref="A2:I52"/>
      <pageMargins left="0.75" right="0.75" top="1" bottom="1" header="0.5" footer="0.5"/>
      <printOptions horizontalCentered="1"/>
      <pageSetup firstPageNumber="112" fitToHeight="0" orientation="portrait" useFirstPageNumber="1" r:id="rId1"/>
      <headerFooter alignWithMargins="0"/>
    </customSheetView>
    <customSheetView guid="{E0C60316-4586-4AAF-92CB-FA82BB1EB755}">
      <selection sqref="A1:I1"/>
      <pageMargins left="0" right="0" top="0" bottom="0" header="0" footer="0"/>
      <printOptions horizontalCentered="1"/>
      <pageSetup firstPageNumber="112" fitToHeight="0" orientation="portrait" useFirstPageNumber="1" r:id="rId2"/>
      <headerFooter alignWithMargins="0"/>
    </customSheetView>
  </customSheetViews>
  <mergeCells count="6">
    <mergeCell ref="A5:I5"/>
    <mergeCell ref="A6:I6"/>
    <mergeCell ref="A1:I1"/>
    <mergeCell ref="A2:I2"/>
    <mergeCell ref="A3:I3"/>
    <mergeCell ref="A4:I4"/>
  </mergeCells>
  <phoneticPr fontId="0" type="noConversion"/>
  <printOptions horizontalCentered="1"/>
  <pageMargins left="0.75" right="0.75" top="1" bottom="1" header="0.5" footer="0.5"/>
  <pageSetup firstPageNumber="112" fitToHeight="0" orientation="portrait" useFirstPageNumber="1"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9"/>
  <sheetViews>
    <sheetView workbookViewId="0"/>
  </sheetViews>
  <sheetFormatPr defaultColWidth="9.109375" defaultRowHeight="13.2" x14ac:dyDescent="0.25"/>
  <cols>
    <col min="1" max="1" width="30.6640625" style="404" customWidth="1"/>
    <col min="2" max="9" width="15.6640625" style="404" customWidth="1"/>
    <col min="10" max="10" width="12.88671875" style="404" bestFit="1" customWidth="1"/>
    <col min="11" max="11" width="14.109375" style="404" bestFit="1" customWidth="1"/>
    <col min="12" max="12" width="12.109375" style="404" bestFit="1" customWidth="1"/>
    <col min="13" max="14" width="9.109375" style="404"/>
    <col min="15" max="15" width="9.88671875" style="404" bestFit="1" customWidth="1"/>
    <col min="16" max="16384" width="9.109375" style="404"/>
  </cols>
  <sheetData>
    <row r="1" spans="1:15" x14ac:dyDescent="0.25">
      <c r="A1" s="38"/>
      <c r="B1" s="38"/>
      <c r="C1" s="38"/>
      <c r="D1" s="38"/>
      <c r="E1" s="635"/>
      <c r="F1" s="38"/>
      <c r="G1" s="38"/>
      <c r="H1" s="38"/>
      <c r="K1" s="635" t="s">
        <v>58</v>
      </c>
    </row>
    <row r="2" spans="1:15" x14ac:dyDescent="0.25">
      <c r="A2" s="859" t="s">
        <v>1</v>
      </c>
      <c r="B2" s="859"/>
      <c r="C2" s="859"/>
      <c r="D2" s="859"/>
      <c r="E2" s="859"/>
      <c r="F2" s="859"/>
      <c r="G2" s="859"/>
      <c r="H2" s="859"/>
      <c r="I2" s="859"/>
      <c r="J2" s="859"/>
      <c r="K2" s="859"/>
    </row>
    <row r="3" spans="1:15" x14ac:dyDescent="0.25">
      <c r="A3" s="859" t="s">
        <v>59</v>
      </c>
      <c r="B3" s="859"/>
      <c r="C3" s="859"/>
      <c r="D3" s="859"/>
      <c r="E3" s="859"/>
      <c r="F3" s="859"/>
      <c r="G3" s="859"/>
      <c r="H3" s="859"/>
      <c r="I3" s="859"/>
      <c r="J3" s="859"/>
      <c r="K3" s="859"/>
    </row>
    <row r="4" spans="1:15" x14ac:dyDescent="0.25">
      <c r="A4" s="859" t="s">
        <v>102</v>
      </c>
      <c r="B4" s="859"/>
      <c r="C4" s="859"/>
      <c r="D4" s="859"/>
      <c r="E4" s="859"/>
      <c r="F4" s="859"/>
      <c r="G4" s="859"/>
      <c r="H4" s="859"/>
      <c r="I4" s="859"/>
      <c r="J4" s="859"/>
      <c r="K4" s="859"/>
    </row>
    <row r="5" spans="1:15" x14ac:dyDescent="0.25">
      <c r="A5" s="38"/>
      <c r="B5" s="38"/>
      <c r="C5" s="38"/>
      <c r="D5" s="38"/>
      <c r="E5" s="38"/>
      <c r="F5" s="38"/>
      <c r="G5" s="38"/>
      <c r="H5" s="38"/>
      <c r="I5" s="38"/>
    </row>
    <row r="6" spans="1:15" x14ac:dyDescent="0.25">
      <c r="A6" s="38"/>
      <c r="B6" s="38"/>
      <c r="C6" s="857" t="s">
        <v>61</v>
      </c>
      <c r="D6" s="857"/>
      <c r="E6" s="857"/>
      <c r="F6" s="857" t="s">
        <v>62</v>
      </c>
      <c r="G6" s="857"/>
      <c r="H6" s="857"/>
      <c r="I6" s="857"/>
      <c r="J6" s="857"/>
      <c r="K6" s="857"/>
    </row>
    <row r="7" spans="1:15" x14ac:dyDescent="0.25">
      <c r="A7" s="38"/>
      <c r="B7" s="38"/>
      <c r="C7" s="38"/>
      <c r="D7" s="38"/>
      <c r="E7" s="38"/>
      <c r="F7" s="857" t="s">
        <v>4</v>
      </c>
      <c r="G7" s="857"/>
      <c r="H7" s="857"/>
      <c r="I7" s="39" t="s">
        <v>5</v>
      </c>
      <c r="J7" s="434"/>
      <c r="K7" s="434"/>
    </row>
    <row r="8" spans="1:15" ht="71.400000000000006" customHeight="1" x14ac:dyDescent="0.25">
      <c r="A8" s="55" t="s">
        <v>63</v>
      </c>
      <c r="B8" s="634" t="s">
        <v>64</v>
      </c>
      <c r="C8" s="655" t="s">
        <v>65</v>
      </c>
      <c r="D8" s="655" t="s">
        <v>66</v>
      </c>
      <c r="E8" s="655" t="s">
        <v>67</v>
      </c>
      <c r="F8" s="655" t="s">
        <v>6</v>
      </c>
      <c r="G8" s="655" t="s">
        <v>7</v>
      </c>
      <c r="H8" s="634" t="s">
        <v>8</v>
      </c>
      <c r="I8" s="1" t="s">
        <v>9</v>
      </c>
      <c r="J8" s="1" t="s">
        <v>10</v>
      </c>
      <c r="K8" s="1" t="s">
        <v>11</v>
      </c>
    </row>
    <row r="9" spans="1:15" x14ac:dyDescent="0.25">
      <c r="A9" s="38" t="s">
        <v>68</v>
      </c>
      <c r="B9" s="38"/>
      <c r="C9" s="38"/>
      <c r="D9" s="38"/>
      <c r="E9" s="38"/>
      <c r="F9" s="38"/>
      <c r="G9" s="38"/>
      <c r="H9" s="38"/>
      <c r="I9" s="38"/>
    </row>
    <row r="10" spans="1:15" x14ac:dyDescent="0.25">
      <c r="A10" s="405" t="s">
        <v>69</v>
      </c>
    </row>
    <row r="11" spans="1:15" x14ac:dyDescent="0.25">
      <c r="A11" s="639" t="s">
        <v>70</v>
      </c>
      <c r="B11" s="614">
        <f>7078711+52578-50585+60357+(438+16585+941-101424)+63270+3+0.95*(1201758)+11997-8+0.95*(66767)-12998+(4000)-(4000)+(11457)+1221075+1471592-1221075+495177-64681+20000</f>
        <v>10258508.75</v>
      </c>
      <c r="C11" s="412">
        <f>485657+46111+12600+481900</f>
        <v>1026268</v>
      </c>
      <c r="D11" s="412">
        <v>0</v>
      </c>
      <c r="E11" s="412">
        <v>0</v>
      </c>
      <c r="F11" s="412">
        <f>SUM(C11:E11)-B11</f>
        <v>-9232240.75</v>
      </c>
      <c r="G11" s="412">
        <v>0</v>
      </c>
      <c r="H11" s="412">
        <f t="shared" ref="H11:H18" si="0">SUM(F11:G11)</f>
        <v>-9232240.75</v>
      </c>
      <c r="I11" s="412"/>
      <c r="K11" s="414"/>
      <c r="M11" s="404">
        <f>-64681+20000</f>
        <v>-44681</v>
      </c>
      <c r="O11" s="430">
        <f>+B11-'Rev, exp, chgs in fb Exh 4'!B23</f>
        <v>771737.75</v>
      </c>
    </row>
    <row r="12" spans="1:15" x14ac:dyDescent="0.25">
      <c r="A12" s="639" t="s">
        <v>44</v>
      </c>
      <c r="B12" s="615">
        <f>7275482-63270+32902+-15649+16153-1+(15933)+2996</f>
        <v>7264546</v>
      </c>
      <c r="C12" s="393">
        <v>1827892</v>
      </c>
      <c r="D12" s="393">
        <v>141485</v>
      </c>
      <c r="E12" s="393">
        <v>0</v>
      </c>
      <c r="F12" s="393">
        <f t="shared" ref="F12:F18" si="1">SUM(C12:E12)-B12</f>
        <v>-5295169</v>
      </c>
      <c r="G12" s="393">
        <v>0</v>
      </c>
      <c r="H12" s="393">
        <f t="shared" si="0"/>
        <v>-5295169</v>
      </c>
      <c r="I12" s="393"/>
      <c r="J12" s="423"/>
      <c r="K12" s="414"/>
      <c r="M12" s="404">
        <v>2996</v>
      </c>
    </row>
    <row r="13" spans="1:15" x14ac:dyDescent="0.25">
      <c r="A13" s="639" t="s">
        <v>71</v>
      </c>
      <c r="B13" s="393">
        <f>1134158-140</f>
        <v>1134018</v>
      </c>
      <c r="C13" s="393">
        <v>0</v>
      </c>
      <c r="D13" s="393">
        <v>0</v>
      </c>
      <c r="E13" s="393">
        <v>0</v>
      </c>
      <c r="F13" s="393">
        <f t="shared" si="1"/>
        <v>-1134018</v>
      </c>
      <c r="G13" s="393">
        <v>0</v>
      </c>
      <c r="H13" s="393">
        <f t="shared" si="0"/>
        <v>-1134018</v>
      </c>
      <c r="I13" s="393"/>
      <c r="J13" s="423"/>
      <c r="K13" s="414"/>
    </row>
    <row r="14" spans="1:15" x14ac:dyDescent="0.25">
      <c r="A14" s="639" t="s">
        <v>72</v>
      </c>
      <c r="B14" s="393">
        <f>1136399-1048</f>
        <v>1135351</v>
      </c>
      <c r="C14" s="393">
        <v>0</v>
      </c>
      <c r="D14" s="393">
        <v>0</v>
      </c>
      <c r="E14" s="393">
        <v>0</v>
      </c>
      <c r="F14" s="393">
        <f t="shared" si="1"/>
        <v>-1135351</v>
      </c>
      <c r="G14" s="393">
        <v>0</v>
      </c>
      <c r="H14" s="393">
        <f t="shared" si="0"/>
        <v>-1135351</v>
      </c>
      <c r="I14" s="393"/>
      <c r="K14" s="430"/>
    </row>
    <row r="15" spans="1:15" x14ac:dyDescent="0.25">
      <c r="A15" s="639" t="s">
        <v>73</v>
      </c>
      <c r="B15" s="393">
        <f>22424065-22289+532637</f>
        <v>22934413</v>
      </c>
      <c r="C15" s="393">
        <v>100000</v>
      </c>
      <c r="D15" s="393">
        <f>13144196-619059+566064</f>
        <v>13091201</v>
      </c>
      <c r="E15" s="393">
        <v>0</v>
      </c>
      <c r="F15" s="393">
        <f t="shared" si="1"/>
        <v>-9743212</v>
      </c>
      <c r="G15" s="393">
        <v>0</v>
      </c>
      <c r="H15" s="393">
        <f t="shared" si="0"/>
        <v>-9743212</v>
      </c>
      <c r="I15" s="393"/>
      <c r="K15" s="430"/>
    </row>
    <row r="16" spans="1:15" x14ac:dyDescent="0.25">
      <c r="A16" s="639" t="s">
        <v>74</v>
      </c>
      <c r="B16" s="393">
        <f>2353261-454</f>
        <v>2352807</v>
      </c>
      <c r="C16" s="615">
        <f>578373+20605</f>
        <v>598978</v>
      </c>
      <c r="D16" s="393">
        <v>0</v>
      </c>
      <c r="E16" s="393">
        <v>102832</v>
      </c>
      <c r="F16" s="393">
        <f t="shared" si="1"/>
        <v>-1650997</v>
      </c>
      <c r="G16" s="393">
        <v>0</v>
      </c>
      <c r="H16" s="393">
        <f t="shared" si="0"/>
        <v>-1650997</v>
      </c>
      <c r="I16" s="393"/>
      <c r="K16" s="430"/>
    </row>
    <row r="17" spans="1:13" x14ac:dyDescent="0.25">
      <c r="A17" s="639" t="s">
        <v>45</v>
      </c>
      <c r="B17" s="393">
        <f>43118616</f>
        <v>43118616</v>
      </c>
      <c r="C17" s="393">
        <v>0</v>
      </c>
      <c r="D17" s="393">
        <v>683529</v>
      </c>
      <c r="E17" s="393">
        <v>0</v>
      </c>
      <c r="F17" s="393">
        <f t="shared" si="1"/>
        <v>-42435087</v>
      </c>
      <c r="G17" s="393">
        <v>0</v>
      </c>
      <c r="H17" s="393">
        <f t="shared" si="0"/>
        <v>-42435087</v>
      </c>
      <c r="I17" s="393"/>
      <c r="K17" s="430"/>
    </row>
    <row r="18" spans="1:13" x14ac:dyDescent="0.25">
      <c r="A18" s="639" t="s">
        <v>75</v>
      </c>
      <c r="B18" s="617">
        <f>695925+16360</f>
        <v>712285</v>
      </c>
      <c r="C18" s="421">
        <v>0</v>
      </c>
      <c r="D18" s="421">
        <v>0</v>
      </c>
      <c r="E18" s="421">
        <v>0</v>
      </c>
      <c r="F18" s="421">
        <f t="shared" si="1"/>
        <v>-712285</v>
      </c>
      <c r="G18" s="421">
        <v>0</v>
      </c>
      <c r="H18" s="421">
        <f t="shared" si="0"/>
        <v>-712285</v>
      </c>
      <c r="I18" s="394"/>
      <c r="K18" s="430"/>
      <c r="M18" s="404">
        <v>16360</v>
      </c>
    </row>
    <row r="19" spans="1:13" x14ac:dyDescent="0.25">
      <c r="A19" s="428" t="s">
        <v>76</v>
      </c>
      <c r="B19" s="415">
        <f t="shared" ref="B19:G19" si="2">SUM(B11:B18)</f>
        <v>88910544.75</v>
      </c>
      <c r="C19" s="415">
        <f t="shared" si="2"/>
        <v>3553138</v>
      </c>
      <c r="D19" s="415">
        <f t="shared" si="2"/>
        <v>13916215</v>
      </c>
      <c r="E19" s="415">
        <f t="shared" si="2"/>
        <v>102832</v>
      </c>
      <c r="F19" s="415">
        <f t="shared" si="2"/>
        <v>-71338359.75</v>
      </c>
      <c r="G19" s="415">
        <f t="shared" si="2"/>
        <v>0</v>
      </c>
      <c r="H19" s="415">
        <f>SUM(F19:G19)</f>
        <v>-71338359.75</v>
      </c>
      <c r="I19" s="394"/>
      <c r="K19" s="430"/>
    </row>
    <row r="20" spans="1:13" x14ac:dyDescent="0.25">
      <c r="A20" s="405"/>
      <c r="I20" s="435"/>
      <c r="K20" s="430"/>
    </row>
    <row r="21" spans="1:13" x14ac:dyDescent="0.25">
      <c r="A21" s="405" t="s">
        <v>77</v>
      </c>
      <c r="I21" s="435"/>
      <c r="K21" s="430"/>
    </row>
    <row r="22" spans="1:13" x14ac:dyDescent="0.25">
      <c r="A22" s="639" t="s">
        <v>78</v>
      </c>
      <c r="B22" s="393">
        <f>286728+0.05*0.32*(1201758)+0.05*0.32*(66767)-500+(20565+24785-20565)</f>
        <v>331309.40000000002</v>
      </c>
      <c r="C22" s="393">
        <v>225995</v>
      </c>
      <c r="D22" s="393">
        <v>100</v>
      </c>
      <c r="E22" s="393">
        <v>0</v>
      </c>
      <c r="F22" s="393">
        <v>0</v>
      </c>
      <c r="G22" s="436">
        <f>SUM(C22:E22)-B22</f>
        <v>-105214.40000000002</v>
      </c>
      <c r="H22" s="393">
        <f>SUM(F22:G22)</f>
        <v>-105214.40000000002</v>
      </c>
      <c r="I22" s="435"/>
      <c r="K22" s="414"/>
    </row>
    <row r="23" spans="1:13" x14ac:dyDescent="0.25">
      <c r="A23" s="639" t="s">
        <v>79</v>
      </c>
      <c r="B23" s="421">
        <f>483282+0.05*0.68*(1201758)+0.05*0.68*(66767)-318+(43059+51893-43059)+(643+775-643)</f>
        <v>578761.85</v>
      </c>
      <c r="C23" s="421">
        <f>779108+1000+12100</f>
        <v>792208</v>
      </c>
      <c r="D23" s="421">
        <v>0</v>
      </c>
      <c r="E23" s="421">
        <f>125348+530</f>
        <v>125878</v>
      </c>
      <c r="F23" s="421">
        <v>0</v>
      </c>
      <c r="G23" s="394">
        <f>SUM(C23:E23)-B23</f>
        <v>339324.15</v>
      </c>
      <c r="H23" s="394">
        <f>SUM(F23:G23)</f>
        <v>339324.15</v>
      </c>
      <c r="I23" s="435"/>
      <c r="K23" s="430"/>
    </row>
    <row r="24" spans="1:13" x14ac:dyDescent="0.25">
      <c r="A24" s="428" t="s">
        <v>80</v>
      </c>
      <c r="B24" s="415">
        <f t="shared" ref="B24:G24" si="3">SUM(B22:B23)</f>
        <v>910071.25</v>
      </c>
      <c r="C24" s="415">
        <f t="shared" si="3"/>
        <v>1018203</v>
      </c>
      <c r="D24" s="415">
        <f t="shared" si="3"/>
        <v>100</v>
      </c>
      <c r="E24" s="415">
        <f t="shared" si="3"/>
        <v>125878</v>
      </c>
      <c r="F24" s="415">
        <f t="shared" si="3"/>
        <v>0</v>
      </c>
      <c r="G24" s="415">
        <f t="shared" si="3"/>
        <v>234109.75</v>
      </c>
      <c r="H24" s="415">
        <f>SUM(H22:H23)</f>
        <v>234109.75</v>
      </c>
      <c r="I24" s="435"/>
      <c r="K24" s="430"/>
    </row>
    <row r="25" spans="1:13" ht="13.8" thickBot="1" x14ac:dyDescent="0.3">
      <c r="A25" s="637" t="s">
        <v>81</v>
      </c>
      <c r="B25" s="392">
        <f t="shared" ref="B25:H25" si="4">+B19+B24</f>
        <v>89820616</v>
      </c>
      <c r="C25" s="392">
        <f t="shared" si="4"/>
        <v>4571341</v>
      </c>
      <c r="D25" s="392">
        <f t="shared" si="4"/>
        <v>13916315</v>
      </c>
      <c r="E25" s="392">
        <f t="shared" si="4"/>
        <v>228710</v>
      </c>
      <c r="F25" s="415">
        <f t="shared" si="4"/>
        <v>-71338359.75</v>
      </c>
      <c r="G25" s="415">
        <f t="shared" si="4"/>
        <v>234109.75</v>
      </c>
      <c r="H25" s="415">
        <f t="shared" si="4"/>
        <v>-71104250</v>
      </c>
      <c r="I25" s="413"/>
      <c r="K25" s="430"/>
    </row>
    <row r="26" spans="1:13" ht="13.8" thickTop="1" x14ac:dyDescent="0.25">
      <c r="A26" s="405"/>
      <c r="I26" s="435"/>
      <c r="K26" s="430"/>
    </row>
    <row r="27" spans="1:13" x14ac:dyDescent="0.25">
      <c r="A27" s="405" t="s">
        <v>82</v>
      </c>
      <c r="K27" s="430"/>
    </row>
    <row r="28" spans="1:13" x14ac:dyDescent="0.25">
      <c r="A28" s="639" t="s">
        <v>83</v>
      </c>
      <c r="B28" s="412">
        <f>38441831+2033573+144537+(138450+16840-1207475-48601+716137+1203548)</f>
        <v>41438840</v>
      </c>
      <c r="C28" s="412">
        <v>43127674</v>
      </c>
      <c r="D28" s="412">
        <v>1241035</v>
      </c>
      <c r="E28" s="412">
        <v>974775</v>
      </c>
      <c r="I28" s="412">
        <f>SUM(C28:E28)-B28</f>
        <v>3904644</v>
      </c>
      <c r="J28" s="430">
        <v>0</v>
      </c>
      <c r="K28" s="430">
        <v>0</v>
      </c>
    </row>
    <row r="29" spans="1:13" x14ac:dyDescent="0.25">
      <c r="A29" s="639" t="s">
        <v>84</v>
      </c>
      <c r="B29" s="394">
        <f>2532470+2773+127850+(216-88-519+1269+1136+1911)</f>
        <v>2667018</v>
      </c>
      <c r="C29" s="394">
        <v>2661222</v>
      </c>
      <c r="D29" s="394">
        <v>0</v>
      </c>
      <c r="E29" s="394">
        <v>0</v>
      </c>
      <c r="F29" s="435"/>
      <c r="G29" s="435"/>
      <c r="H29" s="435"/>
      <c r="I29" s="394">
        <v>0</v>
      </c>
      <c r="J29" s="549">
        <f>+SUM(C29:E29)-B29</f>
        <v>-5796</v>
      </c>
      <c r="K29" s="549">
        <v>0</v>
      </c>
    </row>
    <row r="30" spans="1:13" x14ac:dyDescent="0.25">
      <c r="A30" s="639" t="s">
        <v>103</v>
      </c>
      <c r="B30" s="394">
        <f>245090-16234+3459-2637-4489</f>
        <v>225189</v>
      </c>
      <c r="C30" s="394">
        <v>0</v>
      </c>
      <c r="D30" s="394">
        <v>0</v>
      </c>
      <c r="E30" s="394">
        <v>0</v>
      </c>
      <c r="I30" s="421">
        <v>0</v>
      </c>
      <c r="J30" s="437">
        <v>0</v>
      </c>
      <c r="K30" s="437">
        <f>SUM(C30:E30)-B30</f>
        <v>-225189</v>
      </c>
    </row>
    <row r="31" spans="1:13" ht="13.8" thickBot="1" x14ac:dyDescent="0.3">
      <c r="A31" s="405" t="s">
        <v>85</v>
      </c>
      <c r="B31" s="392">
        <f>SUM(B28:B30)</f>
        <v>44331047</v>
      </c>
      <c r="C31" s="392">
        <f>SUM(C28:C30)</f>
        <v>45788896</v>
      </c>
      <c r="D31" s="392">
        <f>SUM(D28:D30)</f>
        <v>1241035</v>
      </c>
      <c r="E31" s="392">
        <f>SUM(E28:E30)</f>
        <v>974775</v>
      </c>
      <c r="G31" s="464"/>
      <c r="I31" s="415">
        <f>SUM(I28:I30)</f>
        <v>3904644</v>
      </c>
      <c r="J31" s="415">
        <f>SUM(J28:J30)</f>
        <v>-5796</v>
      </c>
      <c r="K31" s="415">
        <f>SUM(K28:K30)</f>
        <v>-225189</v>
      </c>
    </row>
    <row r="32" spans="1:13" ht="13.8" thickTop="1" x14ac:dyDescent="0.25">
      <c r="G32" s="397"/>
      <c r="K32" s="430"/>
    </row>
    <row r="33" spans="1:12" x14ac:dyDescent="0.25">
      <c r="B33" s="404" t="s">
        <v>86</v>
      </c>
      <c r="K33" s="430"/>
    </row>
    <row r="34" spans="1:12" x14ac:dyDescent="0.25">
      <c r="B34" s="639" t="s">
        <v>87</v>
      </c>
      <c r="F34" s="393"/>
      <c r="G34" s="393"/>
      <c r="H34" s="393"/>
      <c r="I34" s="393"/>
      <c r="K34" s="430"/>
    </row>
    <row r="35" spans="1:12" x14ac:dyDescent="0.25">
      <c r="B35" s="428" t="s">
        <v>88</v>
      </c>
      <c r="F35" s="393">
        <f>55714915-10945+210632-421264</f>
        <v>55493338</v>
      </c>
      <c r="G35" s="393">
        <v>0</v>
      </c>
      <c r="H35" s="393">
        <f t="shared" ref="H35:H40" si="5">SUM(F35:G35)</f>
        <v>55493338</v>
      </c>
      <c r="I35" s="393">
        <v>0</v>
      </c>
      <c r="J35" s="509">
        <v>0</v>
      </c>
      <c r="K35" s="393">
        <v>0</v>
      </c>
    </row>
    <row r="36" spans="1:12" x14ac:dyDescent="0.25">
      <c r="B36" s="428" t="s">
        <v>89</v>
      </c>
      <c r="F36" s="393">
        <f>13276224-50000</f>
        <v>13226224</v>
      </c>
      <c r="G36" s="393">
        <v>0</v>
      </c>
      <c r="H36" s="393">
        <f t="shared" si="5"/>
        <v>13226224</v>
      </c>
      <c r="I36" s="393">
        <v>0</v>
      </c>
      <c r="J36" s="509">
        <v>0</v>
      </c>
      <c r="K36" s="393">
        <v>0</v>
      </c>
    </row>
    <row r="37" spans="1:12" x14ac:dyDescent="0.25">
      <c r="B37" s="428" t="s">
        <v>90</v>
      </c>
      <c r="F37" s="393">
        <f>276471-46111</f>
        <v>230360</v>
      </c>
      <c r="G37" s="393">
        <v>101000</v>
      </c>
      <c r="H37" s="393">
        <f t="shared" si="5"/>
        <v>331360</v>
      </c>
      <c r="I37" s="393">
        <v>0</v>
      </c>
      <c r="J37" s="509">
        <v>0</v>
      </c>
      <c r="K37" s="393">
        <v>229168</v>
      </c>
    </row>
    <row r="38" spans="1:12" x14ac:dyDescent="0.25">
      <c r="B38" s="639" t="s">
        <v>91</v>
      </c>
      <c r="F38" s="393">
        <v>145522</v>
      </c>
      <c r="G38" s="393">
        <v>0</v>
      </c>
      <c r="H38" s="393">
        <f t="shared" si="5"/>
        <v>145522</v>
      </c>
      <c r="I38" s="393">
        <v>0</v>
      </c>
      <c r="J38" s="509">
        <v>0</v>
      </c>
      <c r="K38" s="393">
        <v>0</v>
      </c>
    </row>
    <row r="39" spans="1:12" x14ac:dyDescent="0.25">
      <c r="B39" s="639" t="s">
        <v>92</v>
      </c>
      <c r="F39" s="393">
        <f>1599396-549+(12147+38984)+568</f>
        <v>1650546</v>
      </c>
      <c r="G39" s="393">
        <f>5960+32159</f>
        <v>38119</v>
      </c>
      <c r="H39" s="393">
        <f t="shared" si="5"/>
        <v>1688665</v>
      </c>
      <c r="I39" s="393">
        <v>636856</v>
      </c>
      <c r="J39" s="393">
        <v>7971</v>
      </c>
      <c r="K39" s="393">
        <v>7268</v>
      </c>
    </row>
    <row r="40" spans="1:12" x14ac:dyDescent="0.25">
      <c r="B40" s="639" t="s">
        <v>93</v>
      </c>
      <c r="F40" s="615">
        <f>149594+549+500000+16257</f>
        <v>666400</v>
      </c>
      <c r="G40" s="393">
        <v>0</v>
      </c>
      <c r="H40" s="393">
        <f t="shared" si="5"/>
        <v>666400</v>
      </c>
      <c r="I40" s="393">
        <v>0</v>
      </c>
      <c r="J40" s="393">
        <v>0</v>
      </c>
      <c r="K40" s="393">
        <v>0</v>
      </c>
    </row>
    <row r="41" spans="1:12" x14ac:dyDescent="0.25">
      <c r="B41" s="639" t="s">
        <v>94</v>
      </c>
      <c r="F41" s="415">
        <f>SUM(F35:F40)</f>
        <v>71412390</v>
      </c>
      <c r="G41" s="415">
        <f>SUM(G35:G40)</f>
        <v>139119</v>
      </c>
      <c r="H41" s="415">
        <f>SUM(H35:H40)</f>
        <v>71551509</v>
      </c>
      <c r="I41" s="393"/>
      <c r="J41" s="393"/>
      <c r="K41" s="393"/>
    </row>
    <row r="42" spans="1:12" x14ac:dyDescent="0.25">
      <c r="B42" s="59" t="s">
        <v>95</v>
      </c>
      <c r="F42" s="393">
        <v>27482</v>
      </c>
      <c r="G42" s="393" t="s">
        <v>96</v>
      </c>
      <c r="H42" s="393">
        <f>SUM(F42:G42)</f>
        <v>27482</v>
      </c>
      <c r="I42" s="393">
        <v>0</v>
      </c>
      <c r="J42" s="393">
        <v>0</v>
      </c>
      <c r="K42" s="393">
        <v>0</v>
      </c>
    </row>
    <row r="43" spans="1:12" x14ac:dyDescent="0.25">
      <c r="B43" s="404" t="s">
        <v>97</v>
      </c>
      <c r="F43" s="421">
        <v>-100000</v>
      </c>
      <c r="G43" s="421">
        <v>100000</v>
      </c>
      <c r="H43" s="421">
        <f>SUM(F43:G43)</f>
        <v>0</v>
      </c>
      <c r="I43" s="421">
        <v>0</v>
      </c>
      <c r="J43" s="421">
        <v>0</v>
      </c>
      <c r="K43" s="421">
        <v>0</v>
      </c>
    </row>
    <row r="44" spans="1:12" x14ac:dyDescent="0.25">
      <c r="A44" s="438"/>
      <c r="B44" s="429" t="s">
        <v>98</v>
      </c>
      <c r="F44" s="415">
        <f>SUM(F35:F40,F42:F43)</f>
        <v>71339872</v>
      </c>
      <c r="G44" s="415">
        <f>SUM(G35:G40,G42:G43)</f>
        <v>239119</v>
      </c>
      <c r="H44" s="415">
        <f>SUM(H35:H40,H42:H43)</f>
        <v>71578991</v>
      </c>
      <c r="I44" s="415">
        <f>SUM(I35:I43)</f>
        <v>636856</v>
      </c>
      <c r="J44" s="415">
        <f>SUM(J35:J43)</f>
        <v>7971</v>
      </c>
      <c r="K44" s="415">
        <f>SUM(K35:K43)</f>
        <v>236436</v>
      </c>
      <c r="L44" s="430"/>
    </row>
    <row r="45" spans="1:12" x14ac:dyDescent="0.25">
      <c r="A45" s="396"/>
      <c r="B45" s="429" t="s">
        <v>99</v>
      </c>
      <c r="F45" s="393">
        <f>+F25+F44</f>
        <v>1512.25</v>
      </c>
      <c r="G45" s="393">
        <f>+G25+G44</f>
        <v>473228.75</v>
      </c>
      <c r="H45" s="393">
        <f>+H25+H44</f>
        <v>474741</v>
      </c>
      <c r="I45" s="393">
        <f>+I31+I44</f>
        <v>4541500</v>
      </c>
      <c r="J45" s="393">
        <f>+J31+J44</f>
        <v>2175</v>
      </c>
      <c r="K45" s="393">
        <f>+K31+K44</f>
        <v>11247</v>
      </c>
      <c r="L45" s="396"/>
    </row>
    <row r="46" spans="1:12" s="819" customFormat="1" hidden="1" x14ac:dyDescent="0.25">
      <c r="A46" s="818"/>
      <c r="B46" s="819" t="s">
        <v>100</v>
      </c>
      <c r="F46" s="820">
        <v>17563060</v>
      </c>
      <c r="G46" s="820">
        <v>6490685</v>
      </c>
      <c r="H46" s="820">
        <f>SUM(F46:G46)+1</f>
        <v>24053746</v>
      </c>
      <c r="I46" s="820">
        <v>34459415</v>
      </c>
      <c r="J46" s="820">
        <v>385935</v>
      </c>
      <c r="K46" s="820"/>
    </row>
    <row r="47" spans="1:12" s="819" customFormat="1" hidden="1" x14ac:dyDescent="0.25">
      <c r="A47" s="821"/>
      <c r="B47" s="819" t="s">
        <v>104</v>
      </c>
      <c r="F47" s="820">
        <f>50585+(0.95*(-1987185+35651))-20538</f>
        <v>-1823910.2999999998</v>
      </c>
      <c r="G47" s="820">
        <v>0</v>
      </c>
      <c r="H47" s="820">
        <f>SUM(F47:G47)</f>
        <v>-1823910.2999999998</v>
      </c>
      <c r="I47" s="820">
        <v>0</v>
      </c>
      <c r="J47" s="820">
        <v>0</v>
      </c>
      <c r="K47" s="820"/>
    </row>
    <row r="48" spans="1:12" x14ac:dyDescent="0.25">
      <c r="A48" s="396"/>
      <c r="B48" s="555" t="s">
        <v>105</v>
      </c>
      <c r="E48" s="396"/>
      <c r="F48" s="618">
        <f>16197686-7-0.95*102330+2076+0.95*875000+3394+F47+4+893676-0.95*(563668-880000)+1+4500-2-101424-332+(101424-200371+15118)-0.95*(1315022)-7662+0.95*(910000)+3800-14102+15500+60723</f>
        <v>15799872.699999999</v>
      </c>
      <c r="G48" s="394">
        <f>G46+G47</f>
        <v>6490685</v>
      </c>
      <c r="H48" s="394">
        <f>SUM(F48:G48)</f>
        <v>22290557.699999999</v>
      </c>
      <c r="I48" s="394">
        <f>31568006-150459+1400000</f>
        <v>32817547</v>
      </c>
      <c r="J48" s="394">
        <f>388405+8500-1632</f>
        <v>395273</v>
      </c>
      <c r="K48" s="394">
        <v>672654</v>
      </c>
    </row>
    <row r="49" spans="1:11" x14ac:dyDescent="0.25">
      <c r="A49" s="396"/>
      <c r="B49" s="104" t="s">
        <v>106</v>
      </c>
      <c r="E49" s="396"/>
      <c r="F49" s="421">
        <v>0</v>
      </c>
      <c r="G49" s="421">
        <v>0</v>
      </c>
      <c r="H49" s="421">
        <f>SUM(F49:G49)</f>
        <v>0</v>
      </c>
      <c r="I49" s="421">
        <v>0</v>
      </c>
      <c r="J49" s="421">
        <v>0</v>
      </c>
      <c r="K49" s="421">
        <v>0</v>
      </c>
    </row>
    <row r="50" spans="1:11" x14ac:dyDescent="0.25">
      <c r="A50" s="396"/>
      <c r="B50" s="555" t="s">
        <v>107</v>
      </c>
      <c r="E50" s="396"/>
      <c r="F50" s="394">
        <f>SUM(F48:F49)</f>
        <v>15799872.699999999</v>
      </c>
      <c r="G50" s="394">
        <f>SUM(G48:G49)</f>
        <v>6490685</v>
      </c>
      <c r="H50" s="394">
        <f>SUM(F50:G50)</f>
        <v>22290557.699999999</v>
      </c>
      <c r="I50" s="394">
        <f>SUM(I48:I49)</f>
        <v>32817547</v>
      </c>
      <c r="J50" s="394">
        <f>SUM(J48:J49)</f>
        <v>395273</v>
      </c>
      <c r="K50" s="394">
        <f>SUM(K48:K49)</f>
        <v>672654</v>
      </c>
    </row>
    <row r="51" spans="1:11" ht="13.8" thickBot="1" x14ac:dyDescent="0.3">
      <c r="B51" s="404" t="s">
        <v>101</v>
      </c>
      <c r="E51" s="430"/>
      <c r="F51" s="392">
        <f t="shared" ref="F51:K51" si="6">F45+F50</f>
        <v>15801384.949999999</v>
      </c>
      <c r="G51" s="392">
        <f t="shared" si="6"/>
        <v>6963913.75</v>
      </c>
      <c r="H51" s="392">
        <f t="shared" si="6"/>
        <v>22765298.699999999</v>
      </c>
      <c r="I51" s="392">
        <f t="shared" si="6"/>
        <v>37359047</v>
      </c>
      <c r="J51" s="392">
        <f t="shared" si="6"/>
        <v>397448</v>
      </c>
      <c r="K51" s="392">
        <f t="shared" si="6"/>
        <v>683901</v>
      </c>
    </row>
    <row r="52" spans="1:11" ht="14.4" thickTop="1" thickBot="1" x14ac:dyDescent="0.3">
      <c r="E52" s="396"/>
    </row>
    <row r="53" spans="1:11" x14ac:dyDescent="0.25">
      <c r="E53" s="417"/>
      <c r="F53" s="865" t="s">
        <v>108</v>
      </c>
      <c r="G53" s="866"/>
      <c r="H53" s="866"/>
      <c r="I53" s="866"/>
      <c r="J53" s="867"/>
    </row>
    <row r="54" spans="1:11" x14ac:dyDescent="0.25">
      <c r="A54" s="404" t="str">
        <f>'GWNetPos 68 Exh 1'!A61</f>
        <v>The notes to the financial statements are an integral part of this statement.</v>
      </c>
      <c r="E54" s="396"/>
      <c r="F54" s="868"/>
      <c r="G54" s="869"/>
      <c r="H54" s="869"/>
      <c r="I54" s="869"/>
      <c r="J54" s="870"/>
    </row>
    <row r="55" spans="1:11" ht="13.8" thickBot="1" x14ac:dyDescent="0.3">
      <c r="D55" s="396"/>
      <c r="F55" s="871"/>
      <c r="G55" s="872"/>
      <c r="H55" s="872"/>
      <c r="I55" s="872"/>
      <c r="J55" s="873"/>
    </row>
    <row r="56" spans="1:11" x14ac:dyDescent="0.25">
      <c r="G56" s="396"/>
    </row>
    <row r="57" spans="1:11" x14ac:dyDescent="0.25">
      <c r="B57" s="430"/>
      <c r="C57" s="430"/>
      <c r="D57" s="430"/>
      <c r="F57" s="396">
        <f>'GWNetPos 68 Exh 1'!B53</f>
        <v>15801384.950000001</v>
      </c>
      <c r="G57" s="396">
        <f>'GWNetPos 68 Exh 1'!C53</f>
        <v>6963914</v>
      </c>
      <c r="H57" s="396">
        <f>'GWNetPos 68 Exh 1'!D53</f>
        <v>22765298.950000003</v>
      </c>
      <c r="I57" s="396">
        <f>'GWNetPos 68 Exh 1'!E53</f>
        <v>37359047</v>
      </c>
      <c r="J57" s="396">
        <f>'GWNetPos 68 Exh 1'!F53</f>
        <v>397448</v>
      </c>
      <c r="K57" s="393">
        <f>'GWNetPos 68 Exh 1'!G53</f>
        <v>683901</v>
      </c>
    </row>
    <row r="58" spans="1:11" x14ac:dyDescent="0.25">
      <c r="B58" s="439"/>
      <c r="E58" s="423"/>
      <c r="F58" s="396"/>
    </row>
    <row r="59" spans="1:11" x14ac:dyDescent="0.25">
      <c r="F59" s="430">
        <f>F51-F57</f>
        <v>0</v>
      </c>
    </row>
  </sheetData>
  <customSheetViews>
    <customSheetView guid="{A8748736-0722-49EB-85B6-C9B52DDCFE0E}" showPageBreaks="1" printArea="1" topLeftCell="A28">
      <selection activeCell="B11" sqref="B11"/>
      <pageMargins left="0.75" right="0.75" top="1" bottom="1" header="0.5" footer="0.5"/>
      <printOptions horizontalCentered="1"/>
      <pageSetup scale="64" firstPageNumber="28" fitToHeight="0" orientation="landscape" useFirstPageNumber="1" r:id="rId1"/>
      <headerFooter alignWithMargins="0"/>
    </customSheetView>
    <customSheetView guid="{E0C60316-4586-4AAF-92CB-FA82BB1EB755}" topLeftCell="A16">
      <selection activeCell="B28" sqref="B28"/>
      <pageMargins left="0" right="0" top="0" bottom="0" header="0" footer="0"/>
      <printOptions horizontalCentered="1"/>
      <pageSetup scale="64" firstPageNumber="28" fitToHeight="0" orientation="landscape" useFirstPageNumber="1" r:id="rId2"/>
      <headerFooter alignWithMargins="0"/>
    </customSheetView>
  </customSheetViews>
  <mergeCells count="7">
    <mergeCell ref="C6:E6"/>
    <mergeCell ref="F7:H7"/>
    <mergeCell ref="F53:J55"/>
    <mergeCell ref="F6:K6"/>
    <mergeCell ref="A2:K2"/>
    <mergeCell ref="A3:K3"/>
    <mergeCell ref="A4:K4"/>
  </mergeCells>
  <printOptions horizontalCentered="1"/>
  <pageMargins left="0.75" right="0.75" top="1" bottom="1" header="0.5" footer="0.5"/>
  <pageSetup scale="64" firstPageNumber="28" fitToHeight="0" orientation="landscape" useFirstPageNumber="1" r:id="rId3"/>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37"/>
  <sheetViews>
    <sheetView workbookViewId="0">
      <selection sqref="A1:I1"/>
    </sheetView>
  </sheetViews>
  <sheetFormatPr defaultColWidth="9.109375" defaultRowHeight="13.2" x14ac:dyDescent="0.25"/>
  <cols>
    <col min="1" max="1" width="3.109375" style="35" customWidth="1"/>
    <col min="2" max="2" width="3.88671875" style="35" customWidth="1"/>
    <col min="3" max="3" width="3" style="35" customWidth="1"/>
    <col min="4" max="4" width="38.44140625" style="35" customWidth="1"/>
    <col min="5" max="5" width="9.5546875" style="35" bestFit="1" customWidth="1"/>
    <col min="6" max="6" width="2.5546875" style="35" customWidth="1"/>
    <col min="7" max="7" width="9.5546875" style="35" bestFit="1" customWidth="1"/>
    <col min="8" max="8" width="2.88671875" style="35" customWidth="1"/>
    <col min="9" max="16384" width="9.109375" style="35"/>
  </cols>
  <sheetData>
    <row r="1" spans="1:13" x14ac:dyDescent="0.25">
      <c r="A1" s="994" t="s">
        <v>1</v>
      </c>
      <c r="B1" s="994"/>
      <c r="C1" s="994"/>
      <c r="D1" s="994"/>
      <c r="E1" s="994"/>
      <c r="F1" s="994"/>
      <c r="G1" s="994"/>
      <c r="H1" s="994"/>
      <c r="I1" s="994"/>
      <c r="J1" s="404"/>
      <c r="K1" s="404"/>
      <c r="L1" s="404"/>
      <c r="M1" s="404"/>
    </row>
    <row r="2" spans="1:13" x14ac:dyDescent="0.25">
      <c r="A2" s="994" t="s">
        <v>652</v>
      </c>
      <c r="B2" s="994"/>
      <c r="C2" s="994"/>
      <c r="D2" s="994"/>
      <c r="E2" s="994"/>
      <c r="F2" s="994"/>
      <c r="G2" s="994"/>
      <c r="H2" s="994"/>
      <c r="I2" s="994"/>
      <c r="J2" s="404"/>
      <c r="K2" s="404"/>
      <c r="L2" s="404"/>
      <c r="M2" s="404"/>
    </row>
    <row r="3" spans="1:13" x14ac:dyDescent="0.25">
      <c r="A3" s="994" t="s">
        <v>683</v>
      </c>
      <c r="B3" s="994"/>
      <c r="C3" s="994"/>
      <c r="D3" s="994"/>
      <c r="E3" s="994"/>
      <c r="F3" s="994"/>
      <c r="G3" s="994"/>
      <c r="H3" s="994"/>
      <c r="I3" s="994"/>
      <c r="J3" s="404"/>
      <c r="K3" s="404"/>
      <c r="L3" s="404"/>
      <c r="M3" s="404"/>
    </row>
    <row r="4" spans="1:13" x14ac:dyDescent="0.25">
      <c r="A4" s="994" t="s">
        <v>491</v>
      </c>
      <c r="B4" s="994"/>
      <c r="C4" s="994"/>
      <c r="D4" s="994"/>
      <c r="E4" s="994"/>
      <c r="F4" s="994"/>
      <c r="G4" s="994"/>
      <c r="H4" s="994"/>
      <c r="I4" s="994"/>
      <c r="J4" s="404"/>
      <c r="K4" s="404"/>
      <c r="L4" s="404"/>
      <c r="M4" s="404"/>
    </row>
    <row r="5" spans="1:13" x14ac:dyDescent="0.25">
      <c r="A5" s="994" t="str">
        <f>GFIS_BA!A5</f>
        <v>For the Year Ended June 30, 2022</v>
      </c>
      <c r="B5" s="994"/>
      <c r="C5" s="994"/>
      <c r="D5" s="994"/>
      <c r="E5" s="994"/>
      <c r="F5" s="994"/>
      <c r="G5" s="994"/>
      <c r="H5" s="994"/>
      <c r="I5" s="994"/>
      <c r="J5" s="404"/>
      <c r="K5" s="404"/>
      <c r="L5" s="404"/>
      <c r="M5" s="404"/>
    </row>
    <row r="6" spans="1:13" x14ac:dyDescent="0.25">
      <c r="A6" s="994"/>
      <c r="B6" s="994"/>
      <c r="C6" s="994"/>
      <c r="D6" s="994"/>
      <c r="E6" s="994"/>
      <c r="F6" s="994"/>
      <c r="G6" s="994"/>
      <c r="H6" s="994"/>
      <c r="I6" s="994"/>
      <c r="J6" s="404"/>
      <c r="K6" s="404"/>
      <c r="L6" s="404"/>
      <c r="M6" s="404"/>
    </row>
    <row r="7" spans="1:13" ht="13.8" thickBot="1" x14ac:dyDescent="0.3">
      <c r="A7" s="164"/>
      <c r="B7" s="164"/>
      <c r="C7" s="164"/>
      <c r="D7" s="164"/>
      <c r="E7" s="164"/>
      <c r="F7" s="94"/>
      <c r="G7" s="94"/>
      <c r="H7" s="94"/>
      <c r="I7" s="94"/>
      <c r="J7" s="404"/>
      <c r="K7" s="404"/>
      <c r="L7" s="404"/>
      <c r="M7" s="404"/>
    </row>
    <row r="8" spans="1:13" x14ac:dyDescent="0.25">
      <c r="A8" s="165"/>
      <c r="B8" s="165"/>
      <c r="C8" s="165"/>
      <c r="D8" s="165"/>
      <c r="E8" s="165"/>
      <c r="F8" s="29"/>
      <c r="G8" s="29"/>
      <c r="H8" s="29"/>
      <c r="I8" s="131" t="s">
        <v>215</v>
      </c>
      <c r="J8" s="404"/>
      <c r="K8" s="404"/>
      <c r="L8" s="404"/>
      <c r="M8" s="404"/>
    </row>
    <row r="9" spans="1:13" x14ac:dyDescent="0.25">
      <c r="A9" s="165"/>
      <c r="B9" s="165"/>
      <c r="C9" s="165"/>
      <c r="D9" s="165"/>
      <c r="E9" s="166" t="s">
        <v>218</v>
      </c>
      <c r="F9" s="29"/>
      <c r="G9" s="29"/>
      <c r="H9" s="29"/>
      <c r="I9" s="131" t="s">
        <v>219</v>
      </c>
      <c r="J9" s="404"/>
      <c r="K9" s="404"/>
      <c r="L9" s="404"/>
      <c r="M9" s="404"/>
    </row>
    <row r="10" spans="1:13" x14ac:dyDescent="0.25">
      <c r="A10" s="165"/>
      <c r="B10" s="167" t="s">
        <v>122</v>
      </c>
      <c r="C10" s="165"/>
      <c r="D10" s="165"/>
      <c r="E10" s="168" t="s">
        <v>220</v>
      </c>
      <c r="F10" s="29"/>
      <c r="G10" s="136" t="s">
        <v>221</v>
      </c>
      <c r="H10" s="29"/>
      <c r="I10" s="136" t="s">
        <v>222</v>
      </c>
      <c r="J10" s="404"/>
      <c r="K10" s="404"/>
      <c r="L10" s="404"/>
      <c r="M10" s="404"/>
    </row>
    <row r="11" spans="1:13" x14ac:dyDescent="0.25">
      <c r="A11" s="167" t="s">
        <v>223</v>
      </c>
      <c r="B11" s="165"/>
      <c r="C11" s="165"/>
      <c r="D11" s="165"/>
      <c r="E11" s="165"/>
      <c r="F11" s="29"/>
      <c r="G11" s="29"/>
      <c r="H11" s="29"/>
      <c r="I11" s="29"/>
      <c r="J11" s="404"/>
      <c r="K11" s="404"/>
      <c r="L11" s="404"/>
      <c r="M11" s="404"/>
    </row>
    <row r="12" spans="1:13" x14ac:dyDescent="0.25">
      <c r="A12" s="165"/>
      <c r="B12" s="167" t="s">
        <v>166</v>
      </c>
      <c r="C12" s="167"/>
      <c r="D12" s="165"/>
      <c r="E12" s="170">
        <v>566000</v>
      </c>
      <c r="F12" s="171"/>
      <c r="G12" s="171">
        <v>566064</v>
      </c>
      <c r="H12" s="171"/>
      <c r="I12" s="171">
        <f>G12-E12</f>
        <v>64</v>
      </c>
      <c r="J12" s="404"/>
      <c r="K12" s="404"/>
      <c r="L12" s="404"/>
      <c r="M12" s="404"/>
    </row>
    <row r="13" spans="1:13" x14ac:dyDescent="0.25">
      <c r="A13" s="165"/>
      <c r="B13" s="167" t="s">
        <v>169</v>
      </c>
      <c r="C13" s="404"/>
      <c r="D13" s="165"/>
      <c r="E13" s="174">
        <v>0</v>
      </c>
      <c r="F13" s="140"/>
      <c r="G13" s="175">
        <v>568</v>
      </c>
      <c r="H13" s="140"/>
      <c r="I13" s="175">
        <f>G13-E13</f>
        <v>568</v>
      </c>
      <c r="J13" s="404"/>
      <c r="K13" s="404"/>
      <c r="L13" s="404"/>
      <c r="M13" s="404"/>
    </row>
    <row r="14" spans="1:13" x14ac:dyDescent="0.25">
      <c r="A14" s="165"/>
      <c r="B14" s="165"/>
      <c r="C14" s="165"/>
      <c r="D14" s="167" t="s">
        <v>171</v>
      </c>
      <c r="E14" s="174">
        <f>SUM(E12:E13)</f>
        <v>566000</v>
      </c>
      <c r="F14" s="140"/>
      <c r="G14" s="174">
        <f>SUM(G12:G13)</f>
        <v>566632</v>
      </c>
      <c r="H14" s="140"/>
      <c r="I14" s="174">
        <f>G14-E14</f>
        <v>632</v>
      </c>
      <c r="J14" s="404"/>
      <c r="K14" s="404"/>
      <c r="L14" s="404"/>
      <c r="M14" s="404"/>
    </row>
    <row r="15" spans="1:13" x14ac:dyDescent="0.25">
      <c r="A15" s="165"/>
      <c r="B15" s="165"/>
      <c r="C15" s="165"/>
      <c r="D15" s="165"/>
      <c r="E15" s="169"/>
      <c r="F15" s="140"/>
      <c r="G15" s="140"/>
      <c r="H15" s="140"/>
      <c r="I15" s="140"/>
      <c r="J15" s="404"/>
      <c r="K15" s="404"/>
      <c r="L15" s="404"/>
      <c r="M15" s="404"/>
    </row>
    <row r="16" spans="1:13" x14ac:dyDescent="0.25">
      <c r="A16" s="167" t="s">
        <v>532</v>
      </c>
      <c r="B16" s="165"/>
      <c r="C16" s="165"/>
      <c r="D16" s="165"/>
      <c r="E16" s="169"/>
      <c r="F16" s="140"/>
      <c r="G16" s="140"/>
      <c r="H16" s="140"/>
      <c r="I16" s="140"/>
      <c r="J16" s="404"/>
      <c r="K16" s="404"/>
      <c r="L16" s="404"/>
      <c r="M16" s="404"/>
    </row>
    <row r="17" spans="1:9" x14ac:dyDescent="0.25">
      <c r="A17" s="165"/>
      <c r="B17" s="167" t="s">
        <v>173</v>
      </c>
      <c r="C17" s="165"/>
      <c r="D17" s="165"/>
      <c r="E17" s="165"/>
      <c r="F17" s="29"/>
      <c r="G17" s="29"/>
      <c r="H17" s="29"/>
      <c r="I17" s="29"/>
    </row>
    <row r="18" spans="1:9" x14ac:dyDescent="0.25">
      <c r="A18" s="165"/>
      <c r="B18" s="167" t="s">
        <v>700</v>
      </c>
      <c r="C18" s="165"/>
      <c r="D18" s="165"/>
      <c r="E18" s="165"/>
      <c r="F18" s="29"/>
      <c r="G18" s="29"/>
      <c r="H18" s="29"/>
      <c r="I18" s="29"/>
    </row>
    <row r="19" spans="1:9" x14ac:dyDescent="0.25">
      <c r="A19" s="165"/>
      <c r="B19" s="165"/>
      <c r="C19" s="167" t="s">
        <v>701</v>
      </c>
      <c r="D19" s="165"/>
      <c r="E19" s="172">
        <v>566000</v>
      </c>
      <c r="F19" s="140"/>
      <c r="G19" s="173">
        <v>532637</v>
      </c>
      <c r="H19" s="140"/>
      <c r="I19" s="219">
        <f>E19-G19</f>
        <v>33363</v>
      </c>
    </row>
    <row r="20" spans="1:9" x14ac:dyDescent="0.25">
      <c r="A20" s="165"/>
      <c r="B20" s="165"/>
      <c r="C20" s="165"/>
      <c r="D20" s="167" t="s">
        <v>183</v>
      </c>
      <c r="E20" s="174">
        <f>SUM(E19:E19)</f>
        <v>566000</v>
      </c>
      <c r="F20" s="140"/>
      <c r="G20" s="174">
        <f>SUM(G19:G19)</f>
        <v>532637</v>
      </c>
      <c r="H20" s="140"/>
      <c r="I20" s="174">
        <f>SUM(I19:I19)</f>
        <v>33363</v>
      </c>
    </row>
    <row r="21" spans="1:9" x14ac:dyDescent="0.25">
      <c r="A21" s="165"/>
      <c r="B21" s="165"/>
      <c r="C21" s="165"/>
      <c r="D21" s="165"/>
      <c r="E21" s="169"/>
      <c r="F21" s="140"/>
      <c r="G21" s="140"/>
      <c r="H21" s="140"/>
      <c r="I21" s="169"/>
    </row>
    <row r="22" spans="1:9" ht="13.8" thickBot="1" x14ac:dyDescent="0.3">
      <c r="A22" s="167" t="s">
        <v>194</v>
      </c>
      <c r="B22" s="165"/>
      <c r="C22" s="165"/>
      <c r="D22" s="165"/>
      <c r="E22" s="178">
        <f>E14-E20</f>
        <v>0</v>
      </c>
      <c r="F22" s="140"/>
      <c r="G22" s="140">
        <f>G14-G20</f>
        <v>33995</v>
      </c>
      <c r="H22" s="140"/>
      <c r="I22" s="179">
        <f>I14-I20</f>
        <v>-32731</v>
      </c>
    </row>
    <row r="23" spans="1:9" ht="13.8" thickTop="1" x14ac:dyDescent="0.25">
      <c r="A23" s="165"/>
      <c r="B23" s="165"/>
      <c r="C23" s="165"/>
      <c r="D23" s="165"/>
      <c r="E23" s="169"/>
      <c r="F23" s="140"/>
      <c r="G23" s="140"/>
      <c r="H23" s="140"/>
      <c r="I23" s="140"/>
    </row>
    <row r="24" spans="1:9" x14ac:dyDescent="0.25">
      <c r="A24" s="167" t="s">
        <v>702</v>
      </c>
      <c r="B24" s="167"/>
      <c r="C24" s="165"/>
      <c r="D24" s="165"/>
      <c r="E24" s="169"/>
      <c r="F24" s="140"/>
      <c r="G24" s="564">
        <v>0</v>
      </c>
      <c r="H24" s="140"/>
      <c r="I24" s="140"/>
    </row>
    <row r="25" spans="1:9" x14ac:dyDescent="0.25">
      <c r="A25" s="167"/>
      <c r="B25" s="167" t="s">
        <v>196</v>
      </c>
      <c r="C25" s="165"/>
      <c r="D25" s="165"/>
      <c r="E25" s="169"/>
      <c r="F25" s="140"/>
      <c r="G25" s="173">
        <v>12351</v>
      </c>
      <c r="H25" s="140"/>
      <c r="I25" s="140"/>
    </row>
    <row r="26" spans="1:9" x14ac:dyDescent="0.25">
      <c r="A26" s="167" t="s">
        <v>703</v>
      </c>
      <c r="B26" s="167"/>
      <c r="C26" s="165"/>
      <c r="D26" s="165"/>
      <c r="E26" s="169"/>
      <c r="F26" s="140"/>
      <c r="G26" s="565">
        <f>SUM(G24:G25)</f>
        <v>12351</v>
      </c>
      <c r="H26" s="140"/>
      <c r="I26" s="140"/>
    </row>
    <row r="27" spans="1:9" ht="13.8" thickBot="1" x14ac:dyDescent="0.3">
      <c r="A27" s="167" t="s">
        <v>634</v>
      </c>
      <c r="B27" s="167"/>
      <c r="C27" s="165"/>
      <c r="D27" s="165"/>
      <c r="E27" s="169"/>
      <c r="F27" s="140"/>
      <c r="G27" s="179">
        <f>G22+G26</f>
        <v>46346</v>
      </c>
      <c r="H27" s="140"/>
      <c r="I27" s="140"/>
    </row>
    <row r="28" spans="1:9" ht="13.8" thickTop="1" x14ac:dyDescent="0.25">
      <c r="A28" s="404"/>
      <c r="B28" s="404"/>
      <c r="C28" s="404"/>
      <c r="D28" s="404"/>
      <c r="E28" s="404"/>
      <c r="F28" s="404"/>
      <c r="G28" s="404"/>
      <c r="H28" s="404"/>
      <c r="I28" s="404"/>
    </row>
    <row r="34" spans="1:9" ht="13.8" thickBot="1" x14ac:dyDescent="0.3">
      <c r="A34" s="404"/>
      <c r="B34" s="404"/>
      <c r="C34" s="404"/>
      <c r="D34" s="404"/>
      <c r="E34" s="404"/>
      <c r="F34" s="404"/>
      <c r="G34" s="404"/>
      <c r="H34" s="404"/>
      <c r="I34" s="404"/>
    </row>
    <row r="35" spans="1:9" ht="13.2" customHeight="1" x14ac:dyDescent="0.25">
      <c r="A35" s="995" t="s">
        <v>704</v>
      </c>
      <c r="B35" s="996"/>
      <c r="C35" s="996"/>
      <c r="D35" s="996"/>
      <c r="E35" s="996"/>
      <c r="F35" s="996"/>
      <c r="G35" s="996"/>
      <c r="H35" s="996"/>
      <c r="I35" s="997"/>
    </row>
    <row r="36" spans="1:9" ht="88.2" customHeight="1" thickBot="1" x14ac:dyDescent="0.3">
      <c r="A36" s="998"/>
      <c r="B36" s="999"/>
      <c r="C36" s="999"/>
      <c r="D36" s="999"/>
      <c r="E36" s="999"/>
      <c r="F36" s="999"/>
      <c r="G36" s="999"/>
      <c r="H36" s="999"/>
      <c r="I36" s="1000"/>
    </row>
    <row r="37" spans="1:9" x14ac:dyDescent="0.25">
      <c r="A37" s="706"/>
      <c r="B37" s="404"/>
      <c r="C37" s="404"/>
      <c r="D37" s="404"/>
      <c r="E37" s="404"/>
      <c r="F37" s="404"/>
      <c r="G37" s="404"/>
      <c r="H37" s="404"/>
      <c r="I37" s="404"/>
    </row>
  </sheetData>
  <customSheetViews>
    <customSheetView guid="{A8748736-0722-49EB-85B6-C9B52DDCFE0E}">
      <selection activeCell="F14" sqref="F14"/>
      <pageMargins left="0.75" right="0.75" top="1" bottom="1" header="0.5" footer="0.5"/>
      <printOptions horizontalCentered="1"/>
      <pageSetup firstPageNumber="112" fitToHeight="0" orientation="portrait" useFirstPageNumber="1" r:id="rId1"/>
      <headerFooter alignWithMargins="0"/>
    </customSheetView>
  </customSheetViews>
  <mergeCells count="7">
    <mergeCell ref="A35:I36"/>
    <mergeCell ref="A1:I1"/>
    <mergeCell ref="A2:I2"/>
    <mergeCell ref="A3:I3"/>
    <mergeCell ref="A4:I4"/>
    <mergeCell ref="A5:I5"/>
    <mergeCell ref="A6:I6"/>
  </mergeCells>
  <printOptions horizontalCentered="1"/>
  <pageMargins left="0.75" right="0.75" top="1" bottom="1" header="0.5" footer="0.5"/>
  <pageSetup firstPageNumber="112" fitToHeight="0" orientation="portrait" useFirstPageNumber="1" r:id="rId2"/>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K35"/>
  <sheetViews>
    <sheetView workbookViewId="0">
      <selection sqref="A1:I1"/>
    </sheetView>
  </sheetViews>
  <sheetFormatPr defaultColWidth="9.109375" defaultRowHeight="13.2" x14ac:dyDescent="0.25"/>
  <cols>
    <col min="1" max="1" width="3.109375" style="35" customWidth="1"/>
    <col min="2" max="2" width="3.88671875" style="35" customWidth="1"/>
    <col min="3" max="3" width="3" style="35" customWidth="1"/>
    <col min="4" max="4" width="23.88671875" style="35" customWidth="1"/>
    <col min="5" max="5" width="9.109375" style="35"/>
    <col min="6" max="6" width="2.5546875" style="35" customWidth="1"/>
    <col min="7" max="7" width="10.6640625" style="35" customWidth="1"/>
    <col min="8" max="8" width="2.88671875" style="35" customWidth="1"/>
    <col min="9" max="16384" width="9.109375" style="35"/>
  </cols>
  <sheetData>
    <row r="1" spans="1:11" x14ac:dyDescent="0.25">
      <c r="A1" s="994" t="s">
        <v>1</v>
      </c>
      <c r="B1" s="994"/>
      <c r="C1" s="994"/>
      <c r="D1" s="994"/>
      <c r="E1" s="994"/>
      <c r="F1" s="994"/>
      <c r="G1" s="994"/>
      <c r="H1" s="994"/>
      <c r="I1" s="994"/>
      <c r="J1" s="404"/>
      <c r="K1" s="404"/>
    </row>
    <row r="2" spans="1:11" x14ac:dyDescent="0.25">
      <c r="A2" s="994" t="s">
        <v>653</v>
      </c>
      <c r="B2" s="994"/>
      <c r="C2" s="994"/>
      <c r="D2" s="994"/>
      <c r="E2" s="994"/>
      <c r="F2" s="994"/>
      <c r="G2" s="994"/>
      <c r="H2" s="994"/>
      <c r="I2" s="994"/>
      <c r="J2" s="404"/>
      <c r="K2" s="404"/>
    </row>
    <row r="3" spans="1:11" x14ac:dyDescent="0.25">
      <c r="A3" s="994" t="s">
        <v>683</v>
      </c>
      <c r="B3" s="994"/>
      <c r="C3" s="994"/>
      <c r="D3" s="994"/>
      <c r="E3" s="994"/>
      <c r="F3" s="994"/>
      <c r="G3" s="994"/>
      <c r="H3" s="994"/>
      <c r="I3" s="994"/>
      <c r="J3" s="404"/>
      <c r="K3" s="404"/>
    </row>
    <row r="4" spans="1:11" x14ac:dyDescent="0.25">
      <c r="A4" s="994" t="s">
        <v>491</v>
      </c>
      <c r="B4" s="994"/>
      <c r="C4" s="994"/>
      <c r="D4" s="994"/>
      <c r="E4" s="994"/>
      <c r="F4" s="994"/>
      <c r="G4" s="994"/>
      <c r="H4" s="994"/>
      <c r="I4" s="994"/>
      <c r="J4" s="404"/>
      <c r="K4" s="404"/>
    </row>
    <row r="5" spans="1:11" x14ac:dyDescent="0.25">
      <c r="A5" s="994" t="str">
        <f>GFIS_BA!A5</f>
        <v>For the Year Ended June 30, 2022</v>
      </c>
      <c r="B5" s="994"/>
      <c r="C5" s="994"/>
      <c r="D5" s="994"/>
      <c r="E5" s="994"/>
      <c r="F5" s="994"/>
      <c r="G5" s="994"/>
      <c r="H5" s="994"/>
      <c r="I5" s="994"/>
      <c r="J5" s="404"/>
      <c r="K5" s="404"/>
    </row>
    <row r="6" spans="1:11" x14ac:dyDescent="0.25">
      <c r="A6" s="994"/>
      <c r="B6" s="994"/>
      <c r="C6" s="994"/>
      <c r="D6" s="994"/>
      <c r="E6" s="994"/>
      <c r="F6" s="994"/>
      <c r="G6" s="994"/>
      <c r="H6" s="994"/>
      <c r="I6" s="994"/>
      <c r="J6" s="404"/>
      <c r="K6" s="404"/>
    </row>
    <row r="7" spans="1:11" ht="13.8" thickBot="1" x14ac:dyDescent="0.3">
      <c r="A7" s="164"/>
      <c r="B7" s="164"/>
      <c r="C7" s="164"/>
      <c r="D7" s="164"/>
      <c r="E7" s="164"/>
      <c r="F7" s="94"/>
      <c r="G7" s="94"/>
      <c r="H7" s="94"/>
      <c r="I7" s="94"/>
      <c r="J7" s="404"/>
      <c r="K7" s="404"/>
    </row>
    <row r="8" spans="1:11" x14ac:dyDescent="0.25">
      <c r="A8" s="165"/>
      <c r="B8" s="165"/>
      <c r="C8" s="165"/>
      <c r="D8" s="165"/>
      <c r="E8" s="165"/>
      <c r="F8" s="29"/>
      <c r="G8" s="29"/>
      <c r="H8" s="29"/>
      <c r="I8" s="131" t="s">
        <v>215</v>
      </c>
      <c r="J8" s="404"/>
      <c r="K8" s="404"/>
    </row>
    <row r="9" spans="1:11" x14ac:dyDescent="0.25">
      <c r="A9" s="165"/>
      <c r="B9" s="165"/>
      <c r="C9" s="165"/>
      <c r="D9" s="165"/>
      <c r="E9" s="166" t="s">
        <v>218</v>
      </c>
      <c r="F9" s="29"/>
      <c r="G9" s="29"/>
      <c r="H9" s="29"/>
      <c r="I9" s="131" t="s">
        <v>219</v>
      </c>
      <c r="J9" s="404"/>
      <c r="K9" s="404"/>
    </row>
    <row r="10" spans="1:11" x14ac:dyDescent="0.25">
      <c r="A10" s="165"/>
      <c r="B10" s="167" t="s">
        <v>122</v>
      </c>
      <c r="C10" s="165"/>
      <c r="D10" s="165"/>
      <c r="E10" s="168" t="s">
        <v>220</v>
      </c>
      <c r="F10" s="29"/>
      <c r="G10" s="136" t="s">
        <v>221</v>
      </c>
      <c r="H10" s="29"/>
      <c r="I10" s="136" t="s">
        <v>222</v>
      </c>
      <c r="J10" s="404"/>
      <c r="K10" s="404"/>
    </row>
    <row r="11" spans="1:11" x14ac:dyDescent="0.25">
      <c r="A11" s="167" t="s">
        <v>223</v>
      </c>
      <c r="B11" s="165"/>
      <c r="C11" s="165"/>
      <c r="D11" s="165"/>
      <c r="E11" s="165"/>
      <c r="F11" s="29"/>
      <c r="G11" s="29"/>
      <c r="H11" s="29"/>
      <c r="I11" s="29"/>
      <c r="J11" s="404"/>
      <c r="K11" s="404"/>
    </row>
    <row r="12" spans="1:11" x14ac:dyDescent="0.25">
      <c r="A12" s="165"/>
      <c r="B12" s="167" t="s">
        <v>167</v>
      </c>
      <c r="C12" s="165"/>
      <c r="D12" s="165"/>
      <c r="E12" s="169"/>
      <c r="F12" s="140"/>
      <c r="G12" s="140"/>
      <c r="H12" s="140"/>
      <c r="I12" s="140"/>
      <c r="J12" s="404"/>
      <c r="K12" s="404"/>
    </row>
    <row r="13" spans="1:11" x14ac:dyDescent="0.25">
      <c r="A13" s="165"/>
      <c r="B13" s="165"/>
      <c r="C13" s="167" t="s">
        <v>519</v>
      </c>
      <c r="D13" s="165"/>
      <c r="E13" s="562">
        <v>12700</v>
      </c>
      <c r="F13" s="171"/>
      <c r="G13" s="563">
        <v>12600</v>
      </c>
      <c r="H13" s="171"/>
      <c r="I13" s="563">
        <f>G13-E13</f>
        <v>-100</v>
      </c>
      <c r="J13" s="404"/>
      <c r="K13" s="404"/>
    </row>
    <row r="14" spans="1:11" x14ac:dyDescent="0.25">
      <c r="A14" s="165"/>
      <c r="B14" s="165"/>
      <c r="C14" s="165"/>
      <c r="D14" s="167" t="s">
        <v>171</v>
      </c>
      <c r="E14" s="566">
        <f>SUM(E13:E13)</f>
        <v>12700</v>
      </c>
      <c r="F14" s="140"/>
      <c r="G14" s="566">
        <f>SUM(G13:G13)</f>
        <v>12600</v>
      </c>
      <c r="H14" s="145"/>
      <c r="I14" s="566">
        <f>SUM(I13:I13)</f>
        <v>-100</v>
      </c>
      <c r="J14" s="404"/>
      <c r="K14" s="404"/>
    </row>
    <row r="15" spans="1:11" x14ac:dyDescent="0.25">
      <c r="A15" s="165"/>
      <c r="B15" s="165"/>
      <c r="C15" s="165"/>
      <c r="D15" s="165"/>
      <c r="E15" s="169"/>
      <c r="F15" s="140"/>
      <c r="G15" s="140"/>
      <c r="H15" s="404"/>
      <c r="I15" s="404"/>
      <c r="J15" s="404"/>
      <c r="K15" s="404"/>
    </row>
    <row r="16" spans="1:11" x14ac:dyDescent="0.25">
      <c r="A16" s="167" t="s">
        <v>532</v>
      </c>
      <c r="B16" s="165"/>
      <c r="C16" s="165"/>
      <c r="D16" s="165"/>
      <c r="E16" s="169"/>
      <c r="F16" s="140"/>
      <c r="G16" s="140"/>
      <c r="H16" s="140"/>
      <c r="I16" s="140"/>
      <c r="J16" s="404"/>
      <c r="K16" s="404"/>
    </row>
    <row r="17" spans="1:11" x14ac:dyDescent="0.25">
      <c r="A17" s="165"/>
      <c r="B17" s="167" t="s">
        <v>173</v>
      </c>
      <c r="C17" s="165"/>
      <c r="D17" s="165"/>
      <c r="E17" s="165"/>
      <c r="F17" s="29"/>
      <c r="G17" s="29"/>
      <c r="H17" s="29"/>
      <c r="I17" s="29"/>
      <c r="J17" s="404"/>
      <c r="K17" s="404"/>
    </row>
    <row r="18" spans="1:11" x14ac:dyDescent="0.25">
      <c r="A18" s="165"/>
      <c r="B18" s="167" t="s">
        <v>705</v>
      </c>
      <c r="C18" s="165"/>
      <c r="D18" s="165"/>
      <c r="E18" s="169"/>
      <c r="F18" s="140"/>
      <c r="G18" s="140"/>
      <c r="H18" s="140"/>
      <c r="I18" s="140"/>
      <c r="J18" s="404"/>
      <c r="K18" s="404"/>
    </row>
    <row r="19" spans="1:11" x14ac:dyDescent="0.25">
      <c r="A19" s="165"/>
      <c r="B19" s="165"/>
      <c r="C19" s="167" t="s">
        <v>706</v>
      </c>
      <c r="D19" s="165"/>
      <c r="E19" s="169"/>
      <c r="F19" s="140"/>
      <c r="G19" s="140"/>
      <c r="H19" s="140"/>
      <c r="I19" s="176"/>
      <c r="J19" s="404"/>
      <c r="K19" s="404"/>
    </row>
    <row r="20" spans="1:11" x14ac:dyDescent="0.25">
      <c r="A20" s="165"/>
      <c r="B20" s="165"/>
      <c r="C20" s="167"/>
      <c r="D20" s="165" t="s">
        <v>707</v>
      </c>
      <c r="E20" s="174">
        <v>12700</v>
      </c>
      <c r="F20" s="140"/>
      <c r="G20" s="175">
        <v>12600</v>
      </c>
      <c r="H20" s="140"/>
      <c r="I20" s="177">
        <f>E20-G20</f>
        <v>100</v>
      </c>
      <c r="J20" s="404"/>
      <c r="K20" s="404"/>
    </row>
    <row r="21" spans="1:11" x14ac:dyDescent="0.25">
      <c r="A21" s="165"/>
      <c r="B21" s="165"/>
      <c r="C21" s="165"/>
      <c r="D21" s="167" t="s">
        <v>183</v>
      </c>
      <c r="E21" s="174">
        <f>SUM(E19:E20)</f>
        <v>12700</v>
      </c>
      <c r="F21" s="140"/>
      <c r="G21" s="174">
        <f>SUM(G19:G20)</f>
        <v>12600</v>
      </c>
      <c r="H21" s="140"/>
      <c r="I21" s="174">
        <f>SUM(I19:I20)</f>
        <v>100</v>
      </c>
      <c r="J21" s="404"/>
      <c r="K21" s="404"/>
    </row>
    <row r="22" spans="1:11" x14ac:dyDescent="0.25">
      <c r="A22" s="165"/>
      <c r="B22" s="165"/>
      <c r="C22" s="165"/>
      <c r="D22" s="165"/>
      <c r="E22" s="169"/>
      <c r="F22" s="140"/>
      <c r="G22" s="140"/>
      <c r="H22" s="140"/>
      <c r="I22" s="169"/>
      <c r="J22" s="404"/>
      <c r="K22" s="404"/>
    </row>
    <row r="23" spans="1:11" ht="13.8" thickBot="1" x14ac:dyDescent="0.3">
      <c r="A23" s="167" t="s">
        <v>194</v>
      </c>
      <c r="B23" s="165"/>
      <c r="C23" s="165"/>
      <c r="D23" s="165"/>
      <c r="E23" s="178">
        <f>E14-E21</f>
        <v>0</v>
      </c>
      <c r="F23" s="140"/>
      <c r="G23" s="567">
        <f>G14-G21</f>
        <v>0</v>
      </c>
      <c r="H23" s="140"/>
      <c r="I23" s="179">
        <f>E23-G23</f>
        <v>0</v>
      </c>
      <c r="J23" s="404"/>
      <c r="K23" s="404"/>
    </row>
    <row r="24" spans="1:11" ht="13.8" thickTop="1" x14ac:dyDescent="0.25">
      <c r="A24" s="165"/>
      <c r="B24" s="165"/>
      <c r="C24" s="165"/>
      <c r="D24" s="165"/>
      <c r="E24" s="169"/>
      <c r="F24" s="140"/>
      <c r="G24" s="140"/>
      <c r="H24" s="140"/>
      <c r="I24" s="140"/>
      <c r="J24" s="404"/>
      <c r="K24" s="404"/>
    </row>
    <row r="25" spans="1:11" x14ac:dyDescent="0.25">
      <c r="A25" s="167" t="s">
        <v>644</v>
      </c>
      <c r="B25" s="167"/>
      <c r="C25" s="165"/>
      <c r="D25" s="165"/>
      <c r="E25" s="169"/>
      <c r="F25" s="140"/>
      <c r="G25" s="568">
        <v>0</v>
      </c>
      <c r="H25" s="140"/>
      <c r="I25" s="140"/>
      <c r="J25" s="404"/>
      <c r="K25" s="404"/>
    </row>
    <row r="26" spans="1:11" ht="13.8" thickBot="1" x14ac:dyDescent="0.3">
      <c r="A26" s="167" t="s">
        <v>634</v>
      </c>
      <c r="B26" s="167"/>
      <c r="C26" s="165"/>
      <c r="D26" s="165"/>
      <c r="E26" s="169"/>
      <c r="F26" s="140"/>
      <c r="G26" s="179">
        <f>G23+G25</f>
        <v>0</v>
      </c>
      <c r="H26" s="140"/>
      <c r="I26" s="140"/>
      <c r="J26" s="404"/>
      <c r="K26" s="404"/>
    </row>
    <row r="27" spans="1:11" ht="13.8" thickTop="1" x14ac:dyDescent="0.25">
      <c r="A27" s="404"/>
      <c r="B27" s="404"/>
      <c r="C27" s="404"/>
      <c r="D27" s="404"/>
      <c r="E27" s="404"/>
      <c r="F27" s="404"/>
      <c r="G27" s="404"/>
      <c r="H27" s="404"/>
      <c r="I27" s="404"/>
      <c r="J27" s="404"/>
      <c r="K27" s="404"/>
    </row>
    <row r="33" spans="1:9" ht="13.8" thickBot="1" x14ac:dyDescent="0.3">
      <c r="A33" s="404"/>
      <c r="B33" s="404"/>
      <c r="C33" s="404"/>
      <c r="D33" s="404"/>
      <c r="E33" s="404"/>
      <c r="F33" s="404"/>
      <c r="G33" s="404"/>
      <c r="H33" s="404"/>
      <c r="I33" s="404"/>
    </row>
    <row r="34" spans="1:9" x14ac:dyDescent="0.25">
      <c r="A34" s="995" t="s">
        <v>708</v>
      </c>
      <c r="B34" s="996"/>
      <c r="C34" s="996"/>
      <c r="D34" s="996"/>
      <c r="E34" s="996"/>
      <c r="F34" s="996"/>
      <c r="G34" s="996"/>
      <c r="H34" s="996"/>
      <c r="I34" s="997"/>
    </row>
    <row r="35" spans="1:9" ht="70.2" customHeight="1" thickBot="1" x14ac:dyDescent="0.3">
      <c r="A35" s="998"/>
      <c r="B35" s="999"/>
      <c r="C35" s="999"/>
      <c r="D35" s="999"/>
      <c r="E35" s="999"/>
      <c r="F35" s="999"/>
      <c r="G35" s="999"/>
      <c r="H35" s="999"/>
      <c r="I35" s="1000"/>
    </row>
  </sheetData>
  <customSheetViews>
    <customSheetView guid="{A8748736-0722-49EB-85B6-C9B52DDCFE0E}">
      <selection activeCell="A34" sqref="A34:I35"/>
      <pageMargins left="0.75" right="0.75" top="1" bottom="1" header="0.5" footer="0.5"/>
      <printOptions horizontalCentered="1"/>
      <pageSetup firstPageNumber="112" fitToHeight="0" orientation="portrait" useFirstPageNumber="1" r:id="rId1"/>
      <headerFooter alignWithMargins="0"/>
    </customSheetView>
  </customSheetViews>
  <mergeCells count="7">
    <mergeCell ref="A34:I35"/>
    <mergeCell ref="A1:I1"/>
    <mergeCell ref="A2:I2"/>
    <mergeCell ref="A3:I3"/>
    <mergeCell ref="A4:I4"/>
    <mergeCell ref="A5:I5"/>
    <mergeCell ref="A6:I6"/>
  </mergeCells>
  <printOptions horizontalCentered="1"/>
  <pageMargins left="0.75" right="0.75" top="1" bottom="1" header="0.5" footer="0.5"/>
  <pageSetup firstPageNumber="112" fitToHeight="0" orientation="portrait" useFirstPageNumber="1" r:id="rId2"/>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32"/>
  <sheetViews>
    <sheetView workbookViewId="0">
      <selection sqref="A1:I1"/>
    </sheetView>
  </sheetViews>
  <sheetFormatPr defaultColWidth="9.109375" defaultRowHeight="13.2" x14ac:dyDescent="0.25"/>
  <cols>
    <col min="1" max="1" width="3.109375" style="35" customWidth="1"/>
    <col min="2" max="2" width="3.88671875" style="35" customWidth="1"/>
    <col min="3" max="3" width="3" style="35" customWidth="1"/>
    <col min="4" max="4" width="37.44140625" style="35" customWidth="1"/>
    <col min="5" max="5" width="9.5546875" style="35" bestFit="1" customWidth="1"/>
    <col min="6" max="6" width="2.5546875" style="35" customWidth="1"/>
    <col min="7" max="7" width="9.5546875" style="35" bestFit="1" customWidth="1"/>
    <col min="8" max="8" width="2.88671875" style="35" customWidth="1"/>
    <col min="9" max="16384" width="9.109375" style="35"/>
  </cols>
  <sheetData>
    <row r="1" spans="1:11" x14ac:dyDescent="0.25">
      <c r="A1" s="994" t="s">
        <v>1</v>
      </c>
      <c r="B1" s="994"/>
      <c r="C1" s="994"/>
      <c r="D1" s="994"/>
      <c r="E1" s="994"/>
      <c r="F1" s="994"/>
      <c r="G1" s="994"/>
      <c r="H1" s="994"/>
      <c r="I1" s="994"/>
      <c r="J1" s="404"/>
      <c r="K1" s="404"/>
    </row>
    <row r="2" spans="1:11" x14ac:dyDescent="0.25">
      <c r="A2" s="994" t="s">
        <v>654</v>
      </c>
      <c r="B2" s="994"/>
      <c r="C2" s="994"/>
      <c r="D2" s="994"/>
      <c r="E2" s="994"/>
      <c r="F2" s="994"/>
      <c r="G2" s="994"/>
      <c r="H2" s="994"/>
      <c r="I2" s="994"/>
      <c r="J2" s="404"/>
      <c r="K2" s="404"/>
    </row>
    <row r="3" spans="1:11" x14ac:dyDescent="0.25">
      <c r="A3" s="994" t="s">
        <v>683</v>
      </c>
      <c r="B3" s="994"/>
      <c r="C3" s="994"/>
      <c r="D3" s="994"/>
      <c r="E3" s="994"/>
      <c r="F3" s="994"/>
      <c r="G3" s="994"/>
      <c r="H3" s="994"/>
      <c r="I3" s="994"/>
      <c r="J3" s="404"/>
      <c r="K3" s="404"/>
    </row>
    <row r="4" spans="1:11" x14ac:dyDescent="0.25">
      <c r="A4" s="994" t="s">
        <v>491</v>
      </c>
      <c r="B4" s="994"/>
      <c r="C4" s="994"/>
      <c r="D4" s="994"/>
      <c r="E4" s="994"/>
      <c r="F4" s="994"/>
      <c r="G4" s="994"/>
      <c r="H4" s="994"/>
      <c r="I4" s="994"/>
      <c r="J4" s="404"/>
      <c r="K4" s="404"/>
    </row>
    <row r="5" spans="1:11" x14ac:dyDescent="0.25">
      <c r="A5" s="994" t="str">
        <f>GFIS_BA!A5</f>
        <v>For the Year Ended June 30, 2022</v>
      </c>
      <c r="B5" s="994"/>
      <c r="C5" s="994"/>
      <c r="D5" s="994"/>
      <c r="E5" s="994"/>
      <c r="F5" s="994"/>
      <c r="G5" s="994"/>
      <c r="H5" s="994"/>
      <c r="I5" s="994"/>
      <c r="J5" s="404"/>
      <c r="K5" s="404"/>
    </row>
    <row r="6" spans="1:11" x14ac:dyDescent="0.25">
      <c r="A6" s="994"/>
      <c r="B6" s="994"/>
      <c r="C6" s="994"/>
      <c r="D6" s="994"/>
      <c r="E6" s="994"/>
      <c r="F6" s="994"/>
      <c r="G6" s="994"/>
      <c r="H6" s="994"/>
      <c r="I6" s="994"/>
      <c r="J6" s="404"/>
      <c r="K6" s="404"/>
    </row>
    <row r="7" spans="1:11" ht="13.8" thickBot="1" x14ac:dyDescent="0.3">
      <c r="A7" s="164"/>
      <c r="B7" s="164"/>
      <c r="C7" s="164"/>
      <c r="D7" s="164"/>
      <c r="E7" s="164"/>
      <c r="F7" s="94"/>
      <c r="G7" s="94"/>
      <c r="H7" s="94"/>
      <c r="I7" s="94"/>
      <c r="J7" s="404"/>
      <c r="K7" s="404"/>
    </row>
    <row r="8" spans="1:11" x14ac:dyDescent="0.25">
      <c r="A8" s="165"/>
      <c r="B8" s="165"/>
      <c r="C8" s="165"/>
      <c r="D8" s="165"/>
      <c r="E8" s="165"/>
      <c r="F8" s="29"/>
      <c r="G8" s="29"/>
      <c r="H8" s="29"/>
      <c r="I8" s="131" t="s">
        <v>215</v>
      </c>
      <c r="J8" s="404"/>
      <c r="K8" s="404"/>
    </row>
    <row r="9" spans="1:11" x14ac:dyDescent="0.25">
      <c r="A9" s="165"/>
      <c r="B9" s="165"/>
      <c r="C9" s="165"/>
      <c r="D9" s="165"/>
      <c r="E9" s="166" t="s">
        <v>218</v>
      </c>
      <c r="F9" s="29"/>
      <c r="G9" s="29"/>
      <c r="H9" s="29"/>
      <c r="I9" s="131" t="s">
        <v>219</v>
      </c>
      <c r="J9" s="404"/>
      <c r="K9" s="404"/>
    </row>
    <row r="10" spans="1:11" x14ac:dyDescent="0.25">
      <c r="A10" s="165"/>
      <c r="B10" s="167" t="s">
        <v>122</v>
      </c>
      <c r="C10" s="165"/>
      <c r="D10" s="165"/>
      <c r="E10" s="168" t="s">
        <v>220</v>
      </c>
      <c r="F10" s="29"/>
      <c r="G10" s="136" t="s">
        <v>221</v>
      </c>
      <c r="H10" s="29"/>
      <c r="I10" s="136" t="s">
        <v>222</v>
      </c>
      <c r="J10" s="404"/>
      <c r="K10" s="404"/>
    </row>
    <row r="11" spans="1:11" x14ac:dyDescent="0.25">
      <c r="A11" s="167" t="s">
        <v>223</v>
      </c>
      <c r="B11" s="165"/>
      <c r="C11" s="165"/>
      <c r="D11" s="165"/>
      <c r="E11" s="165"/>
      <c r="F11" s="29"/>
      <c r="G11" s="29"/>
      <c r="H11" s="29"/>
      <c r="I11" s="29"/>
      <c r="J11" s="404"/>
      <c r="K11" s="404"/>
    </row>
    <row r="12" spans="1:11" x14ac:dyDescent="0.25">
      <c r="A12" s="165"/>
      <c r="B12" s="167" t="s">
        <v>168</v>
      </c>
      <c r="C12" s="165"/>
      <c r="D12" s="165"/>
      <c r="E12" s="169"/>
      <c r="F12" s="140"/>
      <c r="G12" s="140"/>
      <c r="H12" s="140"/>
      <c r="I12" s="140"/>
      <c r="J12" s="404"/>
      <c r="K12" s="404"/>
    </row>
    <row r="13" spans="1:11" x14ac:dyDescent="0.25">
      <c r="A13" s="165"/>
      <c r="B13" s="165"/>
      <c r="C13" s="167" t="s">
        <v>709</v>
      </c>
      <c r="D13" s="165"/>
      <c r="E13" s="170">
        <v>483000</v>
      </c>
      <c r="F13" s="171"/>
      <c r="G13" s="171">
        <v>481900</v>
      </c>
      <c r="H13" s="171"/>
      <c r="I13" s="171">
        <f>G13-E13</f>
        <v>-1100</v>
      </c>
      <c r="J13" s="404"/>
      <c r="K13" s="404"/>
    </row>
    <row r="14" spans="1:11" x14ac:dyDescent="0.25">
      <c r="A14" s="165"/>
      <c r="B14" s="165"/>
      <c r="C14" s="165"/>
      <c r="D14" s="167" t="s">
        <v>171</v>
      </c>
      <c r="E14" s="566">
        <f>SUM(E13:E13)</f>
        <v>483000</v>
      </c>
      <c r="F14" s="140"/>
      <c r="G14" s="566">
        <f>SUM(G13:G13)</f>
        <v>481900</v>
      </c>
      <c r="H14" s="145"/>
      <c r="I14" s="566">
        <f>SUM(I13:I13)</f>
        <v>-1100</v>
      </c>
      <c r="J14" s="404"/>
      <c r="K14" s="404"/>
    </row>
    <row r="15" spans="1:11" x14ac:dyDescent="0.25">
      <c r="A15" s="165"/>
      <c r="B15" s="165"/>
      <c r="C15" s="165"/>
      <c r="D15" s="165"/>
      <c r="E15" s="169"/>
      <c r="F15" s="140"/>
      <c r="G15" s="140"/>
      <c r="H15" s="404"/>
      <c r="I15" s="404"/>
      <c r="J15" s="404"/>
      <c r="K15" s="404"/>
    </row>
    <row r="16" spans="1:11" x14ac:dyDescent="0.25">
      <c r="A16" s="167" t="s">
        <v>532</v>
      </c>
      <c r="B16" s="165"/>
      <c r="C16" s="165"/>
      <c r="D16" s="165"/>
      <c r="E16" s="169"/>
      <c r="F16" s="140"/>
      <c r="G16" s="140"/>
      <c r="H16" s="140"/>
      <c r="I16" s="140"/>
      <c r="J16" s="404"/>
      <c r="K16" s="404"/>
    </row>
    <row r="17" spans="1:11" x14ac:dyDescent="0.25">
      <c r="A17" s="165"/>
      <c r="B17" s="167" t="s">
        <v>173</v>
      </c>
      <c r="C17" s="165"/>
      <c r="D17" s="165"/>
      <c r="E17" s="165"/>
      <c r="F17" s="29"/>
      <c r="G17" s="29"/>
      <c r="H17" s="29"/>
      <c r="I17" s="29"/>
      <c r="J17" s="404"/>
      <c r="K17" s="404"/>
    </row>
    <row r="18" spans="1:11" x14ac:dyDescent="0.25">
      <c r="A18" s="165"/>
      <c r="B18" s="167" t="s">
        <v>705</v>
      </c>
      <c r="C18" s="165"/>
      <c r="D18" s="165"/>
      <c r="E18" s="169"/>
      <c r="F18" s="140"/>
      <c r="G18" s="140"/>
      <c r="H18" s="140"/>
      <c r="I18" s="140"/>
      <c r="J18" s="404"/>
      <c r="K18" s="404"/>
    </row>
    <row r="19" spans="1:11" x14ac:dyDescent="0.25">
      <c r="A19" s="165"/>
      <c r="B19" s="165"/>
      <c r="C19" s="167" t="s">
        <v>710</v>
      </c>
      <c r="D19" s="165"/>
      <c r="E19" s="169"/>
      <c r="F19" s="140"/>
      <c r="G19" s="140"/>
      <c r="H19" s="140"/>
      <c r="I19" s="176"/>
      <c r="J19" s="404"/>
      <c r="K19" s="404"/>
    </row>
    <row r="20" spans="1:11" x14ac:dyDescent="0.25">
      <c r="A20" s="165"/>
      <c r="B20" s="165"/>
      <c r="C20" s="167"/>
      <c r="D20" s="165" t="s">
        <v>711</v>
      </c>
      <c r="E20" s="174">
        <v>483000</v>
      </c>
      <c r="F20" s="140"/>
      <c r="G20" s="175">
        <f>485264-2687</f>
        <v>482577</v>
      </c>
      <c r="H20" s="140"/>
      <c r="I20" s="177">
        <f>E20-G20</f>
        <v>423</v>
      </c>
      <c r="J20" s="404"/>
      <c r="K20" s="404"/>
    </row>
    <row r="21" spans="1:11" x14ac:dyDescent="0.25">
      <c r="A21" s="165"/>
      <c r="B21" s="165"/>
      <c r="C21" s="165"/>
      <c r="D21" s="167" t="s">
        <v>183</v>
      </c>
      <c r="E21" s="174">
        <f>SUM(E19:E20)</f>
        <v>483000</v>
      </c>
      <c r="F21" s="140"/>
      <c r="G21" s="174">
        <f>SUM(G19:G20)</f>
        <v>482577</v>
      </c>
      <c r="H21" s="140"/>
      <c r="I21" s="174">
        <f>SUM(I19:I20)</f>
        <v>423</v>
      </c>
      <c r="J21" s="404"/>
      <c r="K21" s="404"/>
    </row>
    <row r="22" spans="1:11" x14ac:dyDescent="0.25">
      <c r="A22" s="165"/>
      <c r="B22" s="165"/>
      <c r="C22" s="165"/>
      <c r="D22" s="165"/>
      <c r="E22" s="169"/>
      <c r="F22" s="140"/>
      <c r="G22" s="140"/>
      <c r="H22" s="140"/>
      <c r="I22" s="169"/>
      <c r="J22" s="404"/>
      <c r="K22" s="404"/>
    </row>
    <row r="23" spans="1:11" ht="13.8" thickBot="1" x14ac:dyDescent="0.3">
      <c r="A23" s="167" t="s">
        <v>194</v>
      </c>
      <c r="B23" s="165"/>
      <c r="C23" s="165"/>
      <c r="D23" s="165"/>
      <c r="E23" s="178">
        <f>E14-E21</f>
        <v>0</v>
      </c>
      <c r="F23" s="140"/>
      <c r="G23" s="169">
        <f>G14-G21</f>
        <v>-677</v>
      </c>
      <c r="H23" s="140"/>
      <c r="I23" s="179">
        <f>G23-E23</f>
        <v>-677</v>
      </c>
      <c r="J23" s="404"/>
      <c r="K23" s="404"/>
    </row>
    <row r="24" spans="1:11" ht="13.8" thickTop="1" x14ac:dyDescent="0.25">
      <c r="A24" s="165"/>
      <c r="B24" s="165"/>
      <c r="C24" s="165"/>
      <c r="D24" s="165"/>
      <c r="E24" s="169"/>
      <c r="F24" s="140"/>
      <c r="G24" s="140"/>
      <c r="H24" s="140"/>
      <c r="I24" s="140"/>
      <c r="J24" s="404"/>
      <c r="K24" s="404"/>
    </row>
    <row r="25" spans="1:11" x14ac:dyDescent="0.25">
      <c r="A25" s="167" t="s">
        <v>702</v>
      </c>
      <c r="B25" s="167"/>
      <c r="C25" s="165"/>
      <c r="D25" s="165"/>
      <c r="E25" s="169"/>
      <c r="F25" s="140"/>
      <c r="G25" s="564">
        <v>0</v>
      </c>
      <c r="H25" s="140"/>
      <c r="I25" s="140"/>
      <c r="J25" s="404"/>
      <c r="K25" s="404"/>
    </row>
    <row r="26" spans="1:11" x14ac:dyDescent="0.25">
      <c r="A26" s="167"/>
      <c r="B26" s="167" t="s">
        <v>196</v>
      </c>
      <c r="C26" s="165"/>
      <c r="D26" s="165"/>
      <c r="E26" s="169"/>
      <c r="F26" s="140"/>
      <c r="G26" s="173">
        <v>3364</v>
      </c>
      <c r="H26" s="140"/>
      <c r="I26" s="140"/>
      <c r="J26" s="404"/>
      <c r="K26" s="404"/>
    </row>
    <row r="27" spans="1:11" x14ac:dyDescent="0.25">
      <c r="A27" s="167" t="s">
        <v>703</v>
      </c>
      <c r="B27" s="167"/>
      <c r="C27" s="165"/>
      <c r="D27" s="165"/>
      <c r="E27" s="169"/>
      <c r="F27" s="140"/>
      <c r="G27" s="565">
        <f>SUM(G25:G26)</f>
        <v>3364</v>
      </c>
      <c r="H27" s="404"/>
      <c r="I27" s="404"/>
      <c r="J27" s="404"/>
      <c r="K27" s="404"/>
    </row>
    <row r="28" spans="1:11" ht="13.8" thickBot="1" x14ac:dyDescent="0.3">
      <c r="A28" s="167" t="s">
        <v>634</v>
      </c>
      <c r="B28" s="167"/>
      <c r="C28" s="165"/>
      <c r="D28" s="165"/>
      <c r="E28" s="169"/>
      <c r="F28" s="140"/>
      <c r="G28" s="179">
        <f>G23+G27</f>
        <v>2687</v>
      </c>
      <c r="H28" s="404"/>
      <c r="I28" s="404"/>
      <c r="J28" s="404"/>
      <c r="K28" s="404"/>
    </row>
    <row r="29" spans="1:11" ht="13.8" thickTop="1" x14ac:dyDescent="0.25">
      <c r="A29" s="404"/>
      <c r="B29" s="404"/>
      <c r="C29" s="404"/>
      <c r="D29" s="404"/>
      <c r="E29" s="404"/>
      <c r="F29" s="404"/>
      <c r="G29" s="404"/>
      <c r="H29" s="404"/>
      <c r="I29" s="404"/>
      <c r="J29" s="404"/>
      <c r="K29" s="404"/>
    </row>
    <row r="30" spans="1:11" ht="13.8" thickBot="1" x14ac:dyDescent="0.3">
      <c r="A30" s="404"/>
      <c r="B30" s="404"/>
      <c r="C30" s="404"/>
      <c r="D30" s="404"/>
      <c r="E30" s="404"/>
      <c r="F30" s="404"/>
      <c r="G30" s="404"/>
      <c r="H30" s="404"/>
      <c r="I30" s="404"/>
      <c r="J30" s="404"/>
      <c r="K30" s="404"/>
    </row>
    <row r="31" spans="1:11" x14ac:dyDescent="0.25">
      <c r="A31" s="995" t="s">
        <v>712</v>
      </c>
      <c r="B31" s="996"/>
      <c r="C31" s="996"/>
      <c r="D31" s="996"/>
      <c r="E31" s="996"/>
      <c r="F31" s="996"/>
      <c r="G31" s="996"/>
      <c r="H31" s="996"/>
      <c r="I31" s="997"/>
      <c r="J31" s="404"/>
      <c r="K31" s="404"/>
    </row>
    <row r="32" spans="1:11" ht="81.599999999999994" customHeight="1" thickBot="1" x14ac:dyDescent="0.3">
      <c r="A32" s="998"/>
      <c r="B32" s="999"/>
      <c r="C32" s="999"/>
      <c r="D32" s="999"/>
      <c r="E32" s="999"/>
      <c r="F32" s="999"/>
      <c r="G32" s="999"/>
      <c r="H32" s="999"/>
      <c r="I32" s="1000"/>
      <c r="J32" s="404"/>
      <c r="K32" s="404"/>
    </row>
  </sheetData>
  <customSheetViews>
    <customSheetView guid="{A8748736-0722-49EB-85B6-C9B52DDCFE0E}">
      <selection activeCell="A31" sqref="A31:I32"/>
      <pageMargins left="0.75" right="0.75" top="1" bottom="1" header="0.5" footer="0.5"/>
      <printOptions horizontalCentered="1"/>
      <pageSetup firstPageNumber="112" fitToHeight="0" orientation="portrait" useFirstPageNumber="1" r:id="rId1"/>
      <headerFooter alignWithMargins="0"/>
    </customSheetView>
  </customSheetViews>
  <mergeCells count="7">
    <mergeCell ref="A31:I32"/>
    <mergeCell ref="A1:I1"/>
    <mergeCell ref="A2:I2"/>
    <mergeCell ref="A3:I3"/>
    <mergeCell ref="A4:I4"/>
    <mergeCell ref="A5:I5"/>
    <mergeCell ref="A6:I6"/>
  </mergeCells>
  <printOptions horizontalCentered="1"/>
  <pageMargins left="0.75" right="0.75" top="1" bottom="1" header="0.5" footer="0.5"/>
  <pageSetup firstPageNumber="112" fitToHeight="0" orientation="portrait" useFirstPageNumber="1" r:id="rId2"/>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17182-4087-4337-8519-4A0E76E86877}">
  <sheetPr>
    <tabColor rgb="FF92D050"/>
    <pageSetUpPr fitToPage="1"/>
  </sheetPr>
  <dimension ref="A1:P48"/>
  <sheetViews>
    <sheetView workbookViewId="0"/>
  </sheetViews>
  <sheetFormatPr defaultRowHeight="13.2" x14ac:dyDescent="0.25"/>
  <cols>
    <col min="1" max="1" width="2.33203125" style="75" customWidth="1"/>
    <col min="2" max="3" width="2.44140625" style="75" customWidth="1"/>
    <col min="4" max="4" width="1.44140625" style="75" customWidth="1"/>
    <col min="5" max="5" width="26.5546875" style="75" customWidth="1"/>
    <col min="6" max="6" width="13.33203125" style="75" bestFit="1" customWidth="1"/>
    <col min="7" max="7" width="1" style="97" customWidth="1"/>
    <col min="8" max="8" width="11" style="75" customWidth="1"/>
    <col min="9" max="9" width="1" style="97" customWidth="1"/>
    <col min="10" max="10" width="9.88671875" style="75" bestFit="1" customWidth="1"/>
    <col min="11" max="11" width="0.6640625" style="97" customWidth="1"/>
    <col min="12" max="12" width="10.33203125" style="75" bestFit="1" customWidth="1"/>
    <col min="13" max="13" width="0.5546875" style="97" customWidth="1"/>
    <col min="14" max="14" width="13.33203125" style="75" bestFit="1" customWidth="1"/>
  </cols>
  <sheetData>
    <row r="1" spans="1:14" x14ac:dyDescent="0.25">
      <c r="A1" s="98" t="s">
        <v>1</v>
      </c>
      <c r="B1" s="707"/>
      <c r="C1" s="707"/>
      <c r="D1" s="707"/>
      <c r="E1" s="707"/>
      <c r="F1" s="707"/>
      <c r="G1" s="708"/>
      <c r="H1" s="707"/>
      <c r="I1" s="708"/>
      <c r="J1" s="707"/>
      <c r="K1" s="708"/>
      <c r="L1" s="707"/>
      <c r="M1" s="708"/>
      <c r="N1" s="707"/>
    </row>
    <row r="2" spans="1:14" x14ac:dyDescent="0.25">
      <c r="A2" s="98" t="s">
        <v>655</v>
      </c>
      <c r="B2" s="707"/>
      <c r="C2" s="707"/>
      <c r="D2" s="707"/>
      <c r="E2" s="707"/>
      <c r="F2" s="707"/>
      <c r="G2" s="708"/>
      <c r="H2" s="707"/>
      <c r="I2" s="708"/>
      <c r="J2" s="707"/>
      <c r="K2" s="708"/>
      <c r="L2" s="707"/>
      <c r="M2" s="708"/>
      <c r="N2" s="707"/>
    </row>
    <row r="3" spans="1:14" x14ac:dyDescent="0.25">
      <c r="A3" s="98" t="s">
        <v>490</v>
      </c>
      <c r="B3" s="707"/>
      <c r="C3" s="707"/>
      <c r="D3" s="707"/>
      <c r="E3" s="707"/>
      <c r="F3" s="707"/>
      <c r="G3" s="708"/>
      <c r="H3" s="707"/>
      <c r="I3" s="708"/>
      <c r="J3" s="707"/>
      <c r="K3" s="708"/>
      <c r="L3" s="707"/>
      <c r="M3" s="708"/>
      <c r="N3" s="707"/>
    </row>
    <row r="4" spans="1:14" x14ac:dyDescent="0.25">
      <c r="A4" s="98" t="s">
        <v>491</v>
      </c>
      <c r="B4" s="707"/>
      <c r="C4" s="707"/>
      <c r="D4" s="707"/>
      <c r="E4" s="707"/>
      <c r="F4" s="707"/>
      <c r="G4" s="708"/>
      <c r="H4" s="707"/>
      <c r="I4" s="708"/>
      <c r="J4" s="707"/>
      <c r="K4" s="708"/>
      <c r="L4" s="707"/>
      <c r="M4" s="708"/>
      <c r="N4" s="707"/>
    </row>
    <row r="5" spans="1:14" x14ac:dyDescent="0.25">
      <c r="A5" s="99" t="s">
        <v>1109</v>
      </c>
      <c r="B5" s="708"/>
      <c r="C5" s="708"/>
      <c r="D5" s="708"/>
      <c r="E5" s="708"/>
      <c r="F5" s="708"/>
      <c r="G5" s="708"/>
      <c r="H5" s="708"/>
      <c r="I5" s="708"/>
      <c r="J5" s="708"/>
      <c r="K5" s="708"/>
      <c r="L5" s="708"/>
      <c r="M5" s="708"/>
      <c r="N5" s="708"/>
    </row>
    <row r="6" spans="1:14" x14ac:dyDescent="0.25">
      <c r="A6" s="701"/>
      <c r="B6" s="701"/>
      <c r="C6" s="701"/>
      <c r="D6" s="701"/>
      <c r="E6" s="701" t="s">
        <v>122</v>
      </c>
      <c r="F6" s="710"/>
      <c r="G6" s="709"/>
      <c r="H6" s="710"/>
      <c r="I6" s="710"/>
      <c r="J6" s="710"/>
      <c r="K6" s="710"/>
      <c r="L6" s="710"/>
      <c r="M6" s="709"/>
      <c r="N6" s="692"/>
    </row>
    <row r="7" spans="1:14" ht="13.8" thickBot="1" x14ac:dyDescent="0.3">
      <c r="A7" s="711"/>
      <c r="B7" s="711"/>
      <c r="C7" s="711"/>
      <c r="D7" s="711"/>
      <c r="E7" s="711"/>
      <c r="F7" s="713"/>
      <c r="G7" s="709"/>
      <c r="H7" s="713"/>
      <c r="I7" s="710"/>
      <c r="J7" s="713"/>
      <c r="K7" s="710"/>
      <c r="L7" s="713"/>
      <c r="M7" s="709"/>
      <c r="N7" s="712"/>
    </row>
    <row r="8" spans="1:14" x14ac:dyDescent="0.25">
      <c r="A8" s="701"/>
      <c r="B8" s="701"/>
      <c r="C8" s="701"/>
      <c r="D8" s="701"/>
      <c r="E8" s="701"/>
      <c r="F8" s="714"/>
      <c r="G8" s="709"/>
      <c r="H8" s="714"/>
      <c r="I8" s="710"/>
      <c r="J8" s="714" t="s">
        <v>221</v>
      </c>
      <c r="K8" s="710"/>
      <c r="L8" s="714"/>
      <c r="M8" s="709"/>
      <c r="N8" s="692" t="s">
        <v>215</v>
      </c>
    </row>
    <row r="9" spans="1:14" ht="26.4" x14ac:dyDescent="0.25">
      <c r="A9" s="701"/>
      <c r="B9" s="701"/>
      <c r="C9" s="701"/>
      <c r="D9" s="701"/>
      <c r="E9" s="701"/>
      <c r="F9" s="808" t="s">
        <v>729</v>
      </c>
      <c r="G9" s="709"/>
      <c r="H9" s="692" t="s">
        <v>730</v>
      </c>
      <c r="I9" s="709"/>
      <c r="J9" s="692" t="s">
        <v>731</v>
      </c>
      <c r="K9" s="709"/>
      <c r="L9" s="692" t="s">
        <v>732</v>
      </c>
      <c r="M9" s="709"/>
      <c r="N9" s="692" t="s">
        <v>219</v>
      </c>
    </row>
    <row r="10" spans="1:14" x14ac:dyDescent="0.25">
      <c r="A10" s="701"/>
      <c r="B10" s="701"/>
      <c r="C10" s="701"/>
      <c r="D10" s="701"/>
      <c r="E10" s="701"/>
      <c r="F10"/>
      <c r="G10" s="709"/>
      <c r="H10" s="715" t="s">
        <v>733</v>
      </c>
      <c r="I10" s="709"/>
      <c r="J10" s="715" t="s">
        <v>734</v>
      </c>
      <c r="K10" s="709"/>
      <c r="L10" s="715" t="s">
        <v>735</v>
      </c>
      <c r="M10" s="709"/>
      <c r="N10" s="696" t="s">
        <v>222</v>
      </c>
    </row>
    <row r="11" spans="1:14" x14ac:dyDescent="0.25">
      <c r="A11" s="100" t="s">
        <v>684</v>
      </c>
      <c r="B11" s="701"/>
      <c r="C11" s="701"/>
      <c r="D11" s="701"/>
      <c r="E11" s="701"/>
      <c r="F11" s="701"/>
      <c r="G11" s="709"/>
      <c r="H11" s="701"/>
      <c r="I11" s="709"/>
      <c r="J11" s="701"/>
      <c r="K11" s="709"/>
      <c r="L11" s="701"/>
      <c r="M11" s="709"/>
      <c r="N11" s="701"/>
    </row>
    <row r="12" spans="1:14" x14ac:dyDescent="0.25">
      <c r="A12" s="701"/>
      <c r="B12" s="701"/>
      <c r="C12" s="701"/>
      <c r="D12" s="701"/>
      <c r="E12" s="701"/>
      <c r="F12" s="701"/>
      <c r="G12" s="709"/>
      <c r="H12" s="701"/>
      <c r="I12" s="709"/>
      <c r="J12" s="701"/>
      <c r="K12" s="709"/>
      <c r="L12" s="701"/>
      <c r="M12" s="709"/>
      <c r="N12" s="701"/>
    </row>
    <row r="13" spans="1:14" x14ac:dyDescent="0.25">
      <c r="A13" s="701"/>
      <c r="B13" s="701" t="s">
        <v>713</v>
      </c>
      <c r="C13" s="701"/>
      <c r="D13" s="701"/>
      <c r="E13" s="701"/>
      <c r="F13" s="809">
        <v>3200000</v>
      </c>
      <c r="G13" s="709"/>
      <c r="H13" s="809">
        <v>0</v>
      </c>
      <c r="I13" s="717"/>
      <c r="J13" s="809">
        <v>290000</v>
      </c>
      <c r="K13" s="717"/>
      <c r="L13" s="809">
        <f>SUM(H13:J13)</f>
        <v>290000</v>
      </c>
      <c r="M13" s="717"/>
      <c r="N13" s="809">
        <f>L13-F13</f>
        <v>-2910000</v>
      </c>
    </row>
    <row r="14" spans="1:14" x14ac:dyDescent="0.25">
      <c r="A14" s="701"/>
      <c r="B14" s="701"/>
      <c r="C14" s="701"/>
      <c r="D14" s="701" t="s">
        <v>8</v>
      </c>
      <c r="E14" s="701"/>
      <c r="F14" s="721">
        <f t="shared" ref="F14:N14" si="0">SUM(F13:F13)</f>
        <v>3200000</v>
      </c>
      <c r="G14" s="721">
        <f t="shared" si="0"/>
        <v>0</v>
      </c>
      <c r="H14" s="721">
        <f t="shared" si="0"/>
        <v>0</v>
      </c>
      <c r="I14" s="721">
        <f t="shared" si="0"/>
        <v>0</v>
      </c>
      <c r="J14" s="721">
        <f t="shared" si="0"/>
        <v>290000</v>
      </c>
      <c r="K14" s="721">
        <f t="shared" si="0"/>
        <v>0</v>
      </c>
      <c r="L14" s="721">
        <f t="shared" si="0"/>
        <v>290000</v>
      </c>
      <c r="M14" s="721">
        <f t="shared" si="0"/>
        <v>0</v>
      </c>
      <c r="N14" s="719">
        <f t="shared" si="0"/>
        <v>-2910000</v>
      </c>
    </row>
    <row r="15" spans="1:14" x14ac:dyDescent="0.25">
      <c r="A15" s="701"/>
      <c r="B15" s="701"/>
      <c r="C15" s="701"/>
      <c r="D15" s="701"/>
      <c r="E15" s="701"/>
      <c r="F15" s="721"/>
      <c r="G15" s="721"/>
      <c r="H15" s="721"/>
      <c r="I15" s="721"/>
      <c r="J15" s="721"/>
      <c r="K15" s="721"/>
      <c r="L15" s="721"/>
      <c r="M15" s="721"/>
      <c r="N15" s="719"/>
    </row>
    <row r="16" spans="1:14" x14ac:dyDescent="0.25">
      <c r="A16" s="701"/>
      <c r="B16" s="701"/>
      <c r="C16" s="701"/>
      <c r="D16" s="701" t="s">
        <v>171</v>
      </c>
      <c r="E16" s="701"/>
      <c r="F16" s="723">
        <f>+F14</f>
        <v>3200000</v>
      </c>
      <c r="G16" s="723">
        <f t="shared" ref="G16:N16" si="1">+G14</f>
        <v>0</v>
      </c>
      <c r="H16" s="723">
        <f t="shared" si="1"/>
        <v>0</v>
      </c>
      <c r="I16" s="723">
        <f t="shared" si="1"/>
        <v>0</v>
      </c>
      <c r="J16" s="723">
        <f t="shared" si="1"/>
        <v>290000</v>
      </c>
      <c r="K16" s="723">
        <f t="shared" si="1"/>
        <v>0</v>
      </c>
      <c r="L16" s="723">
        <f t="shared" si="1"/>
        <v>290000</v>
      </c>
      <c r="M16" s="723">
        <f t="shared" si="1"/>
        <v>0</v>
      </c>
      <c r="N16" s="723">
        <f t="shared" si="1"/>
        <v>-2910000</v>
      </c>
    </row>
    <row r="17" spans="1:14" x14ac:dyDescent="0.25">
      <c r="A17" s="701"/>
      <c r="B17" s="701"/>
      <c r="C17" s="701"/>
      <c r="D17" s="701"/>
      <c r="E17" s="701"/>
      <c r="F17" s="701"/>
      <c r="G17" s="709"/>
      <c r="H17" s="722"/>
      <c r="I17" s="719"/>
      <c r="J17" s="722"/>
      <c r="K17" s="719"/>
      <c r="L17" s="722"/>
      <c r="M17" s="719"/>
      <c r="N17" s="722"/>
    </row>
    <row r="18" spans="1:14" x14ac:dyDescent="0.25">
      <c r="A18" s="100" t="s">
        <v>224</v>
      </c>
      <c r="B18" s="701"/>
      <c r="C18" s="701"/>
      <c r="D18" s="701"/>
      <c r="E18" s="701"/>
      <c r="F18" s="701"/>
      <c r="G18" s="709"/>
      <c r="H18" s="722"/>
      <c r="I18" s="719"/>
      <c r="J18" s="722"/>
      <c r="K18" s="719"/>
      <c r="L18" s="722"/>
      <c r="M18" s="719"/>
      <c r="N18" s="722"/>
    </row>
    <row r="19" spans="1:14" x14ac:dyDescent="0.25">
      <c r="A19" s="701"/>
      <c r="B19" s="701" t="s">
        <v>1107</v>
      </c>
      <c r="C19" s="701"/>
      <c r="D19" s="701"/>
      <c r="E19" s="701"/>
      <c r="F19" s="701"/>
      <c r="G19" s="709"/>
      <c r="H19" s="722"/>
      <c r="I19" s="719"/>
      <c r="J19" s="722"/>
      <c r="K19" s="719"/>
      <c r="L19" s="722"/>
      <c r="M19" s="719"/>
      <c r="N19" s="722"/>
    </row>
    <row r="20" spans="1:14" x14ac:dyDescent="0.25">
      <c r="A20" s="701"/>
      <c r="B20" s="701"/>
      <c r="C20" s="167" t="s">
        <v>714</v>
      </c>
      <c r="D20" s="165"/>
      <c r="E20" s="167"/>
      <c r="F20" s="701"/>
      <c r="G20" s="709"/>
      <c r="H20" s="722"/>
      <c r="I20" s="719"/>
      <c r="J20" s="722"/>
      <c r="K20" s="719"/>
      <c r="L20" s="722"/>
      <c r="M20" s="719"/>
      <c r="N20" s="722"/>
    </row>
    <row r="21" spans="1:14" x14ac:dyDescent="0.25">
      <c r="A21" s="701"/>
      <c r="B21" s="701"/>
      <c r="D21" s="165" t="s">
        <v>715</v>
      </c>
      <c r="E21" s="167"/>
      <c r="F21" s="722">
        <v>0</v>
      </c>
      <c r="G21" s="709"/>
      <c r="H21" s="722">
        <v>0</v>
      </c>
      <c r="I21" s="719"/>
      <c r="J21" s="722">
        <v>0</v>
      </c>
      <c r="K21" s="719"/>
      <c r="L21" s="722">
        <f>SUM(H21:J21)</f>
        <v>0</v>
      </c>
      <c r="M21" s="719"/>
      <c r="N21" s="722">
        <f>F21-L21</f>
        <v>0</v>
      </c>
    </row>
    <row r="22" spans="1:14" x14ac:dyDescent="0.25">
      <c r="A22" s="701"/>
      <c r="B22" s="701"/>
      <c r="D22" s="165" t="s">
        <v>716</v>
      </c>
      <c r="E22" s="167"/>
      <c r="F22" s="722">
        <v>3200000</v>
      </c>
      <c r="G22" s="709"/>
      <c r="H22" s="722">
        <v>0</v>
      </c>
      <c r="I22" s="719"/>
      <c r="J22" s="722">
        <v>0</v>
      </c>
      <c r="K22" s="719"/>
      <c r="L22" s="722">
        <f>SUM(H22:J22)</f>
        <v>0</v>
      </c>
      <c r="M22" s="719"/>
      <c r="N22" s="722">
        <f>F22-L22</f>
        <v>3200000</v>
      </c>
    </row>
    <row r="23" spans="1:14" x14ac:dyDescent="0.25">
      <c r="A23" s="701"/>
      <c r="B23" s="701"/>
      <c r="D23" s="165" t="s">
        <v>717</v>
      </c>
      <c r="E23" s="167"/>
      <c r="F23" s="722">
        <v>0</v>
      </c>
      <c r="G23" s="709"/>
      <c r="H23" s="722">
        <v>0</v>
      </c>
      <c r="I23" s="719"/>
      <c r="J23" s="722">
        <v>0</v>
      </c>
      <c r="K23" s="719"/>
      <c r="L23" s="722">
        <f>SUM(H23:J23)</f>
        <v>0</v>
      </c>
      <c r="M23" s="719"/>
      <c r="N23" s="722">
        <f t="shared" ref="N23:N32" si="2">F23-L23</f>
        <v>0</v>
      </c>
    </row>
    <row r="24" spans="1:14" x14ac:dyDescent="0.25">
      <c r="A24" s="701"/>
      <c r="B24" s="701"/>
      <c r="D24" s="165" t="s">
        <v>718</v>
      </c>
      <c r="E24" s="167"/>
      <c r="F24" s="722">
        <v>0</v>
      </c>
      <c r="G24" s="709">
        <f t="shared" ref="G24:M24" si="3">G21+G22+G23</f>
        <v>0</v>
      </c>
      <c r="H24" s="722">
        <v>0</v>
      </c>
      <c r="I24" s="719">
        <f t="shared" si="3"/>
        <v>0</v>
      </c>
      <c r="J24" s="722">
        <v>0</v>
      </c>
      <c r="K24" s="719"/>
      <c r="L24" s="722">
        <f>SUM(H24:J24)</f>
        <v>0</v>
      </c>
      <c r="M24" s="719">
        <f t="shared" si="3"/>
        <v>0</v>
      </c>
      <c r="N24" s="722">
        <f t="shared" si="2"/>
        <v>0</v>
      </c>
    </row>
    <row r="25" spans="1:14" x14ac:dyDescent="0.25">
      <c r="A25" s="701"/>
      <c r="B25" s="701"/>
      <c r="D25" s="165" t="s">
        <v>719</v>
      </c>
      <c r="E25" s="167"/>
      <c r="F25" s="722">
        <v>0</v>
      </c>
      <c r="G25" s="709"/>
      <c r="H25" s="722">
        <v>0</v>
      </c>
      <c r="I25" s="719"/>
      <c r="J25" s="722">
        <v>0</v>
      </c>
      <c r="K25" s="719"/>
      <c r="L25" s="722">
        <f t="shared" ref="L25:L30" si="4">SUM(H25:J25)</f>
        <v>0</v>
      </c>
      <c r="M25" s="719"/>
      <c r="N25" s="722">
        <f t="shared" si="2"/>
        <v>0</v>
      </c>
    </row>
    <row r="26" spans="1:14" x14ac:dyDescent="0.25">
      <c r="A26" s="701"/>
      <c r="B26" s="701"/>
      <c r="D26" s="165" t="s">
        <v>720</v>
      </c>
      <c r="E26" s="167"/>
      <c r="F26" s="722">
        <v>0</v>
      </c>
      <c r="G26" s="709"/>
      <c r="H26" s="722">
        <v>0</v>
      </c>
      <c r="I26" s="719"/>
      <c r="J26" s="722">
        <v>0</v>
      </c>
      <c r="K26" s="719"/>
      <c r="L26" s="722">
        <f t="shared" si="4"/>
        <v>0</v>
      </c>
      <c r="M26" s="719"/>
      <c r="N26" s="722">
        <f t="shared" si="2"/>
        <v>0</v>
      </c>
    </row>
    <row r="27" spans="1:14" x14ac:dyDescent="0.25">
      <c r="A27" s="701"/>
      <c r="B27" s="701"/>
      <c r="D27" s="165" t="s">
        <v>721</v>
      </c>
      <c r="E27" s="167"/>
      <c r="F27" s="722">
        <v>0</v>
      </c>
      <c r="G27" s="709"/>
      <c r="H27" s="722">
        <v>0</v>
      </c>
      <c r="I27" s="719"/>
      <c r="J27" s="722">
        <v>0</v>
      </c>
      <c r="K27" s="719"/>
      <c r="L27" s="722">
        <f t="shared" si="4"/>
        <v>0</v>
      </c>
      <c r="M27" s="719"/>
      <c r="N27" s="722">
        <f t="shared" si="2"/>
        <v>0</v>
      </c>
    </row>
    <row r="28" spans="1:14" x14ac:dyDescent="0.25">
      <c r="A28" s="701"/>
      <c r="B28" s="701"/>
      <c r="D28" s="165" t="s">
        <v>722</v>
      </c>
      <c r="E28" s="167"/>
      <c r="F28" s="722">
        <v>0</v>
      </c>
      <c r="G28" s="709"/>
      <c r="H28" s="722">
        <v>0</v>
      </c>
      <c r="I28" s="719"/>
      <c r="J28" s="722">
        <v>0</v>
      </c>
      <c r="K28" s="719"/>
      <c r="L28" s="722">
        <f t="shared" si="4"/>
        <v>0</v>
      </c>
      <c r="M28" s="719"/>
      <c r="N28" s="722">
        <f t="shared" si="2"/>
        <v>0</v>
      </c>
    </row>
    <row r="29" spans="1:14" x14ac:dyDescent="0.25">
      <c r="A29" s="701"/>
      <c r="B29" s="701"/>
      <c r="D29" s="165" t="s">
        <v>723</v>
      </c>
      <c r="E29" s="167"/>
      <c r="F29" s="722">
        <v>0</v>
      </c>
      <c r="G29" s="709">
        <f t="shared" ref="G29:M29" si="5">G27+G28</f>
        <v>0</v>
      </c>
      <c r="H29" s="722">
        <v>0</v>
      </c>
      <c r="I29" s="719">
        <f t="shared" si="5"/>
        <v>0</v>
      </c>
      <c r="J29" s="722">
        <v>0</v>
      </c>
      <c r="K29" s="719"/>
      <c r="L29" s="722">
        <f t="shared" si="4"/>
        <v>0</v>
      </c>
      <c r="M29" s="719">
        <f t="shared" si="5"/>
        <v>0</v>
      </c>
      <c r="N29" s="722">
        <f t="shared" si="2"/>
        <v>0</v>
      </c>
    </row>
    <row r="30" spans="1:14" x14ac:dyDescent="0.25">
      <c r="A30" s="701"/>
      <c r="B30" s="701"/>
      <c r="D30" s="165" t="s">
        <v>724</v>
      </c>
      <c r="E30" s="167"/>
      <c r="F30" s="722">
        <v>0</v>
      </c>
      <c r="G30" s="709"/>
      <c r="H30" s="722">
        <v>0</v>
      </c>
      <c r="I30" s="719"/>
      <c r="J30" s="722">
        <v>0</v>
      </c>
      <c r="K30" s="719"/>
      <c r="L30" s="722">
        <f t="shared" si="4"/>
        <v>0</v>
      </c>
      <c r="M30" s="719"/>
      <c r="N30" s="722">
        <f t="shared" si="2"/>
        <v>0</v>
      </c>
    </row>
    <row r="31" spans="1:14" x14ac:dyDescent="0.25">
      <c r="A31" s="701"/>
      <c r="B31" s="701"/>
      <c r="D31" s="165" t="s">
        <v>725</v>
      </c>
      <c r="E31" s="701"/>
      <c r="F31" s="722">
        <v>0</v>
      </c>
      <c r="G31" s="709"/>
      <c r="H31" s="722">
        <v>0</v>
      </c>
      <c r="I31" s="719"/>
      <c r="J31" s="722">
        <v>0</v>
      </c>
      <c r="K31" s="719"/>
      <c r="L31" s="722">
        <f t="shared" ref="L31" si="6">SUM(H31:J31)</f>
        <v>0</v>
      </c>
      <c r="M31" s="719"/>
      <c r="N31" s="722">
        <f t="shared" si="2"/>
        <v>0</v>
      </c>
    </row>
    <row r="32" spans="1:14" x14ac:dyDescent="0.25">
      <c r="A32" s="701"/>
      <c r="B32" s="701"/>
      <c r="C32" s="167"/>
      <c r="D32" s="165" t="s">
        <v>726</v>
      </c>
      <c r="E32" s="701"/>
      <c r="F32" s="718">
        <v>0</v>
      </c>
      <c r="G32" s="709"/>
      <c r="H32" s="718">
        <v>0</v>
      </c>
      <c r="I32" s="719"/>
      <c r="J32" s="718">
        <v>0</v>
      </c>
      <c r="K32" s="719"/>
      <c r="L32" s="718">
        <f>H32+J32</f>
        <v>0</v>
      </c>
      <c r="M32" s="719"/>
      <c r="N32" s="722">
        <f t="shared" si="2"/>
        <v>0</v>
      </c>
    </row>
    <row r="33" spans="1:16" x14ac:dyDescent="0.25">
      <c r="A33" s="701"/>
      <c r="B33" s="701"/>
      <c r="C33" s="701"/>
      <c r="D33" s="701"/>
      <c r="E33" s="701" t="s">
        <v>8</v>
      </c>
      <c r="F33" s="723">
        <f>SUM(F21:F32)</f>
        <v>3200000</v>
      </c>
      <c r="G33" s="721" t="e">
        <f>G24+G29+#REF!</f>
        <v>#REF!</v>
      </c>
      <c r="H33" s="723">
        <f>SUM(H21:H32)</f>
        <v>0</v>
      </c>
      <c r="I33" s="721" t="e">
        <f>I24+I29+#REF!</f>
        <v>#REF!</v>
      </c>
      <c r="J33" s="723">
        <f>SUM(J21:J32)</f>
        <v>0</v>
      </c>
      <c r="K33" s="721" t="e">
        <f>K24+K29+#REF!</f>
        <v>#REF!</v>
      </c>
      <c r="L33" s="723">
        <f>SUM(L21:L32)</f>
        <v>0</v>
      </c>
      <c r="M33" s="721" t="e">
        <f>M24+M29+#REF!</f>
        <v>#REF!</v>
      </c>
      <c r="N33" s="841">
        <f>SUM(N21:N32)</f>
        <v>3200000</v>
      </c>
    </row>
    <row r="34" spans="1:16" x14ac:dyDescent="0.25">
      <c r="A34" s="701"/>
      <c r="B34" s="701"/>
      <c r="C34" s="701"/>
      <c r="D34" s="701"/>
      <c r="E34" s="701"/>
      <c r="F34" s="701"/>
      <c r="G34" s="701"/>
      <c r="H34" s="701"/>
      <c r="I34" s="701"/>
      <c r="J34" s="701"/>
      <c r="K34" s="701"/>
      <c r="L34" s="701"/>
      <c r="M34" s="701"/>
      <c r="N34" s="701"/>
    </row>
    <row r="35" spans="1:16" x14ac:dyDescent="0.25">
      <c r="A35" s="701" t="s">
        <v>747</v>
      </c>
      <c r="B35" s="701"/>
      <c r="C35" s="701"/>
      <c r="D35" s="701"/>
      <c r="E35" s="701"/>
    </row>
    <row r="36" spans="1:16" x14ac:dyDescent="0.25">
      <c r="A36" s="701" t="s">
        <v>752</v>
      </c>
      <c r="B36" s="701"/>
      <c r="C36" s="701"/>
      <c r="D36" s="701"/>
      <c r="E36" s="701"/>
      <c r="F36" s="701"/>
      <c r="G36" s="709"/>
      <c r="H36" s="722"/>
      <c r="I36" s="709"/>
      <c r="J36" s="722"/>
      <c r="K36" s="709"/>
      <c r="L36" s="722"/>
      <c r="M36" s="709"/>
      <c r="N36" s="722"/>
    </row>
    <row r="37" spans="1:16" ht="13.8" thickBot="1" x14ac:dyDescent="0.3">
      <c r="A37" s="701" t="s">
        <v>753</v>
      </c>
      <c r="B37" s="701"/>
      <c r="C37" s="701"/>
      <c r="D37" s="701"/>
      <c r="E37" s="701"/>
      <c r="F37" s="725">
        <f>+F16-F33</f>
        <v>0</v>
      </c>
      <c r="G37" s="717" t="e">
        <f>G34+#REF!</f>
        <v>#REF!</v>
      </c>
      <c r="H37" s="725">
        <f>+H16-H33</f>
        <v>0</v>
      </c>
      <c r="I37" s="717"/>
      <c r="J37" s="717">
        <f>+J16-J33</f>
        <v>290000</v>
      </c>
      <c r="K37" s="717"/>
      <c r="L37" s="725">
        <f>+L16-L33</f>
        <v>290000</v>
      </c>
      <c r="M37" s="717"/>
      <c r="N37" s="725">
        <f>+N33+N16</f>
        <v>290000</v>
      </c>
    </row>
    <row r="38" spans="1:16" ht="13.8" thickTop="1" x14ac:dyDescent="0.25">
      <c r="A38" s="701"/>
      <c r="B38" s="701"/>
      <c r="C38" s="701"/>
      <c r="D38" s="701"/>
      <c r="E38" s="701"/>
      <c r="F38" s="702"/>
      <c r="G38" s="709"/>
      <c r="H38" s="701"/>
      <c r="I38" s="709"/>
      <c r="J38" s="701"/>
      <c r="K38" s="709"/>
      <c r="L38" s="701"/>
      <c r="M38" s="709"/>
      <c r="N38" s="701"/>
    </row>
    <row r="39" spans="1:16" x14ac:dyDescent="0.25">
      <c r="A39" s="726" t="s">
        <v>644</v>
      </c>
      <c r="B39" s="701"/>
      <c r="C39" s="701"/>
      <c r="D39" s="701"/>
      <c r="E39" s="701"/>
      <c r="F39" s="701"/>
      <c r="G39" s="709"/>
      <c r="H39" s="701"/>
      <c r="I39" s="709"/>
      <c r="J39" s="718">
        <v>0</v>
      </c>
      <c r="K39" s="709"/>
      <c r="L39" s="701"/>
      <c r="M39" s="709"/>
      <c r="N39" s="701"/>
    </row>
    <row r="40" spans="1:16" ht="13.8" thickBot="1" x14ac:dyDescent="0.3">
      <c r="A40" s="726" t="s">
        <v>634</v>
      </c>
      <c r="B40" s="701"/>
      <c r="C40" s="701"/>
      <c r="D40" s="701"/>
      <c r="E40" s="701"/>
      <c r="F40" s="701"/>
      <c r="G40" s="709"/>
      <c r="H40" s="701"/>
      <c r="I40" s="709"/>
      <c r="J40" s="725">
        <f>J39+J37</f>
        <v>290000</v>
      </c>
      <c r="K40" s="709"/>
      <c r="L40" s="701"/>
      <c r="M40" s="709"/>
      <c r="N40" s="701"/>
    </row>
    <row r="41" spans="1:16" ht="13.8" thickTop="1" x14ac:dyDescent="0.25">
      <c r="A41" s="701"/>
      <c r="B41" s="701"/>
      <c r="C41" s="701"/>
      <c r="D41" s="701"/>
      <c r="E41" s="701"/>
      <c r="F41" s="701"/>
      <c r="G41" s="709"/>
      <c r="H41" s="701"/>
      <c r="I41" s="709"/>
      <c r="J41" s="701"/>
      <c r="K41" s="709"/>
      <c r="L41" s="701"/>
      <c r="M41" s="709"/>
      <c r="N41" s="701"/>
    </row>
    <row r="43" spans="1:16" ht="13.8" thickBot="1" x14ac:dyDescent="0.3"/>
    <row r="44" spans="1:16" x14ac:dyDescent="0.25">
      <c r="E44" s="1001" t="s">
        <v>1114</v>
      </c>
      <c r="F44" s="1002"/>
      <c r="G44" s="1002"/>
      <c r="H44" s="1002"/>
      <c r="I44" s="1002"/>
      <c r="J44" s="1002"/>
      <c r="K44" s="1002"/>
      <c r="L44" s="1002"/>
      <c r="M44" s="1002"/>
      <c r="N44" s="1002"/>
      <c r="O44" s="1002"/>
      <c r="P44" s="1003"/>
    </row>
    <row r="45" spans="1:16" x14ac:dyDescent="0.25">
      <c r="E45" s="1004"/>
      <c r="F45" s="1005"/>
      <c r="G45" s="1005"/>
      <c r="H45" s="1005"/>
      <c r="I45" s="1005"/>
      <c r="J45" s="1005"/>
      <c r="K45" s="1005"/>
      <c r="L45" s="1005"/>
      <c r="M45" s="1005"/>
      <c r="N45" s="1005"/>
      <c r="O45" s="1005"/>
      <c r="P45" s="1006"/>
    </row>
    <row r="46" spans="1:16" x14ac:dyDescent="0.25">
      <c r="E46" s="1004"/>
      <c r="F46" s="1005"/>
      <c r="G46" s="1005"/>
      <c r="H46" s="1005"/>
      <c r="I46" s="1005"/>
      <c r="J46" s="1005"/>
      <c r="K46" s="1005"/>
      <c r="L46" s="1005"/>
      <c r="M46" s="1005"/>
      <c r="N46" s="1005"/>
      <c r="O46" s="1005"/>
      <c r="P46" s="1006"/>
    </row>
    <row r="47" spans="1:16" x14ac:dyDescent="0.25">
      <c r="E47" s="1004"/>
      <c r="F47" s="1005"/>
      <c r="G47" s="1005"/>
      <c r="H47" s="1005"/>
      <c r="I47" s="1005"/>
      <c r="J47" s="1005"/>
      <c r="K47" s="1005"/>
      <c r="L47" s="1005"/>
      <c r="M47" s="1005"/>
      <c r="N47" s="1005"/>
      <c r="O47" s="1005"/>
      <c r="P47" s="1006"/>
    </row>
    <row r="48" spans="1:16" ht="13.8" thickBot="1" x14ac:dyDescent="0.3">
      <c r="E48" s="1007"/>
      <c r="F48" s="1008"/>
      <c r="G48" s="1008"/>
      <c r="H48" s="1008"/>
      <c r="I48" s="1008"/>
      <c r="J48" s="1008"/>
      <c r="K48" s="1008"/>
      <c r="L48" s="1008"/>
      <c r="M48" s="1008"/>
      <c r="N48" s="1008"/>
      <c r="O48" s="1008"/>
      <c r="P48" s="1009"/>
    </row>
  </sheetData>
  <customSheetViews>
    <customSheetView guid="{A8748736-0722-49EB-85B6-C9B52DDCFE0E}">
      <selection activeCell="A6" sqref="A6"/>
      <pageMargins left="0.7" right="0.7" top="0.75" bottom="0.75" header="0.3" footer="0.3"/>
    </customSheetView>
  </customSheetViews>
  <mergeCells count="1">
    <mergeCell ref="E44:P48"/>
  </mergeCells>
  <pageMargins left="0.7" right="0.7" top="0.75" bottom="0.75" header="0.3" footer="0.3"/>
  <pageSetup scale="79" orientation="portrait" r:id="rId1"/>
  <headerFooter>
    <oddFooter>&amp;L Revised September 30, 2022&amp;C150</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36C3E-4BA4-4E34-9539-C3356929A465}">
  <sheetPr>
    <tabColor rgb="FF92D050"/>
    <pageSetUpPr fitToPage="1"/>
  </sheetPr>
  <dimension ref="A1:N34"/>
  <sheetViews>
    <sheetView workbookViewId="0"/>
  </sheetViews>
  <sheetFormatPr defaultRowHeight="13.2" x14ac:dyDescent="0.25"/>
  <cols>
    <col min="1" max="1" width="2.33203125" style="75" customWidth="1"/>
    <col min="2" max="3" width="2.44140625" style="75" customWidth="1"/>
    <col min="4" max="4" width="1.44140625" style="75" customWidth="1"/>
    <col min="5" max="5" width="35.33203125" style="75" bestFit="1" customWidth="1"/>
    <col min="6" max="6" width="12" style="75" customWidth="1"/>
    <col min="7" max="7" width="1" style="97" customWidth="1"/>
    <col min="8" max="8" width="11" style="75" customWidth="1"/>
    <col min="9" max="9" width="1" style="97" customWidth="1"/>
    <col min="10" max="10" width="11.33203125" style="75" bestFit="1" customWidth="1"/>
    <col min="11" max="11" width="0.6640625" style="97" customWidth="1"/>
    <col min="12" max="12" width="11.33203125" style="75" bestFit="1" customWidth="1"/>
    <col min="13" max="13" width="0.5546875" style="97" customWidth="1"/>
    <col min="14" max="14" width="12.33203125" style="75" customWidth="1"/>
  </cols>
  <sheetData>
    <row r="1" spans="1:14" x14ac:dyDescent="0.25">
      <c r="A1" s="98" t="s">
        <v>1</v>
      </c>
      <c r="B1" s="707"/>
      <c r="C1" s="707"/>
      <c r="D1" s="707"/>
      <c r="E1" s="707"/>
      <c r="F1" s="707"/>
      <c r="G1" s="708"/>
      <c r="H1" s="707"/>
      <c r="I1" s="708"/>
      <c r="J1" s="707"/>
      <c r="K1" s="708"/>
      <c r="L1" s="707"/>
      <c r="M1" s="708"/>
      <c r="N1" s="707"/>
    </row>
    <row r="2" spans="1:14" x14ac:dyDescent="0.25">
      <c r="A2" s="98" t="s">
        <v>1148</v>
      </c>
      <c r="B2" s="849"/>
      <c r="C2" s="849"/>
      <c r="D2" s="849"/>
      <c r="E2" s="849"/>
      <c r="F2" s="849"/>
      <c r="G2" s="850"/>
      <c r="H2" s="849"/>
      <c r="I2" s="850"/>
      <c r="J2" s="849"/>
      <c r="K2" s="850"/>
      <c r="L2" s="849"/>
      <c r="M2" s="850"/>
      <c r="N2" s="849"/>
    </row>
    <row r="3" spans="1:14" x14ac:dyDescent="0.25">
      <c r="A3" s="98" t="s">
        <v>490</v>
      </c>
      <c r="B3" s="707"/>
      <c r="C3" s="707"/>
      <c r="D3" s="707"/>
      <c r="E3" s="707"/>
      <c r="F3" s="707"/>
      <c r="G3" s="708"/>
      <c r="H3" s="707"/>
      <c r="I3" s="708"/>
      <c r="J3" s="707"/>
      <c r="K3" s="708"/>
      <c r="L3" s="707"/>
      <c r="M3" s="708"/>
      <c r="N3" s="707"/>
    </row>
    <row r="4" spans="1:14" x14ac:dyDescent="0.25">
      <c r="A4" s="98" t="s">
        <v>491</v>
      </c>
      <c r="B4" s="707"/>
      <c r="C4" s="707"/>
      <c r="D4" s="707"/>
      <c r="E4" s="707"/>
      <c r="F4" s="707"/>
      <c r="G4" s="708"/>
      <c r="H4" s="707"/>
      <c r="I4" s="708"/>
      <c r="J4" s="707"/>
      <c r="K4" s="708"/>
      <c r="L4" s="707"/>
      <c r="M4" s="708"/>
      <c r="N4" s="707"/>
    </row>
    <row r="5" spans="1:14" x14ac:dyDescent="0.25">
      <c r="A5" s="99" t="s">
        <v>1109</v>
      </c>
      <c r="B5" s="708"/>
      <c r="C5" s="708"/>
      <c r="D5" s="708"/>
      <c r="E5" s="708"/>
      <c r="F5" s="708"/>
      <c r="G5" s="708"/>
      <c r="H5" s="708"/>
      <c r="I5" s="708"/>
      <c r="J5" s="708"/>
      <c r="K5" s="708"/>
      <c r="L5" s="708"/>
      <c r="M5" s="708"/>
      <c r="N5" s="708"/>
    </row>
    <row r="6" spans="1:14" x14ac:dyDescent="0.25">
      <c r="A6" s="701"/>
      <c r="B6" s="701"/>
      <c r="C6" s="701"/>
      <c r="D6" s="701"/>
      <c r="E6" s="701" t="s">
        <v>122</v>
      </c>
      <c r="F6" s="710"/>
      <c r="G6" s="709"/>
      <c r="H6" s="710"/>
      <c r="I6" s="710"/>
      <c r="J6" s="710"/>
      <c r="K6" s="710"/>
      <c r="L6" s="710"/>
      <c r="M6" s="709"/>
      <c r="N6" s="692"/>
    </row>
    <row r="7" spans="1:14" ht="13.8" thickBot="1" x14ac:dyDescent="0.3">
      <c r="A7" s="711"/>
      <c r="B7" s="711"/>
      <c r="C7" s="711"/>
      <c r="D7" s="711"/>
      <c r="E7" s="711"/>
      <c r="F7" s="713"/>
      <c r="G7" s="709"/>
      <c r="H7" s="713"/>
      <c r="I7" s="710"/>
      <c r="J7" s="713"/>
      <c r="K7" s="710"/>
      <c r="L7" s="713"/>
      <c r="M7" s="709"/>
      <c r="N7" s="712"/>
    </row>
    <row r="8" spans="1:14" x14ac:dyDescent="0.25">
      <c r="A8" s="701"/>
      <c r="B8" s="701"/>
      <c r="C8" s="701"/>
      <c r="D8" s="701"/>
      <c r="E8" s="701"/>
      <c r="F8" s="714"/>
      <c r="G8" s="709"/>
      <c r="H8" s="714"/>
      <c r="I8" s="710"/>
      <c r="J8" s="714" t="s">
        <v>221</v>
      </c>
      <c r="K8" s="710"/>
      <c r="L8" s="714"/>
      <c r="M8" s="709"/>
      <c r="N8" s="692" t="s">
        <v>215</v>
      </c>
    </row>
    <row r="9" spans="1:14" x14ac:dyDescent="0.25">
      <c r="A9" s="701"/>
      <c r="B9" s="701"/>
      <c r="C9" s="701"/>
      <c r="D9" s="701"/>
      <c r="E9" s="701"/>
      <c r="F9" s="808" t="s">
        <v>754</v>
      </c>
      <c r="G9" s="709"/>
      <c r="H9" s="692" t="s">
        <v>730</v>
      </c>
      <c r="I9" s="709"/>
      <c r="J9" s="692" t="s">
        <v>731</v>
      </c>
      <c r="K9" s="709"/>
      <c r="L9" s="692" t="s">
        <v>732</v>
      </c>
      <c r="M9" s="709"/>
      <c r="N9" s="692" t="s">
        <v>219</v>
      </c>
    </row>
    <row r="10" spans="1:14" x14ac:dyDescent="0.25">
      <c r="A10" s="701"/>
      <c r="B10" s="701"/>
      <c r="C10" s="701"/>
      <c r="D10" s="701"/>
      <c r="E10" s="701"/>
      <c r="F10" t="s">
        <v>1108</v>
      </c>
      <c r="G10" s="709"/>
      <c r="H10" s="715" t="s">
        <v>733</v>
      </c>
      <c r="I10" s="709"/>
      <c r="J10" s="715" t="s">
        <v>734</v>
      </c>
      <c r="K10" s="709"/>
      <c r="L10" s="715" t="s">
        <v>735</v>
      </c>
      <c r="M10" s="709"/>
      <c r="N10" s="696" t="s">
        <v>222</v>
      </c>
    </row>
    <row r="11" spans="1:14" x14ac:dyDescent="0.25">
      <c r="A11" s="100" t="s">
        <v>684</v>
      </c>
      <c r="B11" s="701"/>
      <c r="C11" s="701"/>
      <c r="D11" s="701"/>
      <c r="E11" s="701"/>
      <c r="F11" s="701"/>
      <c r="G11" s="709"/>
      <c r="H11" s="701"/>
      <c r="I11" s="709"/>
      <c r="J11" s="701"/>
      <c r="K11" s="709"/>
      <c r="L11" s="701"/>
      <c r="M11" s="709"/>
      <c r="N11" s="701"/>
    </row>
    <row r="12" spans="1:14" x14ac:dyDescent="0.25">
      <c r="A12" s="701"/>
      <c r="B12" s="701"/>
      <c r="C12" s="701"/>
      <c r="D12" s="701"/>
      <c r="E12" s="701"/>
      <c r="F12" s="701"/>
      <c r="G12" s="709"/>
      <c r="H12" s="701"/>
      <c r="I12" s="709"/>
      <c r="J12" s="701"/>
      <c r="K12" s="709"/>
      <c r="L12" s="701"/>
      <c r="M12" s="709"/>
      <c r="N12" s="701"/>
    </row>
    <row r="13" spans="1:14" x14ac:dyDescent="0.25">
      <c r="A13" s="701"/>
      <c r="B13" s="701" t="s">
        <v>1116</v>
      </c>
      <c r="C13" s="701"/>
      <c r="D13" s="701"/>
      <c r="E13" s="701"/>
      <c r="F13" s="809">
        <v>2100000</v>
      </c>
      <c r="G13" s="709"/>
      <c r="H13" s="809">
        <v>0</v>
      </c>
      <c r="I13" s="717"/>
      <c r="J13" s="809">
        <v>440000</v>
      </c>
      <c r="K13" s="717"/>
      <c r="L13" s="809">
        <f>SUM(H13:J13)</f>
        <v>440000</v>
      </c>
      <c r="M13" s="717"/>
      <c r="N13" s="809">
        <f>L13-F13</f>
        <v>-1660000</v>
      </c>
    </row>
    <row r="14" spans="1:14" x14ac:dyDescent="0.25">
      <c r="A14" s="701"/>
      <c r="B14" s="701"/>
      <c r="C14" s="701"/>
      <c r="D14" s="701" t="s">
        <v>8</v>
      </c>
      <c r="E14" s="701"/>
      <c r="F14" s="721">
        <f t="shared" ref="F14:N14" si="0">SUM(F13:F13)</f>
        <v>2100000</v>
      </c>
      <c r="G14" s="721">
        <f t="shared" si="0"/>
        <v>0</v>
      </c>
      <c r="H14" s="721">
        <f t="shared" si="0"/>
        <v>0</v>
      </c>
      <c r="I14" s="721">
        <f t="shared" si="0"/>
        <v>0</v>
      </c>
      <c r="J14" s="721">
        <f t="shared" si="0"/>
        <v>440000</v>
      </c>
      <c r="K14" s="721">
        <f t="shared" si="0"/>
        <v>0</v>
      </c>
      <c r="L14" s="721">
        <f t="shared" si="0"/>
        <v>440000</v>
      </c>
      <c r="M14" s="721">
        <f t="shared" si="0"/>
        <v>0</v>
      </c>
      <c r="N14" s="721">
        <f t="shared" si="0"/>
        <v>-1660000</v>
      </c>
    </row>
    <row r="15" spans="1:14" x14ac:dyDescent="0.25">
      <c r="A15" s="701"/>
      <c r="B15" s="701"/>
      <c r="C15" s="701"/>
      <c r="D15" s="701"/>
      <c r="E15" s="701"/>
      <c r="F15" s="721"/>
      <c r="G15" s="721"/>
      <c r="H15" s="721"/>
      <c r="I15" s="721"/>
      <c r="J15" s="721"/>
      <c r="K15" s="721"/>
      <c r="L15" s="721"/>
      <c r="M15" s="721"/>
      <c r="N15" s="721"/>
    </row>
    <row r="16" spans="1:14" x14ac:dyDescent="0.25">
      <c r="A16" s="701"/>
      <c r="B16" s="701"/>
      <c r="C16" s="701"/>
      <c r="D16" s="701" t="s">
        <v>171</v>
      </c>
      <c r="E16" s="701"/>
      <c r="F16" s="723">
        <f>+F14</f>
        <v>2100000</v>
      </c>
      <c r="G16" s="723">
        <f t="shared" ref="G16:N16" si="1">+G14</f>
        <v>0</v>
      </c>
      <c r="H16" s="723">
        <f t="shared" si="1"/>
        <v>0</v>
      </c>
      <c r="I16" s="723">
        <f t="shared" si="1"/>
        <v>0</v>
      </c>
      <c r="J16" s="723">
        <f t="shared" si="1"/>
        <v>440000</v>
      </c>
      <c r="K16" s="723">
        <f t="shared" si="1"/>
        <v>0</v>
      </c>
      <c r="L16" s="723">
        <f t="shared" si="1"/>
        <v>440000</v>
      </c>
      <c r="M16" s="723">
        <f t="shared" si="1"/>
        <v>0</v>
      </c>
      <c r="N16" s="723">
        <f t="shared" si="1"/>
        <v>-1660000</v>
      </c>
    </row>
    <row r="17" spans="1:14" x14ac:dyDescent="0.25">
      <c r="A17" s="701"/>
      <c r="B17" s="701"/>
      <c r="C17" s="701"/>
      <c r="D17" s="701"/>
      <c r="E17" s="701"/>
      <c r="F17" s="701"/>
      <c r="G17" s="709"/>
      <c r="H17" s="722"/>
      <c r="I17" s="719"/>
      <c r="J17" s="722"/>
      <c r="K17" s="719"/>
      <c r="L17" s="722"/>
      <c r="M17" s="719"/>
      <c r="N17" s="722"/>
    </row>
    <row r="18" spans="1:14" x14ac:dyDescent="0.25">
      <c r="A18" s="100" t="s">
        <v>224</v>
      </c>
      <c r="B18" s="701"/>
      <c r="C18" s="701"/>
      <c r="D18" s="701"/>
      <c r="E18" s="701"/>
      <c r="F18" s="701"/>
      <c r="G18" s="709"/>
      <c r="H18" s="722"/>
      <c r="I18" s="719"/>
      <c r="J18" s="722"/>
      <c r="K18" s="719"/>
      <c r="L18" s="722"/>
      <c r="M18" s="719"/>
      <c r="N18" s="722"/>
    </row>
    <row r="19" spans="1:14" x14ac:dyDescent="0.25">
      <c r="A19" s="701"/>
      <c r="B19" s="701" t="s">
        <v>1107</v>
      </c>
      <c r="C19" s="701"/>
      <c r="D19" s="701"/>
      <c r="E19" s="701"/>
      <c r="F19" s="701"/>
      <c r="G19" s="709"/>
      <c r="H19" s="701"/>
      <c r="I19" s="719"/>
      <c r="J19" s="701"/>
      <c r="K19" s="719"/>
      <c r="L19" s="701"/>
      <c r="M19" s="719"/>
      <c r="N19" s="701"/>
    </row>
    <row r="20" spans="1:14" x14ac:dyDescent="0.25">
      <c r="A20" s="701"/>
      <c r="B20" s="701"/>
      <c r="D20" s="165"/>
      <c r="E20" s="165" t="s">
        <v>1144</v>
      </c>
      <c r="F20" s="722">
        <v>1660000</v>
      </c>
      <c r="G20" s="709"/>
      <c r="H20" s="722">
        <v>0</v>
      </c>
      <c r="I20" s="719"/>
      <c r="J20" s="722">
        <v>0</v>
      </c>
      <c r="K20" s="719"/>
      <c r="L20" s="722">
        <f>SUM(H20:J20)</f>
        <v>0</v>
      </c>
      <c r="M20" s="719"/>
      <c r="N20" s="722">
        <f>F20-L20</f>
        <v>1660000</v>
      </c>
    </row>
    <row r="21" spans="1:14" x14ac:dyDescent="0.25">
      <c r="A21" s="701"/>
      <c r="B21" s="701"/>
      <c r="D21" s="165"/>
      <c r="E21" s="701" t="s">
        <v>8</v>
      </c>
      <c r="F21" s="724">
        <f>SUM(F20)</f>
        <v>1660000</v>
      </c>
      <c r="G21" s="709"/>
      <c r="H21" s="724">
        <f>SUM(H20)</f>
        <v>0</v>
      </c>
      <c r="I21" s="719"/>
      <c r="J21" s="724">
        <f>SUM(J20)</f>
        <v>0</v>
      </c>
      <c r="K21" s="719"/>
      <c r="L21" s="724">
        <f>SUM(L20)</f>
        <v>0</v>
      </c>
      <c r="M21" s="719"/>
      <c r="N21" s="724">
        <f>SUM(N20)</f>
        <v>1660000</v>
      </c>
    </row>
    <row r="22" spans="1:14" x14ac:dyDescent="0.25">
      <c r="A22" s="701"/>
      <c r="B22" s="701"/>
      <c r="D22" s="165"/>
      <c r="E22" s="165"/>
      <c r="F22" s="722"/>
      <c r="G22" s="709"/>
      <c r="H22" s="722"/>
      <c r="I22" s="719"/>
      <c r="J22" s="722"/>
      <c r="K22" s="719"/>
      <c r="L22" s="722"/>
      <c r="M22" s="719"/>
      <c r="N22" s="722"/>
    </row>
    <row r="23" spans="1:14" ht="12.6" customHeight="1" x14ac:dyDescent="0.25">
      <c r="A23" s="701"/>
      <c r="B23" s="701" t="s">
        <v>1145</v>
      </c>
      <c r="D23" s="165"/>
      <c r="E23" s="165"/>
      <c r="F23" s="719"/>
      <c r="G23" s="709"/>
      <c r="H23" s="719"/>
      <c r="I23" s="719"/>
      <c r="J23" s="719"/>
      <c r="K23" s="719"/>
      <c r="L23" s="719"/>
      <c r="M23" s="719"/>
      <c r="N23" s="719"/>
    </row>
    <row r="24" spans="1:14" ht="12.6" customHeight="1" x14ac:dyDescent="0.25">
      <c r="A24" s="701"/>
      <c r="B24" s="701"/>
      <c r="D24" s="165"/>
      <c r="E24" s="165" t="s">
        <v>727</v>
      </c>
      <c r="F24" s="722">
        <v>440000</v>
      </c>
      <c r="G24" s="709"/>
      <c r="H24" s="722">
        <v>0</v>
      </c>
      <c r="I24" s="719"/>
      <c r="J24" s="722">
        <v>440000</v>
      </c>
      <c r="K24" s="719"/>
      <c r="L24" s="722">
        <f>SUM(H24:J24)</f>
        <v>440000</v>
      </c>
      <c r="M24" s="719"/>
      <c r="N24" s="722">
        <f>F24-L24</f>
        <v>0</v>
      </c>
    </row>
    <row r="25" spans="1:14" ht="12.6" customHeight="1" x14ac:dyDescent="0.25">
      <c r="A25" s="701"/>
      <c r="B25" s="701"/>
      <c r="D25" s="165"/>
      <c r="E25" s="165" t="s">
        <v>1103</v>
      </c>
      <c r="F25" s="722">
        <v>0</v>
      </c>
      <c r="G25" s="709"/>
      <c r="H25" s="722">
        <v>0</v>
      </c>
      <c r="I25" s="719"/>
      <c r="J25" s="722">
        <v>0</v>
      </c>
      <c r="K25" s="719"/>
      <c r="L25" s="722">
        <f t="shared" ref="L25:L27" si="2">SUM(H25:J25)</f>
        <v>0</v>
      </c>
      <c r="M25" s="719"/>
      <c r="N25" s="722">
        <f t="shared" ref="N25:N27" si="3">F25-L25</f>
        <v>0</v>
      </c>
    </row>
    <row r="26" spans="1:14" ht="12.6" customHeight="1" x14ac:dyDescent="0.25">
      <c r="A26" s="701"/>
      <c r="B26" s="701"/>
      <c r="D26" s="165"/>
      <c r="E26" s="165" t="s">
        <v>1146</v>
      </c>
      <c r="F26" s="722">
        <v>0</v>
      </c>
      <c r="G26" s="709"/>
      <c r="H26" s="722">
        <v>0</v>
      </c>
      <c r="I26" s="719"/>
      <c r="J26" s="722">
        <v>0</v>
      </c>
      <c r="K26" s="719"/>
      <c r="L26" s="722">
        <f t="shared" si="2"/>
        <v>0</v>
      </c>
      <c r="M26" s="719"/>
      <c r="N26" s="722">
        <f t="shared" si="3"/>
        <v>0</v>
      </c>
    </row>
    <row r="27" spans="1:14" ht="12.6" customHeight="1" x14ac:dyDescent="0.25">
      <c r="A27" s="701"/>
      <c r="B27" s="701"/>
      <c r="D27" s="165"/>
      <c r="E27" s="165" t="s">
        <v>1147</v>
      </c>
      <c r="F27" s="722">
        <v>0</v>
      </c>
      <c r="G27" s="709"/>
      <c r="H27" s="722">
        <v>0</v>
      </c>
      <c r="I27" s="719"/>
      <c r="J27" s="722">
        <v>0</v>
      </c>
      <c r="K27" s="719"/>
      <c r="L27" s="722">
        <f t="shared" si="2"/>
        <v>0</v>
      </c>
      <c r="M27" s="719"/>
      <c r="N27" s="722">
        <f t="shared" si="3"/>
        <v>0</v>
      </c>
    </row>
    <row r="28" spans="1:14" ht="22.2" customHeight="1" x14ac:dyDescent="0.25">
      <c r="A28" s="701"/>
      <c r="B28" s="701"/>
      <c r="D28" s="165"/>
      <c r="E28" s="165" t="s">
        <v>230</v>
      </c>
      <c r="F28" s="724">
        <f>SUM(F24:F27)</f>
        <v>440000</v>
      </c>
      <c r="G28" s="709"/>
      <c r="H28" s="724">
        <f>SUM(H24:H27)</f>
        <v>0</v>
      </c>
      <c r="I28" s="719"/>
      <c r="J28" s="724">
        <f>SUM(J24:J27)</f>
        <v>440000</v>
      </c>
      <c r="K28" s="719"/>
      <c r="L28" s="724">
        <f>SUM(L24:L27)</f>
        <v>440000</v>
      </c>
      <c r="M28" s="719"/>
      <c r="N28" s="724">
        <f>SUM(N24:N27)</f>
        <v>0</v>
      </c>
    </row>
    <row r="29" spans="1:14" x14ac:dyDescent="0.25">
      <c r="A29" s="701" t="s">
        <v>752</v>
      </c>
      <c r="B29" s="701"/>
      <c r="C29" s="701"/>
      <c r="D29" s="701"/>
      <c r="E29" s="701"/>
      <c r="F29" s="701"/>
      <c r="G29" s="709"/>
      <c r="H29" s="701"/>
      <c r="I29" s="709"/>
      <c r="J29" s="701"/>
      <c r="K29" s="709"/>
      <c r="L29" s="701"/>
      <c r="M29" s="709"/>
      <c r="N29" s="701"/>
    </row>
    <row r="30" spans="1:14" ht="13.8" thickBot="1" x14ac:dyDescent="0.3">
      <c r="A30" s="701" t="s">
        <v>753</v>
      </c>
      <c r="B30" s="701"/>
      <c r="C30" s="701"/>
      <c r="D30" s="701"/>
      <c r="E30" s="701"/>
      <c r="F30" s="725">
        <f>+F16-F21-F28</f>
        <v>0</v>
      </c>
      <c r="G30" s="717" t="e">
        <f>#REF!+#REF!</f>
        <v>#REF!</v>
      </c>
      <c r="H30" s="725">
        <f>+H16-H21-H28</f>
        <v>0</v>
      </c>
      <c r="I30" s="717"/>
      <c r="J30" s="725">
        <f>+J16-J21-J28</f>
        <v>0</v>
      </c>
      <c r="K30" s="717"/>
      <c r="L30" s="725">
        <f>+L16-L21-L28</f>
        <v>0</v>
      </c>
      <c r="M30" s="717"/>
      <c r="N30" s="725">
        <f>+N16+N21+N28</f>
        <v>0</v>
      </c>
    </row>
    <row r="31" spans="1:14" ht="13.8" thickTop="1" x14ac:dyDescent="0.25">
      <c r="A31" s="701"/>
      <c r="B31" s="701"/>
      <c r="C31" s="701"/>
      <c r="D31" s="701"/>
      <c r="E31" s="701"/>
      <c r="F31" s="702"/>
      <c r="G31" s="709"/>
      <c r="H31" s="701"/>
      <c r="I31" s="709"/>
      <c r="J31" s="701"/>
      <c r="K31" s="709"/>
      <c r="L31" s="701"/>
      <c r="M31" s="709"/>
      <c r="N31" s="701"/>
    </row>
    <row r="32" spans="1:14" x14ac:dyDescent="0.25">
      <c r="A32" s="726" t="s">
        <v>644</v>
      </c>
      <c r="B32" s="701"/>
      <c r="C32" s="701"/>
      <c r="D32" s="701"/>
      <c r="E32" s="701"/>
      <c r="F32" s="701"/>
      <c r="G32" s="709"/>
      <c r="H32" s="701"/>
      <c r="I32" s="709"/>
      <c r="J32" s="718">
        <v>0</v>
      </c>
      <c r="K32" s="709"/>
      <c r="L32" s="701"/>
      <c r="M32" s="709"/>
      <c r="N32" s="701"/>
    </row>
    <row r="33" spans="1:14" ht="13.8" thickBot="1" x14ac:dyDescent="0.3">
      <c r="A33" s="726" t="s">
        <v>634</v>
      </c>
      <c r="B33" s="701"/>
      <c r="C33" s="701"/>
      <c r="D33" s="701"/>
      <c r="E33" s="701"/>
      <c r="F33" s="701"/>
      <c r="G33" s="709"/>
      <c r="H33" s="701"/>
      <c r="I33" s="709"/>
      <c r="J33" s="725">
        <f>J32+J30</f>
        <v>0</v>
      </c>
      <c r="K33" s="709"/>
      <c r="L33" s="701"/>
      <c r="M33" s="709"/>
      <c r="N33" s="701"/>
    </row>
    <row r="34" spans="1:14" ht="13.8" thickTop="1" x14ac:dyDescent="0.25">
      <c r="A34" s="701"/>
      <c r="B34" s="701"/>
      <c r="C34" s="701"/>
      <c r="D34" s="701"/>
      <c r="E34" s="701"/>
      <c r="F34" s="701"/>
      <c r="G34" s="709"/>
      <c r="H34" s="701"/>
      <c r="I34" s="709"/>
      <c r="J34" s="701"/>
      <c r="K34" s="709"/>
      <c r="L34" s="701"/>
      <c r="M34" s="709"/>
      <c r="N34" s="701"/>
    </row>
  </sheetData>
  <customSheetViews>
    <customSheetView guid="{A8748736-0722-49EB-85B6-C9B52DDCFE0E}">
      <selection activeCell="A6" sqref="A6"/>
      <pageMargins left="0.7" right="0.7" top="0.75" bottom="0.75" header="0.3" footer="0.3"/>
    </customSheetView>
  </customSheetViews>
  <phoneticPr fontId="43" type="noConversion"/>
  <pageMargins left="0.7" right="0.7" top="0.75" bottom="0.75" header="0.3" footer="0.3"/>
  <pageSetup scale="88"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S64"/>
  <sheetViews>
    <sheetView workbookViewId="0"/>
  </sheetViews>
  <sheetFormatPr defaultColWidth="9.109375" defaultRowHeight="13.2" x14ac:dyDescent="0.25"/>
  <cols>
    <col min="1" max="1" width="2.33203125" style="75" customWidth="1"/>
    <col min="2" max="3" width="2.44140625" style="75" customWidth="1"/>
    <col min="4" max="4" width="1.44140625" style="75" customWidth="1"/>
    <col min="5" max="5" width="26.5546875" style="75" customWidth="1"/>
    <col min="6" max="6" width="12" style="75" customWidth="1"/>
    <col min="7" max="7" width="1" style="97" customWidth="1"/>
    <col min="8" max="8" width="11" style="75" customWidth="1"/>
    <col min="9" max="9" width="1" style="97" customWidth="1"/>
    <col min="10" max="10" width="9.5546875" style="75" bestFit="1" customWidth="1"/>
    <col min="11" max="11" width="0.6640625" style="97" customWidth="1"/>
    <col min="12" max="12" width="10.33203125" style="75" bestFit="1" customWidth="1"/>
    <col min="13" max="13" width="0.5546875" style="97" customWidth="1"/>
    <col min="14" max="14" width="12.33203125" style="75" customWidth="1"/>
    <col min="15" max="15" width="9.5546875" style="75" bestFit="1" customWidth="1"/>
    <col min="16" max="16384" width="9.109375" style="75"/>
  </cols>
  <sheetData>
    <row r="1" spans="1:14" x14ac:dyDescent="0.25">
      <c r="A1" s="98" t="s">
        <v>1</v>
      </c>
      <c r="B1" s="707"/>
      <c r="C1" s="707"/>
      <c r="D1" s="707"/>
      <c r="E1" s="707"/>
      <c r="F1" s="707"/>
      <c r="G1" s="708"/>
      <c r="H1" s="707"/>
      <c r="I1" s="708"/>
      <c r="J1" s="707"/>
      <c r="K1" s="708"/>
      <c r="L1" s="707"/>
      <c r="M1" s="708"/>
      <c r="N1" s="707"/>
    </row>
    <row r="2" spans="1:14" x14ac:dyDescent="0.25">
      <c r="A2" s="98" t="s">
        <v>728</v>
      </c>
      <c r="B2" s="707"/>
      <c r="C2" s="707"/>
      <c r="D2" s="707"/>
      <c r="E2" s="707"/>
      <c r="F2" s="707"/>
      <c r="G2" s="708"/>
      <c r="H2" s="707"/>
      <c r="I2" s="708"/>
      <c r="J2" s="707"/>
      <c r="K2" s="708"/>
      <c r="L2" s="707"/>
      <c r="M2" s="708"/>
      <c r="N2" s="707"/>
    </row>
    <row r="3" spans="1:14" x14ac:dyDescent="0.25">
      <c r="A3" s="98" t="s">
        <v>490</v>
      </c>
      <c r="B3" s="707"/>
      <c r="C3" s="707"/>
      <c r="D3" s="707"/>
      <c r="E3" s="707"/>
      <c r="F3" s="707"/>
      <c r="G3" s="708"/>
      <c r="H3" s="707"/>
      <c r="I3" s="708"/>
      <c r="J3" s="707"/>
      <c r="K3" s="708"/>
      <c r="L3" s="707"/>
      <c r="M3" s="708"/>
      <c r="N3" s="707"/>
    </row>
    <row r="4" spans="1:14" ht="13.5" customHeight="1" x14ac:dyDescent="0.25">
      <c r="A4" s="1010" t="s">
        <v>491</v>
      </c>
      <c r="B4" s="1010"/>
      <c r="C4" s="1010"/>
      <c r="D4" s="1010"/>
      <c r="E4" s="1010"/>
      <c r="F4" s="1010"/>
      <c r="G4" s="1010"/>
      <c r="H4" s="1010"/>
      <c r="I4" s="1010"/>
      <c r="J4" s="1010"/>
      <c r="K4" s="1010"/>
      <c r="L4" s="1010"/>
      <c r="M4" s="1010"/>
      <c r="N4" s="1010"/>
    </row>
    <row r="5" spans="1:14" x14ac:dyDescent="0.25">
      <c r="A5" s="99" t="s">
        <v>1109</v>
      </c>
      <c r="B5" s="708"/>
      <c r="C5" s="708"/>
      <c r="D5" s="708"/>
      <c r="E5" s="708"/>
      <c r="F5" s="708"/>
      <c r="G5" s="708"/>
      <c r="H5" s="708"/>
      <c r="I5" s="708"/>
      <c r="J5" s="708"/>
      <c r="K5" s="708"/>
      <c r="L5" s="708"/>
      <c r="M5" s="708"/>
      <c r="N5" s="708"/>
    </row>
    <row r="6" spans="1:14" x14ac:dyDescent="0.25">
      <c r="A6" s="701"/>
      <c r="B6" s="701"/>
      <c r="C6" s="701"/>
      <c r="D6" s="701"/>
      <c r="E6" s="701" t="s">
        <v>122</v>
      </c>
      <c r="F6" s="692"/>
      <c r="G6" s="709"/>
      <c r="H6" s="710"/>
      <c r="I6" s="710"/>
      <c r="J6" s="710"/>
      <c r="K6" s="710"/>
      <c r="L6" s="710"/>
      <c r="M6" s="709"/>
      <c r="N6" s="692"/>
    </row>
    <row r="7" spans="1:14" ht="13.8" thickBot="1" x14ac:dyDescent="0.3">
      <c r="A7" s="711"/>
      <c r="B7" s="711"/>
      <c r="C7" s="711"/>
      <c r="D7" s="711"/>
      <c r="E7" s="711"/>
      <c r="F7" s="712"/>
      <c r="G7" s="709"/>
      <c r="H7" s="713"/>
      <c r="I7" s="710"/>
      <c r="J7" s="713"/>
      <c r="K7" s="710"/>
      <c r="L7" s="713"/>
      <c r="M7" s="709"/>
      <c r="N7" s="712"/>
    </row>
    <row r="8" spans="1:14" x14ac:dyDescent="0.25">
      <c r="A8" s="701"/>
      <c r="B8" s="701"/>
      <c r="C8" s="701"/>
      <c r="D8" s="701"/>
      <c r="E8" s="701"/>
      <c r="F8" s="1011" t="s">
        <v>729</v>
      </c>
      <c r="G8" s="709"/>
      <c r="H8" s="714"/>
      <c r="I8" s="710"/>
      <c r="J8" s="714" t="s">
        <v>221</v>
      </c>
      <c r="K8" s="710"/>
      <c r="L8" s="714"/>
      <c r="M8" s="709"/>
      <c r="N8" s="692" t="s">
        <v>215</v>
      </c>
    </row>
    <row r="9" spans="1:14" x14ac:dyDescent="0.25">
      <c r="A9" s="701"/>
      <c r="B9" s="701"/>
      <c r="C9" s="701"/>
      <c r="D9" s="701"/>
      <c r="E9" s="701"/>
      <c r="F9" s="1012"/>
      <c r="G9" s="709"/>
      <c r="H9" s="692" t="s">
        <v>730</v>
      </c>
      <c r="I9" s="709"/>
      <c r="J9" s="692" t="s">
        <v>731</v>
      </c>
      <c r="K9" s="709"/>
      <c r="L9" s="692" t="s">
        <v>732</v>
      </c>
      <c r="M9" s="709"/>
      <c r="N9" s="692" t="s">
        <v>219</v>
      </c>
    </row>
    <row r="10" spans="1:14" x14ac:dyDescent="0.25">
      <c r="A10" s="701"/>
      <c r="B10" s="701"/>
      <c r="C10" s="701"/>
      <c r="D10" s="701"/>
      <c r="E10" s="701"/>
      <c r="F10" s="1013"/>
      <c r="G10" s="709"/>
      <c r="H10" s="715" t="s">
        <v>733</v>
      </c>
      <c r="I10" s="709"/>
      <c r="J10" s="715" t="s">
        <v>734</v>
      </c>
      <c r="K10" s="709"/>
      <c r="L10" s="715" t="s">
        <v>735</v>
      </c>
      <c r="M10" s="709"/>
      <c r="N10" s="696" t="s">
        <v>222</v>
      </c>
    </row>
    <row r="11" spans="1:14" x14ac:dyDescent="0.25">
      <c r="A11" s="100" t="s">
        <v>684</v>
      </c>
      <c r="B11" s="701"/>
      <c r="C11" s="701"/>
      <c r="D11" s="701"/>
      <c r="E11" s="701"/>
      <c r="F11" s="701"/>
      <c r="G11" s="709"/>
      <c r="H11" s="701"/>
      <c r="I11" s="709"/>
      <c r="J11" s="701"/>
      <c r="K11" s="709"/>
      <c r="L11" s="701"/>
      <c r="M11" s="709"/>
      <c r="N11" s="701"/>
    </row>
    <row r="12" spans="1:14" x14ac:dyDescent="0.25">
      <c r="A12" s="701" t="s">
        <v>736</v>
      </c>
      <c r="B12" s="701"/>
      <c r="C12" s="701"/>
      <c r="D12" s="701"/>
      <c r="E12" s="701"/>
      <c r="F12" s="701"/>
      <c r="G12" s="709"/>
      <c r="H12" s="701"/>
      <c r="I12" s="709"/>
      <c r="J12" s="701"/>
      <c r="K12" s="709"/>
      <c r="L12" s="701"/>
      <c r="M12" s="709"/>
      <c r="N12" s="701"/>
    </row>
    <row r="13" spans="1:14" x14ac:dyDescent="0.25">
      <c r="A13" s="701"/>
      <c r="B13" s="701" t="s">
        <v>169</v>
      </c>
      <c r="C13" s="701"/>
      <c r="D13" s="701"/>
      <c r="E13" s="701"/>
      <c r="F13" s="716">
        <v>26000</v>
      </c>
      <c r="G13" s="709"/>
      <c r="H13" s="716">
        <v>12100</v>
      </c>
      <c r="I13" s="717"/>
      <c r="J13" s="716">
        <v>13600</v>
      </c>
      <c r="K13" s="717"/>
      <c r="L13" s="716">
        <f>SUM(H13:J13)</f>
        <v>25700</v>
      </c>
      <c r="M13" s="717"/>
      <c r="N13" s="716">
        <f>L13-F13</f>
        <v>-300</v>
      </c>
    </row>
    <row r="14" spans="1:14" x14ac:dyDescent="0.25">
      <c r="A14" s="701"/>
      <c r="B14" s="701" t="s">
        <v>528</v>
      </c>
      <c r="C14" s="701"/>
      <c r="D14" s="701"/>
      <c r="E14" s="701"/>
      <c r="F14" s="701"/>
      <c r="G14" s="709"/>
      <c r="H14" s="701"/>
      <c r="I14" s="709"/>
      <c r="J14" s="701"/>
      <c r="K14" s="709"/>
      <c r="L14" s="701"/>
      <c r="M14" s="709"/>
      <c r="N14" s="716"/>
    </row>
    <row r="15" spans="1:14" x14ac:dyDescent="0.25">
      <c r="A15" s="701"/>
      <c r="B15" s="701"/>
      <c r="C15" s="701" t="s">
        <v>737</v>
      </c>
      <c r="D15" s="701"/>
      <c r="E15" s="701"/>
      <c r="F15" s="718">
        <v>85700</v>
      </c>
      <c r="G15" s="709"/>
      <c r="H15" s="718">
        <v>15700</v>
      </c>
      <c r="I15" s="719"/>
      <c r="J15" s="718">
        <v>70000</v>
      </c>
      <c r="K15" s="719"/>
      <c r="L15" s="718">
        <f>SUM(H15:J15)</f>
        <v>85700</v>
      </c>
      <c r="M15" s="719"/>
      <c r="N15" s="720">
        <f>L15-F15</f>
        <v>0</v>
      </c>
    </row>
    <row r="16" spans="1:14" x14ac:dyDescent="0.25">
      <c r="A16" s="701"/>
      <c r="B16" s="701"/>
      <c r="C16" s="701"/>
      <c r="D16" s="701" t="s">
        <v>8</v>
      </c>
      <c r="E16" s="701"/>
      <c r="F16" s="721">
        <f t="shared" ref="F16:N16" si="0">SUM(F13:F15)</f>
        <v>111700</v>
      </c>
      <c r="G16" s="721">
        <f t="shared" si="0"/>
        <v>0</v>
      </c>
      <c r="H16" s="721">
        <f t="shared" si="0"/>
        <v>27800</v>
      </c>
      <c r="I16" s="721">
        <f t="shared" si="0"/>
        <v>0</v>
      </c>
      <c r="J16" s="721">
        <f t="shared" si="0"/>
        <v>83600</v>
      </c>
      <c r="K16" s="721">
        <f t="shared" si="0"/>
        <v>0</v>
      </c>
      <c r="L16" s="721">
        <f t="shared" si="0"/>
        <v>111400</v>
      </c>
      <c r="M16" s="721">
        <f t="shared" si="0"/>
        <v>0</v>
      </c>
      <c r="N16" s="719">
        <f t="shared" si="0"/>
        <v>-300</v>
      </c>
    </row>
    <row r="17" spans="1:19" x14ac:dyDescent="0.25">
      <c r="A17" s="701"/>
      <c r="B17" s="701"/>
      <c r="C17" s="701"/>
      <c r="D17" s="701"/>
      <c r="E17" s="701"/>
      <c r="F17" s="701"/>
      <c r="G17" s="709"/>
      <c r="H17" s="722"/>
      <c r="I17" s="719"/>
      <c r="J17" s="722"/>
      <c r="K17" s="719"/>
      <c r="L17" s="722"/>
      <c r="M17" s="719"/>
      <c r="N17" s="722"/>
      <c r="O17" s="701"/>
      <c r="P17" s="701"/>
      <c r="Q17" s="701"/>
      <c r="R17" s="701"/>
      <c r="S17" s="701"/>
    </row>
    <row r="18" spans="1:19" x14ac:dyDescent="0.25">
      <c r="A18" s="701" t="s">
        <v>738</v>
      </c>
      <c r="B18" s="701"/>
      <c r="C18" s="701"/>
      <c r="D18" s="701"/>
      <c r="E18" s="701"/>
      <c r="F18" s="701"/>
      <c r="G18" s="709"/>
      <c r="H18" s="722"/>
      <c r="I18" s="719"/>
      <c r="J18" s="722"/>
      <c r="K18" s="719"/>
      <c r="L18" s="722"/>
      <c r="M18" s="719"/>
      <c r="N18" s="722"/>
      <c r="O18" s="701"/>
      <c r="P18" s="701"/>
      <c r="Q18" s="701"/>
      <c r="R18" s="701"/>
      <c r="S18" s="701"/>
    </row>
    <row r="19" spans="1:19" x14ac:dyDescent="0.25">
      <c r="A19" s="701"/>
      <c r="B19" s="701" t="s">
        <v>166</v>
      </c>
      <c r="C19" s="701"/>
      <c r="D19" s="701"/>
      <c r="E19" s="701"/>
      <c r="F19" s="718">
        <v>55000</v>
      </c>
      <c r="G19" s="709"/>
      <c r="H19" s="718">
        <v>1720</v>
      </c>
      <c r="I19" s="719"/>
      <c r="J19" s="718">
        <f>32832-1720</f>
        <v>31112</v>
      </c>
      <c r="K19" s="719"/>
      <c r="L19" s="718">
        <v>32832</v>
      </c>
      <c r="M19" s="719"/>
      <c r="N19" s="718">
        <f>L19-F19</f>
        <v>-22168</v>
      </c>
      <c r="O19" s="702"/>
      <c r="P19" s="701"/>
      <c r="Q19" s="701"/>
      <c r="R19" s="701"/>
      <c r="S19" s="701"/>
    </row>
    <row r="20" spans="1:19" ht="9" customHeight="1" x14ac:dyDescent="0.25">
      <c r="A20" s="701"/>
      <c r="B20" s="701"/>
      <c r="C20" s="701"/>
      <c r="D20" s="701"/>
      <c r="E20" s="701"/>
      <c r="F20" s="719"/>
      <c r="G20" s="709"/>
      <c r="H20" s="719"/>
      <c r="I20" s="719"/>
      <c r="J20" s="719"/>
      <c r="K20" s="719"/>
      <c r="L20" s="719"/>
      <c r="M20" s="719"/>
      <c r="N20" s="719"/>
      <c r="O20" s="701"/>
      <c r="P20" s="701"/>
      <c r="Q20" s="701"/>
      <c r="R20" s="701"/>
      <c r="S20" s="701"/>
    </row>
    <row r="21" spans="1:19" x14ac:dyDescent="0.25">
      <c r="A21" s="701" t="s">
        <v>739</v>
      </c>
      <c r="B21" s="701"/>
      <c r="C21" s="701"/>
      <c r="D21" s="701"/>
      <c r="E21" s="701"/>
      <c r="F21" s="701"/>
      <c r="G21" s="709"/>
      <c r="H21" s="722"/>
      <c r="I21" s="719"/>
      <c r="J21" s="722"/>
      <c r="K21" s="719"/>
      <c r="L21" s="722"/>
      <c r="M21" s="719"/>
      <c r="N21" s="722"/>
      <c r="O21" s="701"/>
      <c r="P21" s="701"/>
      <c r="Q21" s="701"/>
      <c r="R21" s="701"/>
      <c r="S21" s="701"/>
    </row>
    <row r="22" spans="1:19" x14ac:dyDescent="0.25">
      <c r="A22" s="701"/>
      <c r="B22" s="701" t="s">
        <v>740</v>
      </c>
      <c r="C22" s="701"/>
      <c r="D22" s="701"/>
      <c r="E22" s="701"/>
      <c r="F22" s="718">
        <v>0</v>
      </c>
      <c r="G22" s="709"/>
      <c r="H22" s="718">
        <v>0</v>
      </c>
      <c r="I22" s="719"/>
      <c r="J22" s="718">
        <v>1720</v>
      </c>
      <c r="K22" s="719"/>
      <c r="L22" s="718">
        <f>SUM(H22:J22)</f>
        <v>1720</v>
      </c>
      <c r="M22" s="719"/>
      <c r="N22" s="723">
        <f>L22-F22</f>
        <v>1720</v>
      </c>
      <c r="O22" s="701"/>
      <c r="P22" s="701"/>
      <c r="Q22" s="701"/>
      <c r="R22" s="701"/>
      <c r="S22" s="701"/>
    </row>
    <row r="23" spans="1:19" x14ac:dyDescent="0.25">
      <c r="A23" s="701"/>
      <c r="B23" s="701"/>
      <c r="C23" s="701"/>
      <c r="D23" s="701" t="s">
        <v>171</v>
      </c>
      <c r="E23" s="701"/>
      <c r="F23" s="723">
        <f>F16+F19+F22</f>
        <v>166700</v>
      </c>
      <c r="G23" s="721">
        <f t="shared" ref="G23:M23" si="1">G16+G19+G22</f>
        <v>0</v>
      </c>
      <c r="H23" s="723">
        <f>H16+H19+H22</f>
        <v>29520</v>
      </c>
      <c r="I23" s="721">
        <f t="shared" si="1"/>
        <v>0</v>
      </c>
      <c r="J23" s="723">
        <f>J16+J19+J22</f>
        <v>116432</v>
      </c>
      <c r="K23" s="721">
        <f t="shared" si="1"/>
        <v>0</v>
      </c>
      <c r="L23" s="723">
        <f>L16+L19+L22</f>
        <v>145952</v>
      </c>
      <c r="M23" s="721">
        <f t="shared" si="1"/>
        <v>0</v>
      </c>
      <c r="N23" s="723">
        <f>N16+N19+N22</f>
        <v>-20748</v>
      </c>
      <c r="O23" s="701"/>
      <c r="P23" s="701"/>
      <c r="Q23" s="701"/>
      <c r="R23" s="701"/>
      <c r="S23" s="701"/>
    </row>
    <row r="24" spans="1:19" x14ac:dyDescent="0.25">
      <c r="A24" s="701"/>
      <c r="B24" s="701"/>
      <c r="C24" s="701"/>
      <c r="D24" s="701"/>
      <c r="E24" s="701"/>
      <c r="F24" s="701"/>
      <c r="G24" s="709"/>
      <c r="H24" s="722"/>
      <c r="I24" s="719"/>
      <c r="J24" s="722"/>
      <c r="K24" s="719"/>
      <c r="L24" s="722"/>
      <c r="M24" s="719"/>
      <c r="N24" s="722"/>
      <c r="O24" s="701"/>
      <c r="P24" s="701"/>
      <c r="Q24" s="701"/>
      <c r="R24" s="701"/>
      <c r="S24" s="701"/>
    </row>
    <row r="25" spans="1:19" x14ac:dyDescent="0.25">
      <c r="A25" s="100" t="s">
        <v>224</v>
      </c>
      <c r="B25" s="701"/>
      <c r="C25" s="701"/>
      <c r="D25" s="701"/>
      <c r="E25" s="701"/>
      <c r="F25" s="701"/>
      <c r="G25" s="709"/>
      <c r="H25" s="722"/>
      <c r="I25" s="719"/>
      <c r="J25" s="722"/>
      <c r="K25" s="719"/>
      <c r="L25" s="722"/>
      <c r="M25" s="719"/>
      <c r="N25" s="722"/>
      <c r="O25" s="701"/>
      <c r="P25" s="701"/>
      <c r="Q25" s="701"/>
      <c r="R25" s="701"/>
      <c r="S25" s="701"/>
    </row>
    <row r="26" spans="1:19" x14ac:dyDescent="0.25">
      <c r="A26" s="701"/>
      <c r="B26" s="701" t="s">
        <v>741</v>
      </c>
      <c r="C26" s="701"/>
      <c r="D26" s="701"/>
      <c r="E26" s="701"/>
      <c r="F26" s="701"/>
      <c r="G26" s="709"/>
      <c r="H26" s="722"/>
      <c r="I26" s="719"/>
      <c r="J26" s="722"/>
      <c r="K26" s="719"/>
      <c r="L26" s="722"/>
      <c r="M26" s="719"/>
      <c r="N26" s="722"/>
      <c r="O26" s="709"/>
      <c r="P26" s="709"/>
      <c r="Q26" s="709"/>
      <c r="R26" s="709"/>
      <c r="S26" s="709"/>
    </row>
    <row r="27" spans="1:19" x14ac:dyDescent="0.25">
      <c r="A27" s="701"/>
      <c r="B27" s="701"/>
      <c r="C27" s="701" t="s">
        <v>742</v>
      </c>
      <c r="D27" s="701"/>
      <c r="E27" s="701"/>
      <c r="F27" s="701"/>
      <c r="G27" s="709"/>
      <c r="H27" s="722"/>
      <c r="I27" s="719"/>
      <c r="J27" s="722"/>
      <c r="K27" s="719"/>
      <c r="L27" s="722"/>
      <c r="M27" s="719"/>
      <c r="N27" s="722"/>
      <c r="O27" s="709"/>
      <c r="P27" s="709"/>
      <c r="Q27" s="709"/>
      <c r="R27" s="709"/>
      <c r="S27" s="709"/>
    </row>
    <row r="28" spans="1:19" x14ac:dyDescent="0.25">
      <c r="A28" s="701"/>
      <c r="B28" s="701"/>
      <c r="C28" s="701"/>
      <c r="D28" s="701" t="s">
        <v>736</v>
      </c>
      <c r="E28" s="701"/>
      <c r="F28" s="701"/>
      <c r="G28" s="709"/>
      <c r="H28" s="722"/>
      <c r="I28" s="719"/>
      <c r="J28" s="722"/>
      <c r="K28" s="719"/>
      <c r="L28" s="722"/>
      <c r="M28" s="719"/>
      <c r="N28" s="722"/>
      <c r="O28" s="709"/>
      <c r="P28" s="709"/>
      <c r="Q28" s="709"/>
      <c r="R28" s="709"/>
      <c r="S28" s="709"/>
    </row>
    <row r="29" spans="1:19" x14ac:dyDescent="0.25">
      <c r="A29" s="701"/>
      <c r="B29" s="701"/>
      <c r="C29" s="701"/>
      <c r="D29" s="701"/>
      <c r="E29" s="701" t="s">
        <v>743</v>
      </c>
      <c r="F29" s="722">
        <v>364500</v>
      </c>
      <c r="G29" s="709"/>
      <c r="H29" s="722">
        <f>278467+17420</f>
        <v>295887</v>
      </c>
      <c r="I29" s="719"/>
      <c r="J29" s="722">
        <f>77866</f>
        <v>77866</v>
      </c>
      <c r="K29" s="719"/>
      <c r="L29" s="722">
        <f>SUM(H29:J29)</f>
        <v>373753</v>
      </c>
      <c r="M29" s="719"/>
      <c r="N29" s="722">
        <f>F29-L29</f>
        <v>-9253</v>
      </c>
      <c r="O29" s="709"/>
      <c r="P29" s="709"/>
      <c r="Q29" s="709"/>
      <c r="R29" s="709"/>
      <c r="S29" s="709"/>
    </row>
    <row r="30" spans="1:19" x14ac:dyDescent="0.25">
      <c r="A30" s="701"/>
      <c r="B30" s="701"/>
      <c r="C30" s="701"/>
      <c r="D30" s="701"/>
      <c r="E30" s="701" t="s">
        <v>744</v>
      </c>
      <c r="F30" s="722">
        <v>25500</v>
      </c>
      <c r="G30" s="709"/>
      <c r="H30" s="722">
        <v>0</v>
      </c>
      <c r="I30" s="719"/>
      <c r="J30" s="722">
        <v>15221</v>
      </c>
      <c r="K30" s="719"/>
      <c r="L30" s="722">
        <f>SUM(H30:J30)</f>
        <v>15221</v>
      </c>
      <c r="M30" s="719"/>
      <c r="N30" s="722">
        <f>F30-L30</f>
        <v>10279</v>
      </c>
      <c r="O30" s="709"/>
      <c r="P30" s="709"/>
      <c r="Q30" s="709"/>
      <c r="R30" s="709"/>
      <c r="S30" s="709"/>
    </row>
    <row r="31" spans="1:19" x14ac:dyDescent="0.25">
      <c r="A31" s="701"/>
      <c r="B31" s="701"/>
      <c r="C31" s="701"/>
      <c r="D31" s="701"/>
      <c r="E31" s="701" t="s">
        <v>745</v>
      </c>
      <c r="F31" s="718">
        <v>16000</v>
      </c>
      <c r="G31" s="709"/>
      <c r="H31" s="718">
        <v>16000</v>
      </c>
      <c r="I31" s="719"/>
      <c r="J31" s="718">
        <v>0</v>
      </c>
      <c r="K31" s="719"/>
      <c r="L31" s="722">
        <f>SUM(H31:J31)</f>
        <v>16000</v>
      </c>
      <c r="M31" s="719"/>
      <c r="N31" s="718">
        <f>F31-L31</f>
        <v>0</v>
      </c>
      <c r="O31" s="709"/>
      <c r="P31" s="709"/>
      <c r="Q31" s="709"/>
      <c r="R31" s="709"/>
      <c r="S31" s="709"/>
    </row>
    <row r="32" spans="1:19" x14ac:dyDescent="0.25">
      <c r="A32" s="701"/>
      <c r="B32" s="701"/>
      <c r="C32" s="701"/>
      <c r="D32" s="701" t="s">
        <v>746</v>
      </c>
      <c r="E32" s="701"/>
      <c r="F32" s="718">
        <f t="shared" ref="F32:M32" si="2">F29+F30+F31</f>
        <v>406000</v>
      </c>
      <c r="G32" s="719">
        <f t="shared" si="2"/>
        <v>0</v>
      </c>
      <c r="H32" s="718">
        <f t="shared" si="2"/>
        <v>311887</v>
      </c>
      <c r="I32" s="719">
        <f t="shared" si="2"/>
        <v>0</v>
      </c>
      <c r="J32" s="718">
        <f t="shared" si="2"/>
        <v>93087</v>
      </c>
      <c r="K32" s="719">
        <f t="shared" si="2"/>
        <v>0</v>
      </c>
      <c r="L32" s="724">
        <f t="shared" si="2"/>
        <v>404974</v>
      </c>
      <c r="M32" s="719">
        <f t="shared" si="2"/>
        <v>0</v>
      </c>
      <c r="N32" s="718">
        <f>N29+N30+N31</f>
        <v>1026</v>
      </c>
      <c r="O32" s="709"/>
      <c r="P32" s="709"/>
      <c r="Q32" s="709"/>
      <c r="R32" s="709"/>
      <c r="S32" s="709"/>
    </row>
    <row r="33" spans="1:19" x14ac:dyDescent="0.25">
      <c r="A33" s="701"/>
      <c r="B33" s="701"/>
      <c r="C33" s="701"/>
      <c r="D33" s="701"/>
      <c r="E33" s="701"/>
      <c r="F33" s="722"/>
      <c r="G33" s="709"/>
      <c r="H33" s="722"/>
      <c r="I33" s="719"/>
      <c r="J33" s="722"/>
      <c r="K33" s="719"/>
      <c r="L33" s="722"/>
      <c r="M33" s="719"/>
      <c r="N33" s="722"/>
      <c r="O33" s="709"/>
      <c r="P33" s="709"/>
      <c r="Q33" s="709"/>
      <c r="R33" s="709"/>
      <c r="S33" s="709"/>
    </row>
    <row r="34" spans="1:19" x14ac:dyDescent="0.25">
      <c r="A34" s="701"/>
      <c r="B34" s="701"/>
      <c r="C34" s="701"/>
      <c r="D34" s="701" t="s">
        <v>738</v>
      </c>
      <c r="E34" s="701"/>
      <c r="F34" s="722"/>
      <c r="G34" s="709"/>
      <c r="H34" s="722"/>
      <c r="I34" s="719"/>
      <c r="J34" s="722"/>
      <c r="K34" s="719"/>
      <c r="L34" s="722"/>
      <c r="M34" s="719"/>
      <c r="N34" s="722"/>
      <c r="O34" s="709"/>
      <c r="P34" s="709"/>
      <c r="Q34" s="709"/>
      <c r="R34" s="709"/>
      <c r="S34" s="709"/>
    </row>
    <row r="35" spans="1:19" x14ac:dyDescent="0.25">
      <c r="A35" s="701"/>
      <c r="B35" s="701"/>
      <c r="C35" s="701"/>
      <c r="D35" s="701"/>
      <c r="E35" s="701" t="s">
        <v>743</v>
      </c>
      <c r="F35" s="722">
        <v>520000</v>
      </c>
      <c r="G35" s="709"/>
      <c r="H35" s="722">
        <v>0</v>
      </c>
      <c r="I35" s="719"/>
      <c r="J35" s="722">
        <v>32832</v>
      </c>
      <c r="K35" s="719"/>
      <c r="L35" s="722">
        <v>32832</v>
      </c>
      <c r="M35" s="719"/>
      <c r="N35" s="722">
        <f>F35-L35</f>
        <v>487168</v>
      </c>
      <c r="O35" s="709"/>
      <c r="P35" s="709"/>
      <c r="Q35" s="709"/>
      <c r="R35" s="709"/>
      <c r="S35" s="709"/>
    </row>
    <row r="36" spans="1:19" x14ac:dyDescent="0.25">
      <c r="A36" s="701"/>
      <c r="B36" s="701"/>
      <c r="C36" s="701"/>
      <c r="D36" s="701"/>
      <c r="E36" s="701" t="s">
        <v>744</v>
      </c>
      <c r="F36" s="718">
        <v>35000</v>
      </c>
      <c r="G36" s="709"/>
      <c r="H36" s="718">
        <v>0</v>
      </c>
      <c r="I36" s="719"/>
      <c r="J36" s="718">
        <v>0</v>
      </c>
      <c r="K36" s="719"/>
      <c r="L36" s="718">
        <v>0</v>
      </c>
      <c r="M36" s="719"/>
      <c r="N36" s="718">
        <f>F36-L36</f>
        <v>35000</v>
      </c>
      <c r="O36" s="709"/>
      <c r="P36" s="709"/>
      <c r="Q36" s="709"/>
      <c r="R36" s="709"/>
      <c r="S36" s="709"/>
    </row>
    <row r="37" spans="1:19" x14ac:dyDescent="0.25">
      <c r="A37" s="701"/>
      <c r="B37" s="701"/>
      <c r="C37" s="701"/>
      <c r="D37" s="701"/>
      <c r="E37" s="701" t="s">
        <v>8</v>
      </c>
      <c r="F37" s="723">
        <f>F35+F36</f>
        <v>555000</v>
      </c>
      <c r="G37" s="721">
        <f t="shared" ref="G37:M37" si="3">G35+G36</f>
        <v>0</v>
      </c>
      <c r="H37" s="723">
        <f t="shared" si="3"/>
        <v>0</v>
      </c>
      <c r="I37" s="721">
        <f t="shared" si="3"/>
        <v>0</v>
      </c>
      <c r="J37" s="723">
        <f t="shared" si="3"/>
        <v>32832</v>
      </c>
      <c r="K37" s="721">
        <f t="shared" si="3"/>
        <v>0</v>
      </c>
      <c r="L37" s="723">
        <f t="shared" si="3"/>
        <v>32832</v>
      </c>
      <c r="M37" s="721">
        <f t="shared" si="3"/>
        <v>0</v>
      </c>
      <c r="N37" s="723">
        <f>N35+N36</f>
        <v>522168</v>
      </c>
      <c r="O37" s="709"/>
      <c r="P37" s="709"/>
      <c r="Q37" s="709"/>
      <c r="R37" s="709"/>
      <c r="S37" s="709"/>
    </row>
    <row r="38" spans="1:19" x14ac:dyDescent="0.25">
      <c r="A38" s="701"/>
      <c r="B38" s="701"/>
      <c r="C38" s="701"/>
      <c r="D38" s="701"/>
      <c r="E38" s="701"/>
      <c r="F38" s="721"/>
      <c r="G38" s="709"/>
      <c r="H38" s="721"/>
      <c r="I38" s="719"/>
      <c r="J38" s="721"/>
      <c r="K38" s="719"/>
      <c r="L38" s="721"/>
      <c r="M38" s="719"/>
      <c r="N38" s="721"/>
      <c r="O38" s="709"/>
      <c r="P38" s="709"/>
      <c r="Q38" s="709"/>
      <c r="R38" s="709"/>
      <c r="S38" s="709"/>
    </row>
    <row r="39" spans="1:19" x14ac:dyDescent="0.25">
      <c r="A39" s="701"/>
      <c r="B39" s="701"/>
      <c r="C39" s="701"/>
      <c r="D39" s="701" t="s">
        <v>739</v>
      </c>
      <c r="E39" s="701"/>
      <c r="F39" s="722"/>
      <c r="G39" s="709"/>
      <c r="H39" s="722"/>
      <c r="I39" s="719"/>
      <c r="J39" s="722"/>
      <c r="K39" s="719"/>
      <c r="L39" s="722"/>
      <c r="M39" s="719"/>
      <c r="N39" s="722"/>
      <c r="O39" s="709"/>
      <c r="P39" s="709"/>
      <c r="Q39" s="709"/>
      <c r="R39" s="709"/>
      <c r="S39" s="709"/>
    </row>
    <row r="40" spans="1:19" x14ac:dyDescent="0.25">
      <c r="A40" s="701"/>
      <c r="B40" s="701"/>
      <c r="C40" s="701"/>
      <c r="D40" s="701"/>
      <c r="E40" s="701" t="s">
        <v>744</v>
      </c>
      <c r="F40" s="718">
        <v>25700</v>
      </c>
      <c r="G40" s="709"/>
      <c r="H40" s="718">
        <v>0</v>
      </c>
      <c r="I40" s="719"/>
      <c r="J40" s="718">
        <v>20177</v>
      </c>
      <c r="K40" s="719"/>
      <c r="L40" s="718">
        <f>H40+J40</f>
        <v>20177</v>
      </c>
      <c r="M40" s="719"/>
      <c r="N40" s="718">
        <f>F40-L40</f>
        <v>5523</v>
      </c>
      <c r="O40" s="709"/>
      <c r="P40" s="709"/>
      <c r="Q40" s="709"/>
      <c r="R40" s="709"/>
      <c r="S40" s="709"/>
    </row>
    <row r="41" spans="1:19" x14ac:dyDescent="0.25">
      <c r="A41" s="701"/>
      <c r="B41" s="701"/>
      <c r="C41" s="701"/>
      <c r="D41" s="701"/>
      <c r="E41" s="701" t="s">
        <v>8</v>
      </c>
      <c r="F41" s="723">
        <f t="shared" ref="F41:M41" si="4">F40</f>
        <v>25700</v>
      </c>
      <c r="G41" s="721">
        <f t="shared" si="4"/>
        <v>0</v>
      </c>
      <c r="H41" s="723">
        <f t="shared" si="4"/>
        <v>0</v>
      </c>
      <c r="I41" s="721">
        <f t="shared" si="4"/>
        <v>0</v>
      </c>
      <c r="J41" s="723">
        <f t="shared" si="4"/>
        <v>20177</v>
      </c>
      <c r="K41" s="721">
        <f t="shared" si="4"/>
        <v>0</v>
      </c>
      <c r="L41" s="723">
        <f t="shared" si="4"/>
        <v>20177</v>
      </c>
      <c r="M41" s="721">
        <f t="shared" si="4"/>
        <v>0</v>
      </c>
      <c r="N41" s="723">
        <f>N40</f>
        <v>5523</v>
      </c>
      <c r="O41" s="709"/>
      <c r="P41" s="709"/>
      <c r="Q41" s="709"/>
      <c r="R41" s="709"/>
      <c r="S41" s="709"/>
    </row>
    <row r="42" spans="1:19" x14ac:dyDescent="0.25">
      <c r="A42" s="701"/>
      <c r="B42" s="701"/>
      <c r="C42" s="701"/>
      <c r="D42" s="701"/>
      <c r="E42" s="701" t="s">
        <v>183</v>
      </c>
      <c r="F42" s="723">
        <f t="shared" ref="F42:M42" si="5">F32+F37+F41</f>
        <v>986700</v>
      </c>
      <c r="G42" s="721">
        <f t="shared" si="5"/>
        <v>0</v>
      </c>
      <c r="H42" s="723">
        <f t="shared" si="5"/>
        <v>311887</v>
      </c>
      <c r="I42" s="721">
        <f t="shared" si="5"/>
        <v>0</v>
      </c>
      <c r="J42" s="723">
        <f t="shared" si="5"/>
        <v>146096</v>
      </c>
      <c r="K42" s="721">
        <f t="shared" si="5"/>
        <v>0</v>
      </c>
      <c r="L42" s="723">
        <f t="shared" si="5"/>
        <v>457983</v>
      </c>
      <c r="M42" s="721">
        <f t="shared" si="5"/>
        <v>0</v>
      </c>
      <c r="N42" s="723">
        <f>N32+N37+N41</f>
        <v>528717</v>
      </c>
      <c r="O42" s="709"/>
      <c r="P42" s="701"/>
      <c r="Q42" s="701"/>
      <c r="R42" s="701"/>
      <c r="S42" s="701"/>
    </row>
    <row r="43" spans="1:19" x14ac:dyDescent="0.25">
      <c r="A43" s="701"/>
      <c r="B43" s="701"/>
      <c r="C43" s="701"/>
      <c r="D43" s="701"/>
      <c r="E43" s="701"/>
      <c r="F43" s="701"/>
      <c r="G43" s="709"/>
      <c r="H43" s="722"/>
      <c r="I43" s="719"/>
      <c r="J43" s="722"/>
      <c r="K43" s="719"/>
      <c r="L43" s="722"/>
      <c r="M43" s="719"/>
      <c r="N43" s="722"/>
      <c r="O43" s="709"/>
      <c r="P43" s="701"/>
      <c r="Q43" s="701"/>
      <c r="R43" s="701"/>
      <c r="S43" s="701"/>
    </row>
    <row r="44" spans="1:19" x14ac:dyDescent="0.25">
      <c r="A44" s="701" t="s">
        <v>747</v>
      </c>
      <c r="B44" s="701"/>
      <c r="C44" s="701"/>
      <c r="D44" s="701"/>
      <c r="E44" s="701"/>
      <c r="F44" s="718">
        <f t="shared" ref="F44:M44" si="6">F23-F42</f>
        <v>-820000</v>
      </c>
      <c r="G44" s="719">
        <f t="shared" si="6"/>
        <v>0</v>
      </c>
      <c r="H44" s="718">
        <f t="shared" si="6"/>
        <v>-282367</v>
      </c>
      <c r="I44" s="719">
        <f t="shared" si="6"/>
        <v>0</v>
      </c>
      <c r="J44" s="718">
        <f t="shared" si="6"/>
        <v>-29664</v>
      </c>
      <c r="K44" s="719">
        <f t="shared" si="6"/>
        <v>0</v>
      </c>
      <c r="L44" s="718">
        <f t="shared" si="6"/>
        <v>-312031</v>
      </c>
      <c r="M44" s="719">
        <f t="shared" si="6"/>
        <v>0</v>
      </c>
      <c r="N44" s="718">
        <f>N23+N42</f>
        <v>507969</v>
      </c>
      <c r="O44" s="709"/>
      <c r="P44" s="701"/>
      <c r="Q44" s="701"/>
      <c r="R44" s="701"/>
      <c r="S44" s="701"/>
    </row>
    <row r="45" spans="1:19" x14ac:dyDescent="0.25">
      <c r="A45" s="701"/>
      <c r="B45" s="701"/>
      <c r="C45" s="701"/>
      <c r="D45" s="701"/>
      <c r="E45" s="701"/>
      <c r="F45" s="701"/>
      <c r="G45" s="709"/>
      <c r="H45" s="722"/>
      <c r="I45" s="719"/>
      <c r="J45" s="722"/>
      <c r="K45" s="719"/>
      <c r="L45" s="722"/>
      <c r="M45" s="719"/>
      <c r="N45" s="722"/>
      <c r="O45" s="709"/>
      <c r="P45" s="701"/>
      <c r="Q45" s="701"/>
      <c r="R45" s="701"/>
      <c r="S45" s="701"/>
    </row>
    <row r="46" spans="1:19" x14ac:dyDescent="0.25">
      <c r="A46" s="701" t="s">
        <v>637</v>
      </c>
      <c r="B46" s="701"/>
      <c r="C46" s="701"/>
      <c r="D46" s="701"/>
      <c r="E46" s="701"/>
      <c r="F46" s="701"/>
      <c r="G46" s="709"/>
      <c r="H46" s="722"/>
      <c r="I46" s="719"/>
      <c r="J46" s="722"/>
      <c r="K46" s="719"/>
      <c r="L46" s="722"/>
      <c r="M46" s="719"/>
      <c r="N46" s="722"/>
      <c r="O46" s="709"/>
      <c r="P46" s="701"/>
      <c r="Q46" s="701"/>
      <c r="R46" s="701"/>
      <c r="S46" s="701"/>
    </row>
    <row r="47" spans="1:19" x14ac:dyDescent="0.25">
      <c r="A47" s="701"/>
      <c r="B47" s="701" t="s">
        <v>736</v>
      </c>
      <c r="C47" s="701"/>
      <c r="D47" s="701"/>
      <c r="E47" s="701"/>
      <c r="F47" s="701"/>
      <c r="G47" s="709"/>
      <c r="H47" s="722"/>
      <c r="I47" s="719"/>
      <c r="J47" s="722"/>
      <c r="K47" s="719"/>
      <c r="L47" s="722"/>
      <c r="M47" s="719"/>
      <c r="N47" s="722"/>
      <c r="O47" s="709"/>
      <c r="P47" s="701"/>
      <c r="Q47" s="701"/>
      <c r="R47" s="701"/>
      <c r="S47" s="701"/>
    </row>
    <row r="48" spans="1:19" x14ac:dyDescent="0.25">
      <c r="A48" s="701"/>
      <c r="B48" s="701"/>
      <c r="C48" s="701" t="s">
        <v>748</v>
      </c>
      <c r="D48" s="701"/>
      <c r="E48" s="701"/>
      <c r="F48" s="701"/>
      <c r="G48" s="709"/>
      <c r="H48" s="722"/>
      <c r="I48" s="719"/>
      <c r="J48" s="722"/>
      <c r="K48" s="719"/>
      <c r="L48" s="722"/>
      <c r="M48" s="719"/>
      <c r="N48" s="722"/>
      <c r="O48" s="701"/>
      <c r="P48" s="701"/>
      <c r="Q48" s="701"/>
      <c r="R48" s="701"/>
      <c r="S48" s="701"/>
    </row>
    <row r="49" spans="1:14" x14ac:dyDescent="0.25">
      <c r="A49" s="701"/>
      <c r="B49" s="701"/>
      <c r="C49" s="701" t="s">
        <v>161</v>
      </c>
      <c r="D49" s="701"/>
      <c r="E49" s="701"/>
      <c r="F49" s="722">
        <v>300000</v>
      </c>
      <c r="G49" s="709"/>
      <c r="H49" s="722">
        <v>300000</v>
      </c>
      <c r="I49" s="719"/>
      <c r="J49" s="722">
        <v>0</v>
      </c>
      <c r="K49" s="719"/>
      <c r="L49" s="722">
        <v>300000</v>
      </c>
      <c r="M49" s="719"/>
      <c r="N49" s="722">
        <v>0</v>
      </c>
    </row>
    <row r="50" spans="1:14" ht="8.25" customHeight="1" x14ac:dyDescent="0.25">
      <c r="A50" s="701"/>
      <c r="B50" s="701"/>
      <c r="C50" s="701"/>
      <c r="D50" s="701"/>
      <c r="E50" s="701"/>
      <c r="F50" s="722"/>
      <c r="G50" s="709"/>
      <c r="H50" s="722"/>
      <c r="I50" s="719"/>
      <c r="J50" s="722"/>
      <c r="K50" s="719"/>
      <c r="L50" s="722"/>
      <c r="M50" s="719"/>
      <c r="N50" s="722"/>
    </row>
    <row r="51" spans="1:14" x14ac:dyDescent="0.25">
      <c r="A51" s="701"/>
      <c r="B51" s="701" t="s">
        <v>749</v>
      </c>
      <c r="C51" s="701"/>
      <c r="D51" s="701"/>
      <c r="E51" s="701"/>
      <c r="F51" s="701"/>
      <c r="G51" s="709"/>
      <c r="H51" s="722"/>
      <c r="I51" s="719"/>
      <c r="J51" s="722"/>
      <c r="K51" s="719"/>
      <c r="L51" s="722"/>
      <c r="M51" s="719"/>
      <c r="N51" s="722"/>
    </row>
    <row r="52" spans="1:14" x14ac:dyDescent="0.25">
      <c r="A52" s="701"/>
      <c r="B52" s="701"/>
      <c r="C52" s="701" t="s">
        <v>748</v>
      </c>
      <c r="D52" s="701"/>
      <c r="E52" s="701"/>
      <c r="F52" s="701"/>
      <c r="G52" s="709"/>
      <c r="H52" s="722"/>
      <c r="I52" s="719"/>
      <c r="J52" s="722"/>
      <c r="K52" s="719"/>
      <c r="L52" s="722"/>
      <c r="M52" s="719"/>
      <c r="N52" s="722"/>
    </row>
    <row r="53" spans="1:14" x14ac:dyDescent="0.25">
      <c r="A53" s="701"/>
      <c r="B53" s="701"/>
      <c r="C53" s="701" t="s">
        <v>682</v>
      </c>
      <c r="D53" s="701"/>
      <c r="E53" s="701"/>
      <c r="F53" s="722">
        <v>20000</v>
      </c>
      <c r="G53" s="709"/>
      <c r="H53" s="722">
        <v>10000</v>
      </c>
      <c r="I53" s="719"/>
      <c r="J53" s="722">
        <v>10000</v>
      </c>
      <c r="K53" s="719"/>
      <c r="L53" s="722">
        <v>20000</v>
      </c>
      <c r="M53" s="719"/>
      <c r="N53" s="722">
        <f>F53-L53</f>
        <v>0</v>
      </c>
    </row>
    <row r="54" spans="1:14" x14ac:dyDescent="0.25">
      <c r="A54" s="701"/>
      <c r="B54" s="701"/>
      <c r="C54" s="701"/>
      <c r="D54" s="701"/>
      <c r="E54" s="701"/>
      <c r="F54" s="701"/>
      <c r="G54" s="709"/>
      <c r="H54" s="722"/>
      <c r="I54" s="719"/>
      <c r="J54" s="722"/>
      <c r="K54" s="719"/>
      <c r="L54" s="722"/>
      <c r="M54" s="719"/>
      <c r="N54" s="722"/>
    </row>
    <row r="55" spans="1:14" x14ac:dyDescent="0.25">
      <c r="A55" s="701"/>
      <c r="B55" s="701" t="s">
        <v>738</v>
      </c>
      <c r="C55" s="701"/>
      <c r="D55" s="701"/>
      <c r="E55" s="701"/>
      <c r="F55" s="701"/>
      <c r="G55" s="709"/>
      <c r="H55" s="722"/>
      <c r="I55" s="719"/>
      <c r="J55" s="722"/>
      <c r="K55" s="719"/>
      <c r="L55" s="722"/>
      <c r="M55" s="719"/>
      <c r="N55" s="722"/>
    </row>
    <row r="56" spans="1:14" x14ac:dyDescent="0.25">
      <c r="A56" s="701"/>
      <c r="B56" s="701"/>
      <c r="C56" s="701" t="s">
        <v>750</v>
      </c>
      <c r="D56" s="701"/>
      <c r="E56" s="701"/>
      <c r="F56" s="718">
        <v>500000</v>
      </c>
      <c r="G56" s="709"/>
      <c r="H56" s="718">
        <v>0</v>
      </c>
      <c r="I56" s="719"/>
      <c r="J56" s="718">
        <v>0</v>
      </c>
      <c r="K56" s="719"/>
      <c r="L56" s="718">
        <v>0</v>
      </c>
      <c r="M56" s="719"/>
      <c r="N56" s="718">
        <v>-500000</v>
      </c>
    </row>
    <row r="57" spans="1:14" x14ac:dyDescent="0.25">
      <c r="A57" s="701"/>
      <c r="B57" s="701"/>
      <c r="C57" s="701"/>
      <c r="D57" s="701"/>
      <c r="E57" s="701" t="s">
        <v>751</v>
      </c>
      <c r="F57" s="723">
        <f>SUM(F49:F56)</f>
        <v>820000</v>
      </c>
      <c r="G57" s="721">
        <f t="shared" ref="G57:N57" si="7">SUM(G49:G56)</f>
        <v>0</v>
      </c>
      <c r="H57" s="723">
        <f t="shared" si="7"/>
        <v>310000</v>
      </c>
      <c r="I57" s="721">
        <f t="shared" si="7"/>
        <v>0</v>
      </c>
      <c r="J57" s="723">
        <f t="shared" si="7"/>
        <v>10000</v>
      </c>
      <c r="K57" s="721">
        <f t="shared" si="7"/>
        <v>0</v>
      </c>
      <c r="L57" s="723">
        <f t="shared" si="7"/>
        <v>320000</v>
      </c>
      <c r="M57" s="721">
        <f t="shared" si="7"/>
        <v>0</v>
      </c>
      <c r="N57" s="723">
        <f t="shared" si="7"/>
        <v>-500000</v>
      </c>
    </row>
    <row r="59" spans="1:14" x14ac:dyDescent="0.25">
      <c r="A59" s="701" t="s">
        <v>752</v>
      </c>
      <c r="B59" s="701"/>
      <c r="C59" s="701"/>
      <c r="D59" s="701"/>
      <c r="E59" s="701"/>
      <c r="F59" s="701"/>
      <c r="G59" s="709"/>
      <c r="H59" s="722"/>
      <c r="I59" s="709"/>
      <c r="J59" s="722"/>
      <c r="K59" s="709"/>
      <c r="L59" s="722"/>
      <c r="M59" s="709"/>
      <c r="N59" s="722"/>
    </row>
    <row r="60" spans="1:14" s="101" customFormat="1" ht="13.8" thickBot="1" x14ac:dyDescent="0.3">
      <c r="A60" s="701" t="s">
        <v>753</v>
      </c>
      <c r="B60" s="701"/>
      <c r="C60" s="701"/>
      <c r="D60" s="701"/>
      <c r="E60" s="701"/>
      <c r="F60" s="725">
        <f>F44+F57</f>
        <v>0</v>
      </c>
      <c r="G60" s="717">
        <f t="shared" ref="G60:N60" si="8">G44+G57</f>
        <v>0</v>
      </c>
      <c r="H60" s="725">
        <f t="shared" si="8"/>
        <v>27633</v>
      </c>
      <c r="I60" s="717"/>
      <c r="J60" s="717">
        <f t="shared" si="8"/>
        <v>-19664</v>
      </c>
      <c r="K60" s="717"/>
      <c r="L60" s="725">
        <f t="shared" si="8"/>
        <v>7969</v>
      </c>
      <c r="M60" s="717"/>
      <c r="N60" s="725">
        <f t="shared" si="8"/>
        <v>7969</v>
      </c>
    </row>
    <row r="61" spans="1:14" ht="13.8" thickTop="1" x14ac:dyDescent="0.25">
      <c r="A61" s="701"/>
      <c r="B61" s="701"/>
      <c r="C61" s="701"/>
      <c r="D61" s="701"/>
      <c r="E61" s="701"/>
      <c r="F61" s="702"/>
      <c r="G61" s="709"/>
      <c r="H61" s="701"/>
      <c r="I61" s="709"/>
      <c r="J61" s="701"/>
      <c r="K61" s="709"/>
      <c r="L61" s="701"/>
      <c r="M61" s="709"/>
      <c r="N61" s="701"/>
    </row>
    <row r="62" spans="1:14" x14ac:dyDescent="0.25">
      <c r="A62" s="726" t="s">
        <v>644</v>
      </c>
      <c r="B62" s="701"/>
      <c r="C62" s="701"/>
      <c r="D62" s="701"/>
      <c r="E62" s="701"/>
      <c r="F62" s="701"/>
      <c r="G62" s="709"/>
      <c r="H62" s="701"/>
      <c r="I62" s="709"/>
      <c r="J62" s="718">
        <f>37633-10000</f>
        <v>27633</v>
      </c>
      <c r="K62" s="709"/>
      <c r="L62" s="701"/>
      <c r="M62" s="709"/>
      <c r="N62" s="701"/>
    </row>
    <row r="63" spans="1:14" ht="13.8" thickBot="1" x14ac:dyDescent="0.3">
      <c r="A63" s="726" t="s">
        <v>634</v>
      </c>
      <c r="B63" s="701"/>
      <c r="C63" s="701"/>
      <c r="D63" s="701"/>
      <c r="E63" s="701"/>
      <c r="F63" s="701"/>
      <c r="G63" s="709"/>
      <c r="H63" s="701"/>
      <c r="I63" s="709"/>
      <c r="J63" s="725">
        <f>J62+J60</f>
        <v>7969</v>
      </c>
      <c r="K63" s="709"/>
      <c r="L63" s="701"/>
      <c r="M63" s="709"/>
      <c r="N63" s="701"/>
    </row>
    <row r="64" spans="1:14" ht="13.8" thickTop="1" x14ac:dyDescent="0.25">
      <c r="A64" s="701"/>
      <c r="B64" s="701"/>
      <c r="C64" s="701"/>
      <c r="D64" s="701"/>
      <c r="E64" s="701"/>
      <c r="F64" s="701"/>
      <c r="G64" s="709"/>
      <c r="H64" s="701"/>
      <c r="I64" s="709"/>
      <c r="J64" s="701"/>
      <c r="K64" s="709"/>
      <c r="L64" s="701"/>
      <c r="M64" s="709"/>
      <c r="N64" s="701"/>
    </row>
  </sheetData>
  <customSheetViews>
    <customSheetView guid="{A8748736-0722-49EB-85B6-C9B52DDCFE0E}" fitToPage="1">
      <selection activeCell="A6" sqref="A6"/>
      <pageMargins left="0.75" right="0.75" top="1" bottom="1" header="0.5" footer="0.5"/>
      <printOptions horizontalCentered="1"/>
      <pageSetup scale="83" firstPageNumber="114" orientation="portrait" useFirstPageNumber="1" r:id="rId1"/>
      <headerFooter alignWithMargins="0"/>
    </customSheetView>
    <customSheetView guid="{E0C60316-4586-4AAF-92CB-FA82BB1EB755}" fitToPage="1" topLeftCell="A22">
      <selection activeCell="O27" sqref="O27"/>
      <pageMargins left="0" right="0" top="0" bottom="0" header="0" footer="0"/>
      <printOptions horizontalCentered="1"/>
      <pageSetup scale="82" firstPageNumber="114" orientation="portrait" useFirstPageNumber="1" r:id="rId2"/>
      <headerFooter alignWithMargins="0"/>
    </customSheetView>
  </customSheetViews>
  <mergeCells count="2">
    <mergeCell ref="A4:N4"/>
    <mergeCell ref="F8:F10"/>
  </mergeCells>
  <printOptions horizontalCentered="1"/>
  <pageMargins left="0.75" right="0.75" top="1" bottom="1" header="0.5" footer="0.5"/>
  <pageSetup scale="83" firstPageNumber="114" orientation="portrait" useFirstPageNumber="1" r:id="rId3"/>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tint="-0.14999847407452621"/>
    <pageSetUpPr fitToPage="1"/>
  </sheetPr>
  <dimension ref="A1:N81"/>
  <sheetViews>
    <sheetView workbookViewId="0">
      <selection sqref="A1:M1"/>
    </sheetView>
  </sheetViews>
  <sheetFormatPr defaultColWidth="9.109375" defaultRowHeight="13.2" x14ac:dyDescent="0.25"/>
  <cols>
    <col min="1" max="2" width="2.44140625" style="75" customWidth="1"/>
    <col min="3" max="3" width="1.6640625" style="75" customWidth="1"/>
    <col min="4" max="4" width="22.109375" style="75" customWidth="1"/>
    <col min="5" max="5" width="11.5546875" style="75" customWidth="1"/>
    <col min="6" max="6" width="1.6640625" style="75" customWidth="1"/>
    <col min="7" max="7" width="10.5546875" style="75" customWidth="1"/>
    <col min="8" max="8" width="1.33203125" style="75" customWidth="1"/>
    <col min="9" max="9" width="10.88671875" style="75" customWidth="1"/>
    <col min="10" max="10" width="1.6640625" style="75" customWidth="1"/>
    <col min="11" max="11" width="10.33203125" style="75" customWidth="1"/>
    <col min="12" max="12" width="1" style="75" customWidth="1"/>
    <col min="13" max="13" width="12.5546875" style="75" customWidth="1"/>
    <col min="14" max="14" width="12.109375" style="75" bestFit="1" customWidth="1"/>
    <col min="15" max="16384" width="9.109375" style="75"/>
  </cols>
  <sheetData>
    <row r="1" spans="1:14" x14ac:dyDescent="0.25">
      <c r="A1" s="1014" t="s">
        <v>1</v>
      </c>
      <c r="B1" s="1014"/>
      <c r="C1" s="1014"/>
      <c r="D1" s="1014"/>
      <c r="E1" s="1014"/>
      <c r="F1" s="1014"/>
      <c r="G1" s="1014"/>
      <c r="H1" s="1014"/>
      <c r="I1" s="1014"/>
      <c r="J1" s="1014"/>
      <c r="K1" s="1014"/>
      <c r="L1" s="1014"/>
      <c r="M1" s="1014"/>
      <c r="N1" s="701"/>
    </row>
    <row r="2" spans="1:14" x14ac:dyDescent="0.25">
      <c r="A2" s="1014" t="s">
        <v>626</v>
      </c>
      <c r="B2" s="1014"/>
      <c r="C2" s="1014"/>
      <c r="D2" s="1014"/>
      <c r="E2" s="1014"/>
      <c r="F2" s="1014"/>
      <c r="G2" s="1014"/>
      <c r="H2" s="1014"/>
      <c r="I2" s="1014"/>
      <c r="J2" s="1014"/>
      <c r="K2" s="1014"/>
      <c r="L2" s="1014"/>
      <c r="M2" s="1014"/>
      <c r="N2" s="701"/>
    </row>
    <row r="3" spans="1:14" x14ac:dyDescent="0.25">
      <c r="A3" s="1014" t="s">
        <v>490</v>
      </c>
      <c r="B3" s="1014"/>
      <c r="C3" s="1014"/>
      <c r="D3" s="1014"/>
      <c r="E3" s="1014"/>
      <c r="F3" s="1014"/>
      <c r="G3" s="1014"/>
      <c r="H3" s="1014"/>
      <c r="I3" s="1014"/>
      <c r="J3" s="1014"/>
      <c r="K3" s="1014"/>
      <c r="L3" s="1014"/>
      <c r="M3" s="1014"/>
      <c r="N3" s="701"/>
    </row>
    <row r="4" spans="1:14" x14ac:dyDescent="0.25">
      <c r="A4" s="1014" t="s">
        <v>491</v>
      </c>
      <c r="B4" s="1014"/>
      <c r="C4" s="1014"/>
      <c r="D4" s="1014"/>
      <c r="E4" s="1014"/>
      <c r="F4" s="1014"/>
      <c r="G4" s="1014"/>
      <c r="H4" s="1014"/>
      <c r="I4" s="1014"/>
      <c r="J4" s="1014"/>
      <c r="K4" s="1014"/>
      <c r="L4" s="1014"/>
      <c r="M4" s="1014"/>
      <c r="N4" s="701"/>
    </row>
    <row r="5" spans="1:14" ht="13.8" thickBot="1" x14ac:dyDescent="0.3">
      <c r="A5" s="1015" t="str">
        <f>'CPBA-1'!A5</f>
        <v>From Inception and for the Fiscal Year Ended June 30, 2022</v>
      </c>
      <c r="B5" s="1015"/>
      <c r="C5" s="1015"/>
      <c r="D5" s="1015"/>
      <c r="E5" s="1015"/>
      <c r="F5" s="1015"/>
      <c r="G5" s="1015"/>
      <c r="H5" s="1015"/>
      <c r="I5" s="1015"/>
      <c r="J5" s="1015"/>
      <c r="K5" s="1015"/>
      <c r="L5" s="1015"/>
      <c r="M5" s="1015"/>
      <c r="N5" s="701"/>
    </row>
    <row r="6" spans="1:14" x14ac:dyDescent="0.25">
      <c r="A6" s="1025"/>
      <c r="B6" s="1025"/>
      <c r="C6" s="1025"/>
      <c r="D6" s="1025"/>
      <c r="E6" s="1025"/>
      <c r="F6" s="1025"/>
      <c r="G6" s="1025"/>
      <c r="H6" s="1025"/>
      <c r="I6" s="1025"/>
      <c r="J6" s="1025"/>
      <c r="K6" s="1025"/>
      <c r="L6" s="1025"/>
      <c r="M6" s="1025"/>
      <c r="N6" s="701"/>
    </row>
    <row r="7" spans="1:14" x14ac:dyDescent="0.25">
      <c r="A7" s="701"/>
      <c r="B7" s="701"/>
      <c r="C7" s="701"/>
      <c r="D7" s="701"/>
      <c r="E7" s="180" t="s">
        <v>754</v>
      </c>
      <c r="F7" s="181"/>
      <c r="G7" s="182"/>
      <c r="H7" s="182"/>
      <c r="I7" s="182" t="s">
        <v>221</v>
      </c>
      <c r="J7" s="182"/>
      <c r="K7" s="182"/>
      <c r="L7" s="181"/>
      <c r="M7" s="180" t="s">
        <v>215</v>
      </c>
      <c r="N7" s="701"/>
    </row>
    <row r="8" spans="1:14" x14ac:dyDescent="0.25">
      <c r="A8" s="701"/>
      <c r="B8" s="701"/>
      <c r="C8" s="701"/>
      <c r="D8" s="701"/>
      <c r="E8" s="180" t="s">
        <v>755</v>
      </c>
      <c r="F8" s="181"/>
      <c r="G8" s="180" t="s">
        <v>730</v>
      </c>
      <c r="H8" s="181"/>
      <c r="I8" s="180" t="s">
        <v>731</v>
      </c>
      <c r="J8" s="181"/>
      <c r="K8" s="180" t="s">
        <v>732</v>
      </c>
      <c r="L8" s="181"/>
      <c r="M8" s="180" t="s">
        <v>219</v>
      </c>
      <c r="N8" s="701"/>
    </row>
    <row r="9" spans="1:14" x14ac:dyDescent="0.25">
      <c r="A9" s="701"/>
      <c r="B9" s="701"/>
      <c r="C9" s="701"/>
      <c r="D9" s="701"/>
      <c r="E9" s="651" t="s">
        <v>756</v>
      </c>
      <c r="F9" s="181"/>
      <c r="G9" s="651" t="s">
        <v>733</v>
      </c>
      <c r="H9" s="181"/>
      <c r="I9" s="651" t="s">
        <v>734</v>
      </c>
      <c r="J9" s="181"/>
      <c r="K9" s="651" t="s">
        <v>735</v>
      </c>
      <c r="L9" s="181"/>
      <c r="M9" s="183" t="s">
        <v>222</v>
      </c>
      <c r="N9" s="701"/>
    </row>
    <row r="10" spans="1:14" x14ac:dyDescent="0.25">
      <c r="A10" s="701"/>
      <c r="B10" s="701"/>
      <c r="C10" s="701"/>
      <c r="D10" s="701"/>
      <c r="E10" s="181"/>
      <c r="F10" s="181"/>
      <c r="G10" s="181"/>
      <c r="H10" s="181"/>
      <c r="I10" s="181"/>
      <c r="J10" s="181"/>
      <c r="K10" s="181"/>
      <c r="L10" s="181"/>
      <c r="M10" s="181"/>
      <c r="N10" s="701"/>
    </row>
    <row r="11" spans="1:14" x14ac:dyDescent="0.25">
      <c r="A11" s="184" t="s">
        <v>684</v>
      </c>
      <c r="B11" s="181"/>
      <c r="C11" s="181"/>
      <c r="D11" s="181"/>
      <c r="E11" s="181"/>
      <c r="F11" s="181"/>
      <c r="G11" s="181"/>
      <c r="H11" s="181"/>
      <c r="I11" s="181"/>
      <c r="J11" s="181"/>
      <c r="K11" s="181"/>
      <c r="L11" s="181"/>
      <c r="M11" s="181"/>
      <c r="N11" s="701"/>
    </row>
    <row r="12" spans="1:14" x14ac:dyDescent="0.25">
      <c r="A12" s="701"/>
      <c r="B12" s="181" t="s">
        <v>164</v>
      </c>
      <c r="C12" s="181"/>
      <c r="D12" s="181"/>
      <c r="E12" s="185">
        <v>550000</v>
      </c>
      <c r="F12" s="186"/>
      <c r="G12" s="185">
        <v>0</v>
      </c>
      <c r="H12" s="185"/>
      <c r="I12" s="185">
        <v>376400</v>
      </c>
      <c r="J12" s="185"/>
      <c r="K12" s="185">
        <v>376400</v>
      </c>
      <c r="L12" s="185"/>
      <c r="M12" s="185">
        <f>K12-E12</f>
        <v>-173600</v>
      </c>
      <c r="N12" s="727"/>
    </row>
    <row r="13" spans="1:14" x14ac:dyDescent="0.25">
      <c r="A13" s="181"/>
      <c r="B13" s="181" t="s">
        <v>508</v>
      </c>
      <c r="C13" s="181"/>
      <c r="D13" s="181"/>
      <c r="E13" s="130"/>
      <c r="F13" s="130"/>
      <c r="G13" s="130"/>
      <c r="H13" s="130"/>
      <c r="I13" s="130"/>
      <c r="J13" s="130"/>
      <c r="K13" s="130"/>
      <c r="L13" s="130"/>
      <c r="M13" s="195"/>
      <c r="N13" s="727"/>
    </row>
    <row r="14" spans="1:14" x14ac:dyDescent="0.25">
      <c r="A14" s="181"/>
      <c r="B14" s="181"/>
      <c r="C14" s="181" t="s">
        <v>757</v>
      </c>
      <c r="D14" s="181"/>
      <c r="E14" s="130"/>
      <c r="F14" s="130"/>
      <c r="G14" s="130"/>
      <c r="H14" s="130"/>
      <c r="I14" s="130"/>
      <c r="J14" s="130"/>
      <c r="K14" s="130"/>
      <c r="L14" s="130"/>
      <c r="M14" s="195">
        <f t="shared" ref="M14:M21" si="0">K14-E14</f>
        <v>0</v>
      </c>
      <c r="N14" s="727"/>
    </row>
    <row r="15" spans="1:14" x14ac:dyDescent="0.25">
      <c r="A15" s="181"/>
      <c r="B15" s="181"/>
      <c r="C15" s="181"/>
      <c r="D15" s="181" t="s">
        <v>758</v>
      </c>
      <c r="E15" s="187">
        <f>300000-75000</f>
        <v>225000</v>
      </c>
      <c r="F15" s="187"/>
      <c r="G15" s="187">
        <v>0</v>
      </c>
      <c r="H15" s="187"/>
      <c r="I15" s="187">
        <f>15000-5000</f>
        <v>10000</v>
      </c>
      <c r="J15" s="187"/>
      <c r="K15" s="187">
        <f>+I15+G15</f>
        <v>10000</v>
      </c>
      <c r="L15" s="187"/>
      <c r="M15" s="195">
        <f t="shared" si="0"/>
        <v>-215000</v>
      </c>
      <c r="N15" s="727"/>
    </row>
    <row r="16" spans="1:14" x14ac:dyDescent="0.25">
      <c r="A16" s="181"/>
      <c r="B16" s="181"/>
      <c r="C16" s="181" t="s">
        <v>757</v>
      </c>
      <c r="D16" s="181"/>
      <c r="E16" s="187"/>
      <c r="F16" s="187"/>
      <c r="G16" s="187"/>
      <c r="H16" s="187"/>
      <c r="I16" s="187"/>
      <c r="J16" s="187"/>
      <c r="K16" s="187"/>
      <c r="L16" s="187"/>
      <c r="M16" s="195">
        <f t="shared" si="0"/>
        <v>0</v>
      </c>
      <c r="N16" s="727"/>
    </row>
    <row r="17" spans="1:14" x14ac:dyDescent="0.25">
      <c r="A17" s="181"/>
      <c r="B17" s="181"/>
      <c r="C17" s="181"/>
      <c r="D17" s="181" t="s">
        <v>759</v>
      </c>
      <c r="E17" s="187">
        <f>75000+700000</f>
        <v>775000</v>
      </c>
      <c r="F17" s="187"/>
      <c r="G17" s="187">
        <v>0</v>
      </c>
      <c r="H17" s="187"/>
      <c r="I17" s="187">
        <f>5000+619059</f>
        <v>624059</v>
      </c>
      <c r="J17" s="187"/>
      <c r="K17" s="187">
        <f>I17+G17</f>
        <v>624059</v>
      </c>
      <c r="L17" s="187"/>
      <c r="M17" s="195">
        <f t="shared" si="0"/>
        <v>-150941</v>
      </c>
      <c r="N17" s="727"/>
    </row>
    <row r="18" spans="1:14" x14ac:dyDescent="0.25">
      <c r="A18" s="181"/>
      <c r="B18" s="181"/>
      <c r="C18" s="181" t="s">
        <v>757</v>
      </c>
      <c r="D18" s="181"/>
      <c r="E18" s="187"/>
      <c r="F18" s="187"/>
      <c r="G18" s="187"/>
      <c r="H18" s="187"/>
      <c r="I18" s="187"/>
      <c r="J18" s="187"/>
      <c r="K18" s="187"/>
      <c r="L18" s="187"/>
      <c r="M18" s="195">
        <f t="shared" si="0"/>
        <v>0</v>
      </c>
      <c r="N18" s="727"/>
    </row>
    <row r="19" spans="1:14" x14ac:dyDescent="0.25">
      <c r="A19" s="181"/>
      <c r="B19" s="181"/>
      <c r="C19" s="181"/>
      <c r="D19" s="181" t="s">
        <v>760</v>
      </c>
      <c r="E19" s="187">
        <v>1000000</v>
      </c>
      <c r="F19" s="187"/>
      <c r="G19" s="187">
        <v>0</v>
      </c>
      <c r="H19" s="187"/>
      <c r="I19" s="187">
        <v>32770</v>
      </c>
      <c r="J19" s="187"/>
      <c r="K19" s="187">
        <f>SUM(G19:I19)</f>
        <v>32770</v>
      </c>
      <c r="L19" s="187"/>
      <c r="M19" s="195">
        <f t="shared" si="0"/>
        <v>-967230</v>
      </c>
      <c r="N19" s="727"/>
    </row>
    <row r="20" spans="1:14" x14ac:dyDescent="0.25">
      <c r="A20" s="181"/>
      <c r="B20" s="181" t="s">
        <v>169</v>
      </c>
      <c r="C20" s="181"/>
      <c r="D20" s="181"/>
      <c r="E20" s="188">
        <v>30000</v>
      </c>
      <c r="F20" s="189"/>
      <c r="G20" s="188">
        <v>0</v>
      </c>
      <c r="H20" s="189"/>
      <c r="I20" s="188">
        <v>16700</v>
      </c>
      <c r="J20" s="189"/>
      <c r="K20" s="187">
        <f>SUM(G20:I20)</f>
        <v>16700</v>
      </c>
      <c r="L20" s="189"/>
      <c r="M20" s="195">
        <f t="shared" si="0"/>
        <v>-13300</v>
      </c>
      <c r="N20" s="727"/>
    </row>
    <row r="21" spans="1:14" x14ac:dyDescent="0.25">
      <c r="A21" s="181"/>
      <c r="B21" s="181"/>
      <c r="C21" s="181"/>
      <c r="D21" s="181" t="s">
        <v>171</v>
      </c>
      <c r="E21" s="190">
        <f>SUM(E12:E20)</f>
        <v>2580000</v>
      </c>
      <c r="F21" s="189"/>
      <c r="G21" s="190">
        <f>SUM(G12:G20)</f>
        <v>0</v>
      </c>
      <c r="H21" s="189"/>
      <c r="I21" s="190">
        <f>SUM(I12:I20)</f>
        <v>1059929</v>
      </c>
      <c r="J21" s="189"/>
      <c r="K21" s="197">
        <f>SUM(K12:K20)</f>
        <v>1059929</v>
      </c>
      <c r="L21" s="189"/>
      <c r="M21" s="196">
        <f t="shared" si="0"/>
        <v>-1520071</v>
      </c>
      <c r="N21" s="727"/>
    </row>
    <row r="22" spans="1:14" x14ac:dyDescent="0.25">
      <c r="A22" s="181"/>
      <c r="B22" s="181"/>
      <c r="C22" s="181"/>
      <c r="D22" s="181"/>
      <c r="E22" s="189"/>
      <c r="F22" s="189"/>
      <c r="G22" s="189"/>
      <c r="H22" s="189"/>
      <c r="I22" s="187"/>
      <c r="J22" s="189"/>
      <c r="K22" s="189"/>
      <c r="L22" s="189"/>
      <c r="M22" s="189"/>
      <c r="N22" s="701"/>
    </row>
    <row r="23" spans="1:14" x14ac:dyDescent="0.25">
      <c r="A23" s="184" t="s">
        <v>224</v>
      </c>
      <c r="B23" s="181"/>
      <c r="C23" s="181"/>
      <c r="D23" s="181"/>
      <c r="E23" s="189"/>
      <c r="F23" s="189"/>
      <c r="G23" s="189"/>
      <c r="H23" s="189"/>
      <c r="I23" s="187"/>
      <c r="J23" s="189"/>
      <c r="K23" s="189"/>
      <c r="L23" s="189"/>
      <c r="M23" s="189"/>
      <c r="N23" s="701"/>
    </row>
    <row r="24" spans="1:14" x14ac:dyDescent="0.25">
      <c r="A24" s="181"/>
      <c r="B24" s="181" t="s">
        <v>761</v>
      </c>
      <c r="C24" s="181"/>
      <c r="D24" s="181"/>
      <c r="E24" s="189"/>
      <c r="F24" s="189"/>
      <c r="G24" s="189"/>
      <c r="H24" s="189"/>
      <c r="I24" s="187"/>
      <c r="J24" s="189"/>
      <c r="K24" s="189"/>
      <c r="L24" s="189"/>
      <c r="M24" s="189"/>
      <c r="N24" s="701"/>
    </row>
    <row r="25" spans="1:14" x14ac:dyDescent="0.25">
      <c r="A25" s="181"/>
      <c r="B25" s="181"/>
      <c r="C25" s="181" t="s">
        <v>762</v>
      </c>
      <c r="D25" s="181"/>
      <c r="E25" s="187">
        <v>1553725</v>
      </c>
      <c r="F25" s="189"/>
      <c r="G25" s="187">
        <v>0</v>
      </c>
      <c r="H25" s="189"/>
      <c r="I25" s="187">
        <v>334200</v>
      </c>
      <c r="J25" s="189"/>
      <c r="K25" s="189">
        <v>334200</v>
      </c>
      <c r="L25" s="189"/>
      <c r="M25" s="189">
        <f>E25-K25</f>
        <v>1219525</v>
      </c>
      <c r="N25" s="728"/>
    </row>
    <row r="26" spans="1:14" x14ac:dyDescent="0.25">
      <c r="A26" s="181"/>
      <c r="B26" s="181"/>
      <c r="C26" s="181" t="s">
        <v>763</v>
      </c>
      <c r="D26" s="181"/>
      <c r="E26" s="187">
        <v>1745893</v>
      </c>
      <c r="F26" s="189"/>
      <c r="G26" s="187">
        <v>0</v>
      </c>
      <c r="H26" s="189"/>
      <c r="I26" s="187">
        <v>466000</v>
      </c>
      <c r="J26" s="189"/>
      <c r="K26" s="189">
        <v>466000</v>
      </c>
      <c r="L26" s="189"/>
      <c r="M26" s="189">
        <f>E26-K26</f>
        <v>1279893</v>
      </c>
      <c r="N26" s="728"/>
    </row>
    <row r="27" spans="1:14" x14ac:dyDescent="0.25">
      <c r="A27" s="181"/>
      <c r="B27" s="181"/>
      <c r="C27" s="181" t="s">
        <v>764</v>
      </c>
      <c r="D27" s="181"/>
      <c r="E27" s="187">
        <v>75000</v>
      </c>
      <c r="F27" s="189"/>
      <c r="G27" s="187">
        <v>0</v>
      </c>
      <c r="H27" s="189"/>
      <c r="I27" s="187">
        <v>5000</v>
      </c>
      <c r="J27" s="189"/>
      <c r="K27" s="189">
        <f>SUM(G27:I27)</f>
        <v>5000</v>
      </c>
      <c r="L27" s="189"/>
      <c r="M27" s="189">
        <f>E27-K27</f>
        <v>70000</v>
      </c>
      <c r="N27" s="728"/>
    </row>
    <row r="28" spans="1:14" x14ac:dyDescent="0.25">
      <c r="A28" s="181"/>
      <c r="B28" s="181"/>
      <c r="C28" s="181" t="s">
        <v>765</v>
      </c>
      <c r="D28" s="181"/>
      <c r="E28" s="188">
        <f>2838932-75000</f>
        <v>2763932</v>
      </c>
      <c r="F28" s="189"/>
      <c r="G28" s="188">
        <v>0</v>
      </c>
      <c r="H28" s="189"/>
      <c r="I28" s="188">
        <f>900400-5000</f>
        <v>895400</v>
      </c>
      <c r="J28" s="189"/>
      <c r="K28" s="190">
        <f>SUM(I28:J28)</f>
        <v>895400</v>
      </c>
      <c r="L28" s="189"/>
      <c r="M28" s="189">
        <f>E28-K28</f>
        <v>1868532</v>
      </c>
      <c r="N28" s="728"/>
    </row>
    <row r="29" spans="1:14" x14ac:dyDescent="0.25">
      <c r="A29" s="181"/>
      <c r="B29" s="181"/>
      <c r="C29" s="181"/>
      <c r="D29" s="181" t="s">
        <v>183</v>
      </c>
      <c r="E29" s="188">
        <f>SUM(E25:E28)</f>
        <v>6138550</v>
      </c>
      <c r="F29" s="189"/>
      <c r="G29" s="188">
        <f>SUM(G25:G28)</f>
        <v>0</v>
      </c>
      <c r="H29" s="189"/>
      <c r="I29" s="188">
        <f>SUM(I25:I28)</f>
        <v>1700600</v>
      </c>
      <c r="J29" s="189"/>
      <c r="K29" s="188">
        <f>SUM(K25:K28)</f>
        <v>1700600</v>
      </c>
      <c r="L29" s="189"/>
      <c r="M29" s="197">
        <f>E29-K29</f>
        <v>4437950</v>
      </c>
      <c r="N29" s="728"/>
    </row>
    <row r="30" spans="1:14" x14ac:dyDescent="0.25">
      <c r="A30" s="181"/>
      <c r="B30" s="181"/>
      <c r="C30" s="181"/>
      <c r="D30" s="181"/>
      <c r="E30" s="187"/>
      <c r="F30" s="189"/>
      <c r="G30" s="187"/>
      <c r="H30" s="189"/>
      <c r="I30" s="187"/>
      <c r="J30" s="189"/>
      <c r="K30" s="189"/>
      <c r="L30" s="189"/>
      <c r="M30" s="189"/>
      <c r="N30" s="701"/>
    </row>
    <row r="31" spans="1:14" x14ac:dyDescent="0.25">
      <c r="A31" s="181" t="s">
        <v>766</v>
      </c>
      <c r="B31" s="181"/>
      <c r="C31" s="181"/>
      <c r="D31" s="181"/>
      <c r="E31" s="187"/>
      <c r="F31" s="189"/>
      <c r="G31" s="187"/>
      <c r="H31" s="189"/>
      <c r="I31" s="187"/>
      <c r="J31" s="189"/>
      <c r="K31" s="189"/>
      <c r="L31" s="189"/>
      <c r="M31" s="189"/>
      <c r="N31" s="701"/>
    </row>
    <row r="32" spans="1:14" x14ac:dyDescent="0.25">
      <c r="A32" s="181"/>
      <c r="B32" s="181" t="s">
        <v>767</v>
      </c>
      <c r="C32" s="181"/>
      <c r="D32" s="181"/>
      <c r="E32" s="188">
        <f>E21-E29</f>
        <v>-3558550</v>
      </c>
      <c r="F32" s="189"/>
      <c r="G32" s="188">
        <f>G21-G29</f>
        <v>0</v>
      </c>
      <c r="H32" s="189"/>
      <c r="I32" s="188">
        <f>I21-I29</f>
        <v>-640671</v>
      </c>
      <c r="J32" s="189"/>
      <c r="K32" s="188">
        <f>K21-K29</f>
        <v>-640671</v>
      </c>
      <c r="L32" s="189"/>
      <c r="M32" s="188">
        <f>+M29+M21</f>
        <v>2917879</v>
      </c>
      <c r="N32" s="701"/>
    </row>
    <row r="33" spans="1:14" x14ac:dyDescent="0.25">
      <c r="A33" s="181"/>
      <c r="B33" s="181"/>
      <c r="C33" s="181"/>
      <c r="D33" s="181"/>
      <c r="E33" s="187"/>
      <c r="F33" s="189"/>
      <c r="G33" s="187"/>
      <c r="H33" s="189"/>
      <c r="I33" s="187"/>
      <c r="J33" s="189"/>
      <c r="K33" s="189"/>
      <c r="L33" s="189"/>
      <c r="M33" s="189"/>
      <c r="N33" s="701"/>
    </row>
    <row r="34" spans="1:14" x14ac:dyDescent="0.25">
      <c r="A34" s="181" t="s">
        <v>637</v>
      </c>
      <c r="B34" s="181"/>
      <c r="C34" s="181"/>
      <c r="D34" s="181"/>
      <c r="E34" s="187"/>
      <c r="F34" s="189"/>
      <c r="G34" s="187"/>
      <c r="H34" s="189"/>
      <c r="I34" s="187"/>
      <c r="J34" s="189"/>
      <c r="K34" s="189"/>
      <c r="L34" s="189"/>
      <c r="M34" s="189"/>
      <c r="N34" s="701"/>
    </row>
    <row r="35" spans="1:14" x14ac:dyDescent="0.25">
      <c r="A35" s="181"/>
      <c r="B35" s="181"/>
      <c r="C35" s="181"/>
      <c r="D35" s="181"/>
      <c r="E35" s="187"/>
      <c r="F35" s="189"/>
      <c r="G35" s="187"/>
      <c r="H35" s="189"/>
      <c r="I35" s="187"/>
      <c r="J35" s="189"/>
      <c r="K35" s="189"/>
      <c r="L35" s="189"/>
      <c r="M35" s="189"/>
      <c r="N35" s="701"/>
    </row>
    <row r="36" spans="1:14" ht="26.1" customHeight="1" x14ac:dyDescent="0.25">
      <c r="A36" s="181"/>
      <c r="B36" s="1026" t="s">
        <v>190</v>
      </c>
      <c r="C36" s="1029"/>
      <c r="D36" s="1029"/>
      <c r="E36" s="187">
        <v>3518550</v>
      </c>
      <c r="F36" s="189"/>
      <c r="G36" s="187">
        <v>0</v>
      </c>
      <c r="H36" s="189"/>
      <c r="I36" s="187">
        <v>1200000</v>
      </c>
      <c r="J36" s="189"/>
      <c r="K36" s="189">
        <v>1200000</v>
      </c>
      <c r="L36" s="189"/>
      <c r="M36" s="189">
        <f>K36-E36</f>
        <v>-2318550</v>
      </c>
      <c r="N36" s="728"/>
    </row>
    <row r="37" spans="1:14" x14ac:dyDescent="0.25">
      <c r="A37" s="181"/>
      <c r="B37" s="181" t="s">
        <v>768</v>
      </c>
      <c r="C37" s="181"/>
      <c r="D37" s="181"/>
      <c r="E37" s="187"/>
      <c r="F37" s="189"/>
      <c r="G37" s="187"/>
      <c r="H37" s="189"/>
      <c r="I37" s="187"/>
      <c r="J37" s="189"/>
      <c r="K37" s="189"/>
      <c r="L37" s="189"/>
      <c r="M37" s="189"/>
      <c r="N37" s="701"/>
    </row>
    <row r="38" spans="1:14" x14ac:dyDescent="0.25">
      <c r="A38" s="181"/>
      <c r="B38" s="181"/>
      <c r="C38" s="181" t="s">
        <v>161</v>
      </c>
      <c r="D38" s="181"/>
      <c r="E38" s="187">
        <v>740000</v>
      </c>
      <c r="F38" s="189"/>
      <c r="G38" s="187">
        <v>0</v>
      </c>
      <c r="H38" s="189"/>
      <c r="I38" s="187">
        <v>70000</v>
      </c>
      <c r="J38" s="189"/>
      <c r="K38" s="189">
        <v>70000</v>
      </c>
      <c r="L38" s="189"/>
      <c r="M38" s="189">
        <f>K38-E38</f>
        <v>-670000</v>
      </c>
      <c r="N38" s="701"/>
    </row>
    <row r="39" spans="1:14" x14ac:dyDescent="0.25">
      <c r="A39" s="181"/>
      <c r="B39" s="181" t="s">
        <v>769</v>
      </c>
      <c r="C39" s="181"/>
      <c r="D39" s="181"/>
      <c r="E39" s="187"/>
      <c r="F39" s="189"/>
      <c r="G39" s="187"/>
      <c r="H39" s="189"/>
      <c r="I39" s="187"/>
      <c r="J39" s="189"/>
      <c r="K39" s="189"/>
      <c r="L39" s="189"/>
      <c r="M39" s="189"/>
      <c r="N39" s="701"/>
    </row>
    <row r="40" spans="1:14" x14ac:dyDescent="0.25">
      <c r="A40" s="181"/>
      <c r="B40" s="181"/>
      <c r="C40" s="181" t="s">
        <v>161</v>
      </c>
      <c r="D40" s="181"/>
      <c r="E40" s="188">
        <v>-700000</v>
      </c>
      <c r="F40" s="189"/>
      <c r="G40" s="188">
        <v>0</v>
      </c>
      <c r="H40" s="189"/>
      <c r="I40" s="188">
        <v>-619059</v>
      </c>
      <c r="J40" s="189"/>
      <c r="K40" s="190">
        <f>I40</f>
        <v>-619059</v>
      </c>
      <c r="L40" s="189"/>
      <c r="M40" s="190">
        <f>K40-E40</f>
        <v>80941</v>
      </c>
      <c r="N40" s="701"/>
    </row>
    <row r="41" spans="1:14" x14ac:dyDescent="0.25">
      <c r="A41" s="181"/>
      <c r="B41" s="181"/>
      <c r="C41" s="181"/>
      <c r="D41" s="181" t="s">
        <v>632</v>
      </c>
      <c r="E41" s="189"/>
      <c r="F41" s="189"/>
      <c r="G41" s="187"/>
      <c r="H41" s="189"/>
      <c r="I41" s="187"/>
      <c r="J41" s="189"/>
      <c r="K41" s="189"/>
      <c r="L41" s="189"/>
      <c r="M41" s="189"/>
      <c r="N41" s="701"/>
    </row>
    <row r="42" spans="1:14" x14ac:dyDescent="0.25">
      <c r="A42" s="181"/>
      <c r="B42" s="181"/>
      <c r="C42" s="181"/>
      <c r="D42" s="181" t="s">
        <v>770</v>
      </c>
      <c r="E42" s="190">
        <f>SUM(E36:E40)</f>
        <v>3558550</v>
      </c>
      <c r="F42" s="189"/>
      <c r="G42" s="190">
        <f>SUM(G36:G40)</f>
        <v>0</v>
      </c>
      <c r="H42" s="189"/>
      <c r="I42" s="190">
        <f>SUM(I36:I40)</f>
        <v>650941</v>
      </c>
      <c r="J42" s="189"/>
      <c r="K42" s="190">
        <f>SUM(K36:K40)</f>
        <v>650941</v>
      </c>
      <c r="L42" s="189"/>
      <c r="M42" s="190">
        <f>K42-E42</f>
        <v>-2907609</v>
      </c>
      <c r="N42" s="701"/>
    </row>
    <row r="43" spans="1:14" x14ac:dyDescent="0.25">
      <c r="A43" s="181"/>
      <c r="B43" s="181"/>
      <c r="C43" s="181"/>
      <c r="D43" s="181"/>
      <c r="E43" s="189"/>
      <c r="F43" s="189"/>
      <c r="G43" s="189"/>
      <c r="H43" s="189"/>
      <c r="I43" s="187"/>
      <c r="J43" s="189"/>
      <c r="K43" s="189"/>
      <c r="L43" s="189"/>
      <c r="M43" s="189"/>
      <c r="N43" s="701"/>
    </row>
    <row r="44" spans="1:14" x14ac:dyDescent="0.25">
      <c r="A44" s="181" t="s">
        <v>752</v>
      </c>
      <c r="B44" s="181"/>
      <c r="C44" s="181"/>
      <c r="D44" s="181"/>
      <c r="E44" s="189"/>
      <c r="F44" s="189"/>
      <c r="G44" s="189"/>
      <c r="H44" s="189"/>
      <c r="I44" s="187"/>
      <c r="J44" s="189"/>
      <c r="K44" s="189"/>
      <c r="L44" s="189"/>
      <c r="M44" s="189"/>
      <c r="N44" s="701"/>
    </row>
    <row r="45" spans="1:14" ht="13.8" thickBot="1" x14ac:dyDescent="0.3">
      <c r="A45" s="181"/>
      <c r="B45" s="181" t="s">
        <v>771</v>
      </c>
      <c r="C45" s="181"/>
      <c r="D45" s="181"/>
      <c r="E45" s="198">
        <f>E42+E32</f>
        <v>0</v>
      </c>
      <c r="F45" s="189"/>
      <c r="G45" s="198">
        <f>G42+G32</f>
        <v>0</v>
      </c>
      <c r="H45" s="181"/>
      <c r="I45" s="130">
        <f>I42+I32</f>
        <v>10270</v>
      </c>
      <c r="J45" s="181"/>
      <c r="K45" s="161">
        <f>K42+K32</f>
        <v>10270</v>
      </c>
      <c r="L45" s="181"/>
      <c r="M45" s="161">
        <f>M42+M32</f>
        <v>10270</v>
      </c>
      <c r="N45" s="701"/>
    </row>
    <row r="46" spans="1:14" ht="13.8" thickTop="1" x14ac:dyDescent="0.25">
      <c r="A46" s="181"/>
      <c r="B46" s="181"/>
      <c r="C46" s="181"/>
      <c r="D46" s="181"/>
      <c r="E46" s="181"/>
      <c r="F46" s="189"/>
      <c r="G46" s="181"/>
      <c r="H46" s="181"/>
      <c r="I46" s="130"/>
      <c r="J46" s="181"/>
      <c r="K46" s="181"/>
      <c r="L46" s="181"/>
      <c r="M46" s="181"/>
      <c r="N46" s="701"/>
    </row>
    <row r="47" spans="1:14" x14ac:dyDescent="0.25">
      <c r="A47" s="648" t="s">
        <v>644</v>
      </c>
      <c r="B47" s="181"/>
      <c r="C47" s="181"/>
      <c r="D47" s="181"/>
      <c r="E47" s="181"/>
      <c r="F47" s="181"/>
      <c r="G47" s="181"/>
      <c r="H47" s="181"/>
      <c r="I47" s="191">
        <v>0</v>
      </c>
      <c r="J47" s="181"/>
      <c r="K47" s="181"/>
      <c r="L47" s="181"/>
      <c r="M47" s="181"/>
      <c r="N47" s="701"/>
    </row>
    <row r="48" spans="1:14" ht="13.8" thickBot="1" x14ac:dyDescent="0.3">
      <c r="A48" s="648" t="s">
        <v>634</v>
      </c>
      <c r="B48" s="181"/>
      <c r="C48" s="181"/>
      <c r="D48" s="181"/>
      <c r="E48" s="181"/>
      <c r="F48" s="181"/>
      <c r="G48" s="181"/>
      <c r="H48" s="181"/>
      <c r="I48" s="161">
        <f>I45+I47</f>
        <v>10270</v>
      </c>
      <c r="J48" s="181"/>
      <c r="K48" s="181"/>
      <c r="L48" s="181"/>
      <c r="M48" s="365" t="s">
        <v>772</v>
      </c>
      <c r="N48" s="701"/>
    </row>
    <row r="49" spans="1:13" ht="13.8" thickTop="1" x14ac:dyDescent="0.25">
      <c r="A49" s="648"/>
      <c r="B49" s="181"/>
      <c r="C49" s="181"/>
      <c r="D49" s="181"/>
      <c r="E49" s="181"/>
      <c r="F49" s="181"/>
      <c r="G49" s="181"/>
      <c r="H49" s="181"/>
      <c r="I49" s="192"/>
      <c r="J49" s="181"/>
      <c r="K49" s="181"/>
      <c r="L49" s="181"/>
      <c r="M49" s="181"/>
    </row>
    <row r="50" spans="1:13" x14ac:dyDescent="0.25">
      <c r="A50" s="1014" t="s">
        <v>1</v>
      </c>
      <c r="B50" s="1014"/>
      <c r="C50" s="1014"/>
      <c r="D50" s="1014"/>
      <c r="E50" s="1014"/>
      <c r="F50" s="1014"/>
      <c r="G50" s="1014"/>
      <c r="H50" s="1014"/>
      <c r="I50" s="1014"/>
      <c r="J50" s="1014"/>
      <c r="K50" s="1014"/>
      <c r="L50" s="1014"/>
      <c r="M50" s="1014"/>
    </row>
    <row r="51" spans="1:13" ht="12.75" customHeight="1" x14ac:dyDescent="0.25">
      <c r="A51" s="1014" t="s">
        <v>626</v>
      </c>
      <c r="B51" s="1014"/>
      <c r="C51" s="1014"/>
      <c r="D51" s="1014"/>
      <c r="E51" s="1014"/>
      <c r="F51" s="1014"/>
      <c r="G51" s="1014"/>
      <c r="H51" s="1014"/>
      <c r="I51" s="1014"/>
      <c r="J51" s="1014"/>
      <c r="K51" s="1014"/>
      <c r="L51" s="1014"/>
      <c r="M51" s="1014"/>
    </row>
    <row r="52" spans="1:13" x14ac:dyDescent="0.25">
      <c r="A52" s="1014" t="s">
        <v>490</v>
      </c>
      <c r="B52" s="1014"/>
      <c r="C52" s="1014"/>
      <c r="D52" s="1014"/>
      <c r="E52" s="1014"/>
      <c r="F52" s="1014"/>
      <c r="G52" s="1014"/>
      <c r="H52" s="1014"/>
      <c r="I52" s="1014"/>
      <c r="J52" s="1014"/>
      <c r="K52" s="1014"/>
      <c r="L52" s="1014"/>
      <c r="M52" s="1014"/>
    </row>
    <row r="53" spans="1:13" x14ac:dyDescent="0.25">
      <c r="A53" s="1014" t="s">
        <v>491</v>
      </c>
      <c r="B53" s="1014"/>
      <c r="C53" s="1014"/>
      <c r="D53" s="1014"/>
      <c r="E53" s="1014"/>
      <c r="F53" s="1014"/>
      <c r="G53" s="1014"/>
      <c r="H53" s="1014"/>
      <c r="I53" s="1014"/>
      <c r="J53" s="1014"/>
      <c r="K53" s="1014"/>
      <c r="L53" s="1014"/>
      <c r="M53" s="1014"/>
    </row>
    <row r="54" spans="1:13" ht="13.8" thickBot="1" x14ac:dyDescent="0.3">
      <c r="A54" s="1015" t="str">
        <f>A5</f>
        <v>From Inception and for the Fiscal Year Ended June 30, 2022</v>
      </c>
      <c r="B54" s="1015"/>
      <c r="C54" s="1015"/>
      <c r="D54" s="1015"/>
      <c r="E54" s="1015"/>
      <c r="F54" s="1015"/>
      <c r="G54" s="1015"/>
      <c r="H54" s="1015"/>
      <c r="I54" s="1015"/>
      <c r="J54" s="1015"/>
      <c r="K54" s="1015"/>
      <c r="L54" s="1015"/>
      <c r="M54" s="1015"/>
    </row>
    <row r="55" spans="1:13" x14ac:dyDescent="0.25">
      <c r="A55" s="649"/>
      <c r="B55" s="649"/>
      <c r="C55" s="649"/>
      <c r="D55" s="649"/>
      <c r="E55" s="649"/>
      <c r="F55" s="649"/>
      <c r="G55" s="649"/>
      <c r="H55" s="649"/>
      <c r="I55" s="649"/>
      <c r="J55" s="649"/>
      <c r="K55" s="649"/>
      <c r="L55" s="649"/>
      <c r="M55" s="365" t="s">
        <v>772</v>
      </c>
    </row>
    <row r="56" spans="1:13" ht="13.5" customHeight="1" x14ac:dyDescent="0.25">
      <c r="A56" s="1028" t="s">
        <v>773</v>
      </c>
      <c r="B56" s="1028"/>
      <c r="C56" s="1028"/>
      <c r="D56" s="1028"/>
      <c r="E56" s="1028"/>
      <c r="F56" s="649"/>
      <c r="G56" s="649"/>
      <c r="H56" s="649"/>
      <c r="I56" s="199">
        <f>I48</f>
        <v>10270</v>
      </c>
      <c r="J56" s="649"/>
      <c r="K56" s="649"/>
      <c r="L56" s="649"/>
      <c r="M56" s="649"/>
    </row>
    <row r="57" spans="1:13" ht="30.75" customHeight="1" x14ac:dyDescent="0.25">
      <c r="A57" s="1026" t="s">
        <v>774</v>
      </c>
      <c r="B57" s="1027"/>
      <c r="C57" s="1027"/>
      <c r="D57" s="1027"/>
      <c r="E57" s="1027"/>
      <c r="F57" s="1027"/>
      <c r="G57" s="1027"/>
      <c r="H57" s="181"/>
      <c r="I57" s="181"/>
      <c r="J57" s="701"/>
      <c r="K57" s="701"/>
      <c r="L57" s="701"/>
      <c r="M57" s="701"/>
    </row>
    <row r="58" spans="1:13" x14ac:dyDescent="0.25">
      <c r="A58" s="1027"/>
      <c r="B58" s="1027"/>
      <c r="C58" s="1027"/>
      <c r="D58" s="1027"/>
      <c r="E58" s="1027"/>
      <c r="F58" s="1027"/>
      <c r="G58" s="1027"/>
      <c r="H58" s="181"/>
      <c r="I58" s="181"/>
      <c r="J58" s="701"/>
      <c r="K58" s="701"/>
      <c r="L58" s="701"/>
      <c r="M58" s="701"/>
    </row>
    <row r="59" spans="1:13" x14ac:dyDescent="0.25">
      <c r="A59" s="181"/>
      <c r="B59" s="181" t="s">
        <v>775</v>
      </c>
      <c r="C59" s="181"/>
      <c r="D59" s="181"/>
      <c r="E59" s="181"/>
      <c r="F59" s="193"/>
      <c r="G59" s="130"/>
      <c r="H59" s="130"/>
      <c r="I59" s="130">
        <v>21550</v>
      </c>
      <c r="J59" s="701"/>
      <c r="K59" s="701"/>
      <c r="L59" s="701"/>
      <c r="M59" s="701"/>
    </row>
    <row r="60" spans="1:13" ht="15.75" customHeight="1" x14ac:dyDescent="0.25">
      <c r="A60" s="181"/>
      <c r="B60" s="181" t="s">
        <v>776</v>
      </c>
      <c r="C60" s="181"/>
      <c r="D60" s="181"/>
      <c r="E60" s="181"/>
      <c r="F60" s="193"/>
      <c r="G60" s="130"/>
      <c r="H60" s="130"/>
      <c r="I60" s="130">
        <v>200000</v>
      </c>
      <c r="J60" s="701"/>
      <c r="K60" s="701"/>
      <c r="L60" s="701"/>
      <c r="M60" s="701"/>
    </row>
    <row r="61" spans="1:13" x14ac:dyDescent="0.25">
      <c r="A61" s="181" t="s">
        <v>777</v>
      </c>
      <c r="B61" s="181"/>
      <c r="C61" s="181"/>
      <c r="D61" s="181"/>
      <c r="E61" s="181"/>
      <c r="F61" s="193"/>
      <c r="G61" s="130"/>
      <c r="H61" s="130"/>
      <c r="I61" s="130">
        <v>337000</v>
      </c>
      <c r="J61" s="701"/>
      <c r="K61" s="701"/>
      <c r="L61" s="701"/>
      <c r="M61" s="701"/>
    </row>
    <row r="62" spans="1:13" ht="13.8" thickBot="1" x14ac:dyDescent="0.3">
      <c r="A62" s="181" t="s">
        <v>778</v>
      </c>
      <c r="B62" s="181"/>
      <c r="C62" s="181"/>
      <c r="D62" s="181"/>
      <c r="E62" s="181"/>
      <c r="F62" s="193"/>
      <c r="G62" s="130"/>
      <c r="H62" s="130"/>
      <c r="I62" s="194">
        <f>I61+I60+I59+I48</f>
        <v>568820</v>
      </c>
      <c r="J62" s="701"/>
      <c r="K62" s="701"/>
      <c r="L62" s="701"/>
      <c r="M62" s="701"/>
    </row>
    <row r="63" spans="1:13" ht="13.8" thickTop="1" x14ac:dyDescent="0.25">
      <c r="A63" s="701"/>
      <c r="B63" s="701"/>
      <c r="C63" s="701"/>
      <c r="D63" s="701"/>
      <c r="E63" s="701"/>
      <c r="F63" s="701"/>
      <c r="G63" s="701"/>
      <c r="H63" s="701"/>
      <c r="I63" s="701"/>
      <c r="J63" s="701"/>
      <c r="K63" s="701"/>
      <c r="L63" s="701"/>
      <c r="M63" s="701"/>
    </row>
    <row r="64" spans="1:13" ht="13.8" thickBot="1" x14ac:dyDescent="0.3">
      <c r="A64" s="701"/>
      <c r="B64" s="701"/>
      <c r="C64" s="701"/>
      <c r="D64" s="701"/>
      <c r="E64" s="701"/>
      <c r="F64" s="701"/>
      <c r="G64" s="701"/>
      <c r="H64" s="701"/>
      <c r="I64" s="701"/>
      <c r="J64" s="701"/>
      <c r="K64" s="701"/>
      <c r="L64" s="701"/>
      <c r="M64" s="701"/>
    </row>
    <row r="65" spans="2:13" ht="15" customHeight="1" x14ac:dyDescent="0.25">
      <c r="B65" s="1016" t="s">
        <v>779</v>
      </c>
      <c r="C65" s="1017"/>
      <c r="D65" s="1017"/>
      <c r="E65" s="1017"/>
      <c r="F65" s="1017"/>
      <c r="G65" s="1017"/>
      <c r="H65" s="1017"/>
      <c r="I65" s="1017"/>
      <c r="J65" s="1017"/>
      <c r="K65" s="1017"/>
      <c r="L65" s="1017"/>
      <c r="M65" s="1018"/>
    </row>
    <row r="66" spans="2:13" ht="15" customHeight="1" x14ac:dyDescent="0.25">
      <c r="B66" s="1019"/>
      <c r="C66" s="1020"/>
      <c r="D66" s="1020"/>
      <c r="E66" s="1020"/>
      <c r="F66" s="1020"/>
      <c r="G66" s="1020"/>
      <c r="H66" s="1020"/>
      <c r="I66" s="1020"/>
      <c r="J66" s="1020"/>
      <c r="K66" s="1020"/>
      <c r="L66" s="1020"/>
      <c r="M66" s="1021"/>
    </row>
    <row r="67" spans="2:13" ht="15" customHeight="1" x14ac:dyDescent="0.25">
      <c r="B67" s="1019"/>
      <c r="C67" s="1020"/>
      <c r="D67" s="1020"/>
      <c r="E67" s="1020"/>
      <c r="F67" s="1020"/>
      <c r="G67" s="1020"/>
      <c r="H67" s="1020"/>
      <c r="I67" s="1020"/>
      <c r="J67" s="1020"/>
      <c r="K67" s="1020"/>
      <c r="L67" s="1020"/>
      <c r="M67" s="1021"/>
    </row>
    <row r="68" spans="2:13" ht="15" customHeight="1" x14ac:dyDescent="0.25">
      <c r="B68" s="1019"/>
      <c r="C68" s="1020"/>
      <c r="D68" s="1020"/>
      <c r="E68" s="1020"/>
      <c r="F68" s="1020"/>
      <c r="G68" s="1020"/>
      <c r="H68" s="1020"/>
      <c r="I68" s="1020"/>
      <c r="J68" s="1020"/>
      <c r="K68" s="1020"/>
      <c r="L68" s="1020"/>
      <c r="M68" s="1021"/>
    </row>
    <row r="69" spans="2:13" ht="13.8" thickBot="1" x14ac:dyDescent="0.3">
      <c r="B69" s="1022"/>
      <c r="C69" s="1023"/>
      <c r="D69" s="1023"/>
      <c r="E69" s="1023"/>
      <c r="F69" s="1023"/>
      <c r="G69" s="1023"/>
      <c r="H69" s="1023"/>
      <c r="I69" s="1023"/>
      <c r="J69" s="1023"/>
      <c r="K69" s="1023"/>
      <c r="L69" s="1023"/>
      <c r="M69" s="1024"/>
    </row>
    <row r="81" spans="7:7" x14ac:dyDescent="0.25">
      <c r="G81" s="647"/>
    </row>
  </sheetData>
  <customSheetViews>
    <customSheetView guid="{A8748736-0722-49EB-85B6-C9B52DDCFE0E}" fitToPage="1">
      <selection activeCell="A5" sqref="A5:M5"/>
      <rowBreaks count="1" manualBreakCount="1">
        <brk id="49" max="16383" man="1"/>
      </rowBreaks>
      <pageMargins left="0.75" right="0.75" top="1" bottom="1" header="0.5" footer="0.5"/>
      <printOptions horizontalCentered="1"/>
      <pageSetup firstPageNumber="119" fitToHeight="0" orientation="portrait" useFirstPageNumber="1" r:id="rId1"/>
      <headerFooter alignWithMargins="0"/>
    </customSheetView>
    <customSheetView guid="{E0C60316-4586-4AAF-92CB-FA82BB1EB755}" fitToPage="1" topLeftCell="A13">
      <selection sqref="A1:M1"/>
      <rowBreaks count="1" manualBreakCount="1">
        <brk id="49" max="16383" man="1"/>
      </rowBreaks>
      <pageMargins left="0" right="0" top="0" bottom="0" header="0" footer="0"/>
      <printOptions horizontalCentered="1"/>
      <pageSetup firstPageNumber="119" fitToHeight="0" orientation="portrait" useFirstPageNumber="1" r:id="rId2"/>
      <headerFooter alignWithMargins="0"/>
    </customSheetView>
  </customSheetViews>
  <mergeCells count="15">
    <mergeCell ref="B65:M69"/>
    <mergeCell ref="A6:M6"/>
    <mergeCell ref="A57:G58"/>
    <mergeCell ref="A50:M50"/>
    <mergeCell ref="A51:M51"/>
    <mergeCell ref="A52:M52"/>
    <mergeCell ref="A53:M53"/>
    <mergeCell ref="A54:M54"/>
    <mergeCell ref="A56:E56"/>
    <mergeCell ref="B36:D36"/>
    <mergeCell ref="A1:M1"/>
    <mergeCell ref="A2:M2"/>
    <mergeCell ref="A3:M3"/>
    <mergeCell ref="A4:M4"/>
    <mergeCell ref="A5:M5"/>
  </mergeCells>
  <printOptions horizontalCentered="1"/>
  <pageMargins left="0.75" right="0.75" top="1" bottom="1" header="0.5" footer="0.5"/>
  <pageSetup firstPageNumber="119" fitToHeight="0" orientation="portrait" useFirstPageNumber="1" r:id="rId3"/>
  <headerFooter alignWithMargins="0"/>
  <rowBreaks count="1" manualBreakCount="1">
    <brk id="49"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tint="-0.14999847407452621"/>
    <pageSetUpPr fitToPage="1"/>
  </sheetPr>
  <dimension ref="A1:N31"/>
  <sheetViews>
    <sheetView workbookViewId="0">
      <selection sqref="A1:N1"/>
    </sheetView>
  </sheetViews>
  <sheetFormatPr defaultColWidth="9.109375" defaultRowHeight="13.2" x14ac:dyDescent="0.25"/>
  <cols>
    <col min="1" max="1" width="2.44140625" style="75" customWidth="1"/>
    <col min="2" max="2" width="3.44140625" style="75" customWidth="1"/>
    <col min="3" max="3" width="2" style="75" customWidth="1"/>
    <col min="4" max="4" width="18.5546875" style="75" customWidth="1"/>
    <col min="5" max="5" width="1.88671875" style="75" bestFit="1" customWidth="1"/>
    <col min="6" max="6" width="10.6640625" style="75" customWidth="1"/>
    <col min="7" max="7" width="1.88671875" style="75" bestFit="1" customWidth="1"/>
    <col min="8" max="8" width="10.6640625" style="75" customWidth="1"/>
    <col min="9" max="9" width="2" style="75" customWidth="1"/>
    <col min="10" max="10" width="10.6640625" style="75" customWidth="1"/>
    <col min="11" max="11" width="1.88671875" style="75" bestFit="1" customWidth="1"/>
    <col min="12" max="12" width="10.6640625" style="75" customWidth="1"/>
    <col min="13" max="13" width="1.88671875" style="75" bestFit="1" customWidth="1"/>
    <col min="14" max="14" width="10.6640625" style="75" customWidth="1"/>
    <col min="15" max="16384" width="9.109375" style="75"/>
  </cols>
  <sheetData>
    <row r="1" spans="1:14" x14ac:dyDescent="0.25">
      <c r="A1" s="1014" t="s">
        <v>1</v>
      </c>
      <c r="B1" s="1014"/>
      <c r="C1" s="1014"/>
      <c r="D1" s="1014"/>
      <c r="E1" s="1014"/>
      <c r="F1" s="1014"/>
      <c r="G1" s="1014"/>
      <c r="H1" s="1014"/>
      <c r="I1" s="1014"/>
      <c r="J1" s="1014"/>
      <c r="K1" s="1014"/>
      <c r="L1" s="1014"/>
      <c r="M1" s="1014"/>
      <c r="N1" s="1014"/>
    </row>
    <row r="2" spans="1:14" x14ac:dyDescent="0.25">
      <c r="A2" s="1014" t="s">
        <v>629</v>
      </c>
      <c r="B2" s="1014"/>
      <c r="C2" s="1014"/>
      <c r="D2" s="1014"/>
      <c r="E2" s="1014"/>
      <c r="F2" s="1014"/>
      <c r="G2" s="1014"/>
      <c r="H2" s="1014"/>
      <c r="I2" s="1014"/>
      <c r="J2" s="1014"/>
      <c r="K2" s="1014"/>
      <c r="L2" s="1014"/>
      <c r="M2" s="1014"/>
      <c r="N2" s="1014"/>
    </row>
    <row r="3" spans="1:14" x14ac:dyDescent="0.25">
      <c r="A3" s="1014" t="s">
        <v>490</v>
      </c>
      <c r="B3" s="1014"/>
      <c r="C3" s="1014"/>
      <c r="D3" s="1014"/>
      <c r="E3" s="1014"/>
      <c r="F3" s="1014"/>
      <c r="G3" s="1014"/>
      <c r="H3" s="1014"/>
      <c r="I3" s="1014"/>
      <c r="J3" s="1014"/>
      <c r="K3" s="1014"/>
      <c r="L3" s="1014"/>
      <c r="M3" s="1014"/>
      <c r="N3" s="1014"/>
    </row>
    <row r="4" spans="1:14" x14ac:dyDescent="0.25">
      <c r="A4" s="1014" t="s">
        <v>491</v>
      </c>
      <c r="B4" s="1014"/>
      <c r="C4" s="1014"/>
      <c r="D4" s="1014"/>
      <c r="E4" s="1014"/>
      <c r="F4" s="1014"/>
      <c r="G4" s="1014"/>
      <c r="H4" s="1014"/>
      <c r="I4" s="1014"/>
      <c r="J4" s="1014"/>
      <c r="K4" s="1014"/>
      <c r="L4" s="1014"/>
      <c r="M4" s="1014"/>
      <c r="N4" s="1014"/>
    </row>
    <row r="5" spans="1:14" x14ac:dyDescent="0.25">
      <c r="A5" s="1014" t="str">
        <f>'CPBA-1'!A5</f>
        <v>From Inception and for the Fiscal Year Ended June 30, 2022</v>
      </c>
      <c r="B5" s="1014"/>
      <c r="C5" s="1014"/>
      <c r="D5" s="1014"/>
      <c r="E5" s="1014"/>
      <c r="F5" s="1014"/>
      <c r="G5" s="1014"/>
      <c r="H5" s="1014"/>
      <c r="I5" s="1014"/>
      <c r="J5" s="1014"/>
      <c r="K5" s="1014"/>
      <c r="L5" s="1014"/>
      <c r="M5" s="1014"/>
      <c r="N5" s="1014"/>
    </row>
    <row r="6" spans="1:14" ht="13.8" thickBot="1" x14ac:dyDescent="0.3">
      <c r="A6" s="200"/>
      <c r="B6" s="200"/>
      <c r="C6" s="200"/>
      <c r="D6" s="200"/>
      <c r="E6" s="200"/>
      <c r="F6" s="200"/>
      <c r="G6" s="201"/>
      <c r="H6" s="201"/>
      <c r="I6" s="201"/>
      <c r="J6" s="201"/>
      <c r="K6" s="201"/>
      <c r="L6" s="202"/>
      <c r="M6" s="202"/>
      <c r="N6" s="202"/>
    </row>
    <row r="7" spans="1:14" x14ac:dyDescent="0.25">
      <c r="A7" s="203"/>
      <c r="B7" s="203"/>
      <c r="C7" s="203"/>
      <c r="D7" s="203"/>
      <c r="E7" s="203"/>
      <c r="F7" s="203"/>
      <c r="G7" s="204"/>
      <c r="H7" s="204"/>
      <c r="I7" s="204"/>
      <c r="J7" s="204"/>
      <c r="K7" s="204"/>
      <c r="L7" s="205"/>
      <c r="M7" s="181"/>
      <c r="N7" s="181"/>
    </row>
    <row r="8" spans="1:14" x14ac:dyDescent="0.25">
      <c r="A8" s="130"/>
      <c r="B8" s="130"/>
      <c r="C8" s="130"/>
      <c r="D8" s="130"/>
      <c r="E8" s="130"/>
      <c r="F8" s="133" t="s">
        <v>754</v>
      </c>
      <c r="G8" s="181"/>
      <c r="H8" s="1039" t="s">
        <v>221</v>
      </c>
      <c r="I8" s="1039"/>
      <c r="J8" s="1039"/>
      <c r="K8" s="1039"/>
      <c r="L8" s="1039"/>
      <c r="M8" s="181"/>
      <c r="N8" s="180" t="s">
        <v>215</v>
      </c>
    </row>
    <row r="9" spans="1:14" x14ac:dyDescent="0.25">
      <c r="A9" s="130"/>
      <c r="B9" s="130"/>
      <c r="C9" s="130"/>
      <c r="D9" s="130"/>
      <c r="E9" s="130"/>
      <c r="F9" s="180" t="s">
        <v>755</v>
      </c>
      <c r="G9" s="181"/>
      <c r="H9" s="180" t="s">
        <v>730</v>
      </c>
      <c r="I9" s="181"/>
      <c r="J9" s="180" t="s">
        <v>731</v>
      </c>
      <c r="K9" s="181"/>
      <c r="L9" s="180" t="s">
        <v>732</v>
      </c>
      <c r="M9" s="181"/>
      <c r="N9" s="180" t="s">
        <v>219</v>
      </c>
    </row>
    <row r="10" spans="1:14" x14ac:dyDescent="0.25">
      <c r="A10" s="130"/>
      <c r="B10" s="130"/>
      <c r="C10" s="130"/>
      <c r="D10" s="130"/>
      <c r="E10" s="130"/>
      <c r="F10" s="199" t="s">
        <v>756</v>
      </c>
      <c r="G10" s="181"/>
      <c r="H10" s="651" t="s">
        <v>734</v>
      </c>
      <c r="I10" s="181"/>
      <c r="J10" s="651" t="s">
        <v>734</v>
      </c>
      <c r="K10" s="181"/>
      <c r="L10" s="206" t="s">
        <v>735</v>
      </c>
      <c r="M10" s="181"/>
      <c r="N10" s="183" t="s">
        <v>222</v>
      </c>
    </row>
    <row r="11" spans="1:14" x14ac:dyDescent="0.25">
      <c r="A11" s="648" t="s">
        <v>684</v>
      </c>
      <c r="B11" s="181"/>
      <c r="C11" s="130"/>
      <c r="D11" s="130"/>
      <c r="E11" s="130"/>
      <c r="F11" s="130"/>
      <c r="G11" s="181"/>
      <c r="H11" s="181"/>
      <c r="I11" s="181"/>
      <c r="J11" s="180" t="s">
        <v>122</v>
      </c>
      <c r="K11" s="181"/>
      <c r="L11" s="207"/>
      <c r="M11" s="181"/>
      <c r="N11" s="181"/>
    </row>
    <row r="12" spans="1:14" x14ac:dyDescent="0.25">
      <c r="A12" s="130"/>
      <c r="B12" s="648" t="s">
        <v>775</v>
      </c>
      <c r="C12" s="648"/>
      <c r="D12" s="130"/>
      <c r="E12" s="208"/>
      <c r="F12" s="209">
        <v>100000</v>
      </c>
      <c r="G12" s="210"/>
      <c r="H12" s="209">
        <v>10000</v>
      </c>
      <c r="I12" s="211"/>
      <c r="J12" s="209">
        <v>21550</v>
      </c>
      <c r="K12" s="211"/>
      <c r="L12" s="209">
        <f>SUM(H12:J12)</f>
        <v>31550</v>
      </c>
      <c r="M12" s="211"/>
      <c r="N12" s="209">
        <f>+L12-F12</f>
        <v>-68450</v>
      </c>
    </row>
    <row r="13" spans="1:14" x14ac:dyDescent="0.25">
      <c r="A13" s="701"/>
      <c r="B13" s="701"/>
      <c r="C13" s="701"/>
      <c r="D13" s="701"/>
      <c r="E13" s="648"/>
      <c r="F13" s="130"/>
      <c r="G13" s="181"/>
      <c r="H13" s="181"/>
      <c r="I13" s="181"/>
      <c r="J13" s="181"/>
      <c r="K13" s="181"/>
      <c r="L13" s="207"/>
      <c r="M13" s="181"/>
      <c r="N13" s="181"/>
    </row>
    <row r="14" spans="1:14" x14ac:dyDescent="0.25">
      <c r="A14" s="648" t="s">
        <v>228</v>
      </c>
      <c r="B14" s="130"/>
      <c r="C14" s="130"/>
      <c r="D14" s="130"/>
      <c r="E14" s="130"/>
      <c r="F14" s="155"/>
      <c r="G14" s="155"/>
      <c r="H14" s="155"/>
      <c r="I14" s="155"/>
      <c r="J14" s="155"/>
      <c r="K14" s="155"/>
      <c r="L14" s="155"/>
      <c r="M14" s="155"/>
      <c r="N14" s="155"/>
    </row>
    <row r="15" spans="1:14" x14ac:dyDescent="0.25">
      <c r="A15" s="181"/>
      <c r="B15" s="648" t="s">
        <v>780</v>
      </c>
      <c r="C15" s="130"/>
      <c r="D15" s="130"/>
      <c r="E15" s="130"/>
      <c r="F15" s="155"/>
      <c r="G15" s="155"/>
      <c r="H15" s="155"/>
      <c r="I15" s="155"/>
      <c r="J15" s="155"/>
      <c r="K15" s="155"/>
      <c r="L15" s="155"/>
      <c r="M15" s="155"/>
      <c r="N15" s="155"/>
    </row>
    <row r="16" spans="1:14" x14ac:dyDescent="0.25">
      <c r="A16" s="181"/>
      <c r="B16" s="648"/>
      <c r="C16" s="130" t="s">
        <v>161</v>
      </c>
      <c r="D16" s="648"/>
      <c r="E16" s="130"/>
      <c r="F16" s="155">
        <v>1000000</v>
      </c>
      <c r="G16" s="155"/>
      <c r="H16" s="155">
        <v>327000</v>
      </c>
      <c r="I16" s="155"/>
      <c r="J16" s="155">
        <v>200000</v>
      </c>
      <c r="K16" s="155"/>
      <c r="L16" s="159">
        <f>SUM(H16:J16)</f>
        <v>527000</v>
      </c>
      <c r="M16" s="159"/>
      <c r="N16" s="159">
        <f>+L16-F16</f>
        <v>-473000</v>
      </c>
    </row>
    <row r="17" spans="1:14" x14ac:dyDescent="0.25">
      <c r="A17" s="648" t="s">
        <v>122</v>
      </c>
      <c r="B17" s="648" t="s">
        <v>781</v>
      </c>
      <c r="C17" s="181"/>
      <c r="D17" s="181"/>
      <c r="E17" s="130"/>
      <c r="F17" s="155"/>
      <c r="G17" s="155"/>
      <c r="H17" s="155"/>
      <c r="I17" s="155"/>
      <c r="J17" s="155"/>
      <c r="K17" s="155"/>
      <c r="L17" s="155"/>
      <c r="M17" s="155"/>
      <c r="N17" s="155"/>
    </row>
    <row r="18" spans="1:14" x14ac:dyDescent="0.25">
      <c r="A18" s="181"/>
      <c r="B18" s="181"/>
      <c r="C18" s="181" t="s">
        <v>782</v>
      </c>
      <c r="D18" s="181"/>
      <c r="E18" s="130"/>
      <c r="F18" s="160">
        <v>-1100000</v>
      </c>
      <c r="G18" s="155"/>
      <c r="H18" s="160">
        <v>0</v>
      </c>
      <c r="I18" s="155"/>
      <c r="J18" s="160">
        <v>0</v>
      </c>
      <c r="K18" s="155"/>
      <c r="L18" s="160">
        <v>0</v>
      </c>
      <c r="M18" s="155"/>
      <c r="N18" s="160">
        <f>+L18-F18</f>
        <v>1100000</v>
      </c>
    </row>
    <row r="19" spans="1:14" x14ac:dyDescent="0.25">
      <c r="A19" s="648" t="s">
        <v>122</v>
      </c>
      <c r="B19" s="130"/>
      <c r="C19" s="130"/>
      <c r="D19" s="130" t="s">
        <v>632</v>
      </c>
      <c r="E19" s="130"/>
      <c r="F19" s="155"/>
      <c r="G19" s="155"/>
      <c r="H19" s="155"/>
      <c r="I19" s="155"/>
      <c r="J19" s="155"/>
      <c r="K19" s="155"/>
      <c r="L19" s="155"/>
      <c r="M19" s="155"/>
      <c r="N19" s="155"/>
    </row>
    <row r="20" spans="1:14" x14ac:dyDescent="0.25">
      <c r="A20" s="181"/>
      <c r="B20" s="648" t="s">
        <v>122</v>
      </c>
      <c r="C20" s="130"/>
      <c r="D20" s="130" t="s">
        <v>783</v>
      </c>
      <c r="E20" s="130"/>
      <c r="F20" s="160">
        <f>SUM(F16:F18)</f>
        <v>-100000</v>
      </c>
      <c r="G20" s="155"/>
      <c r="H20" s="160">
        <f>SUM(H16:H18)</f>
        <v>327000</v>
      </c>
      <c r="I20" s="155"/>
      <c r="J20" s="160">
        <f>SUM(J16:J18)</f>
        <v>200000</v>
      </c>
      <c r="K20" s="155"/>
      <c r="L20" s="160">
        <f>SUM(H20:J20)</f>
        <v>527000</v>
      </c>
      <c r="M20" s="155"/>
      <c r="N20" s="160">
        <f>SUM(N16:N18)</f>
        <v>627000</v>
      </c>
    </row>
    <row r="21" spans="1:14" x14ac:dyDescent="0.25">
      <c r="A21" s="130"/>
      <c r="B21" s="648" t="s">
        <v>122</v>
      </c>
      <c r="C21" s="130"/>
      <c r="D21" s="648"/>
      <c r="E21" s="130"/>
      <c r="F21" s="155"/>
      <c r="G21" s="155"/>
      <c r="H21" s="155"/>
      <c r="I21" s="155"/>
      <c r="J21" s="155"/>
      <c r="K21" s="155"/>
      <c r="L21" s="155"/>
      <c r="M21" s="155"/>
      <c r="N21" s="155"/>
    </row>
    <row r="22" spans="1:14" ht="13.8" thickBot="1" x14ac:dyDescent="0.3">
      <c r="A22" s="181" t="s">
        <v>194</v>
      </c>
      <c r="B22" s="181"/>
      <c r="C22" s="181"/>
      <c r="D22" s="181"/>
      <c r="E22" s="181"/>
      <c r="F22" s="212">
        <f>+F12+F20</f>
        <v>0</v>
      </c>
      <c r="G22" s="211"/>
      <c r="H22" s="212">
        <f>+H12+H20</f>
        <v>337000</v>
      </c>
      <c r="I22" s="211"/>
      <c r="J22" s="159">
        <f>+J12+J20</f>
        <v>221550</v>
      </c>
      <c r="K22" s="211"/>
      <c r="L22" s="212">
        <f>+L12+L20</f>
        <v>558550</v>
      </c>
      <c r="M22" s="211"/>
      <c r="N22" s="212">
        <f>N12+N20</f>
        <v>558550</v>
      </c>
    </row>
    <row r="23" spans="1:14" ht="13.8" thickTop="1" x14ac:dyDescent="0.25">
      <c r="A23" s="181"/>
      <c r="B23" s="181"/>
      <c r="C23" s="181"/>
      <c r="D23" s="181"/>
      <c r="E23" s="181"/>
      <c r="F23" s="213"/>
      <c r="G23" s="213"/>
      <c r="H23" s="213"/>
      <c r="I23" s="213"/>
      <c r="J23" s="213"/>
      <c r="K23" s="213"/>
      <c r="L23" s="213"/>
      <c r="M23" s="213"/>
      <c r="N23" s="213"/>
    </row>
    <row r="24" spans="1:14" x14ac:dyDescent="0.25">
      <c r="A24" s="648" t="s">
        <v>644</v>
      </c>
      <c r="B24" s="181"/>
      <c r="C24" s="181"/>
      <c r="D24" s="181"/>
      <c r="E24" s="181"/>
      <c r="F24" s="213"/>
      <c r="G24" s="213"/>
      <c r="H24" s="213"/>
      <c r="I24" s="213"/>
      <c r="J24" s="214">
        <v>337000</v>
      </c>
      <c r="K24" s="213"/>
      <c r="L24" s="213"/>
      <c r="M24" s="213"/>
      <c r="N24" s="213"/>
    </row>
    <row r="25" spans="1:14" ht="13.8" thickBot="1" x14ac:dyDescent="0.3">
      <c r="A25" s="648" t="s">
        <v>634</v>
      </c>
      <c r="B25" s="181"/>
      <c r="C25" s="181"/>
      <c r="D25" s="181"/>
      <c r="E25" s="181"/>
      <c r="F25" s="213"/>
      <c r="G25" s="213"/>
      <c r="H25" s="213"/>
      <c r="I25" s="215"/>
      <c r="J25" s="163">
        <f>+J22+J24</f>
        <v>558550</v>
      </c>
      <c r="K25" s="213"/>
      <c r="L25" s="213"/>
      <c r="M25" s="213"/>
      <c r="N25" s="213"/>
    </row>
    <row r="26" spans="1:14" ht="14.4" thickTop="1" thickBot="1" x14ac:dyDescent="0.3">
      <c r="A26" s="701"/>
      <c r="B26" s="701"/>
      <c r="C26" s="701"/>
      <c r="D26" s="701"/>
      <c r="E26" s="701"/>
      <c r="F26" s="701"/>
      <c r="G26" s="701"/>
      <c r="H26" s="701"/>
      <c r="I26" s="701"/>
      <c r="J26" s="701"/>
      <c r="K26" s="701"/>
      <c r="L26" s="701"/>
      <c r="M26" s="701"/>
      <c r="N26" s="701"/>
    </row>
    <row r="27" spans="1:14" ht="15.6" customHeight="1" x14ac:dyDescent="0.25">
      <c r="A27" s="701"/>
      <c r="B27" s="1030" t="s">
        <v>784</v>
      </c>
      <c r="C27" s="1031"/>
      <c r="D27" s="1031"/>
      <c r="E27" s="1031"/>
      <c r="F27" s="1031"/>
      <c r="G27" s="1031"/>
      <c r="H27" s="1031"/>
      <c r="I27" s="1031"/>
      <c r="J27" s="1031"/>
      <c r="K27" s="1031"/>
      <c r="L27" s="1031"/>
      <c r="M27" s="1031"/>
      <c r="N27" s="1032"/>
    </row>
    <row r="28" spans="1:14" ht="15.6" customHeight="1" x14ac:dyDescent="0.25">
      <c r="A28" s="701"/>
      <c r="B28" s="1033"/>
      <c r="C28" s="1034"/>
      <c r="D28" s="1034"/>
      <c r="E28" s="1034"/>
      <c r="F28" s="1034"/>
      <c r="G28" s="1034"/>
      <c r="H28" s="1034"/>
      <c r="I28" s="1034"/>
      <c r="J28" s="1034"/>
      <c r="K28" s="1034"/>
      <c r="L28" s="1034"/>
      <c r="M28" s="1034"/>
      <c r="N28" s="1035"/>
    </row>
    <row r="29" spans="1:14" ht="15.6" customHeight="1" x14ac:dyDescent="0.25">
      <c r="A29" s="701"/>
      <c r="B29" s="1033"/>
      <c r="C29" s="1034"/>
      <c r="D29" s="1034"/>
      <c r="E29" s="1034"/>
      <c r="F29" s="1034"/>
      <c r="G29" s="1034"/>
      <c r="H29" s="1034"/>
      <c r="I29" s="1034"/>
      <c r="J29" s="1034"/>
      <c r="K29" s="1034"/>
      <c r="L29" s="1034"/>
      <c r="M29" s="1034"/>
      <c r="N29" s="1035"/>
    </row>
    <row r="30" spans="1:14" ht="15.6" customHeight="1" thickBot="1" x14ac:dyDescent="0.3">
      <c r="A30" s="701"/>
      <c r="B30" s="1036"/>
      <c r="C30" s="1037"/>
      <c r="D30" s="1037"/>
      <c r="E30" s="1037"/>
      <c r="F30" s="1037"/>
      <c r="G30" s="1037"/>
      <c r="H30" s="1037"/>
      <c r="I30" s="1037"/>
      <c r="J30" s="1037"/>
      <c r="K30" s="1037"/>
      <c r="L30" s="1037"/>
      <c r="M30" s="1037"/>
      <c r="N30" s="1038"/>
    </row>
    <row r="31" spans="1:14" x14ac:dyDescent="0.25">
      <c r="A31" s="701"/>
      <c r="B31" s="729"/>
      <c r="C31" s="729"/>
      <c r="D31" s="729"/>
      <c r="E31" s="729"/>
      <c r="F31" s="729"/>
      <c r="G31" s="729"/>
      <c r="H31" s="729"/>
      <c r="I31" s="729"/>
      <c r="J31" s="729"/>
      <c r="K31" s="729"/>
      <c r="L31" s="729"/>
      <c r="M31" s="729"/>
      <c r="N31" s="729"/>
    </row>
  </sheetData>
  <customSheetViews>
    <customSheetView guid="{A8748736-0722-49EB-85B6-C9B52DDCFE0E}" fitToPage="1">
      <selection activeCell="G52" sqref="A2:N52"/>
      <pageMargins left="0.75" right="0.75" top="1" bottom="1" header="0.5" footer="0.5"/>
      <printOptions horizontalCentered="1"/>
      <pageSetup firstPageNumber="110" fitToHeight="0" orientation="portrait" useFirstPageNumber="1" r:id="rId1"/>
      <headerFooter alignWithMargins="0"/>
    </customSheetView>
    <customSheetView guid="{E0C60316-4586-4AAF-92CB-FA82BB1EB755}" fitToPage="1">
      <selection sqref="A1:N1"/>
      <pageMargins left="0" right="0" top="0" bottom="0" header="0" footer="0"/>
      <printOptions horizontalCentered="1"/>
      <pageSetup firstPageNumber="110" fitToHeight="0" orientation="portrait" useFirstPageNumber="1" r:id="rId2"/>
      <headerFooter alignWithMargins="0"/>
    </customSheetView>
  </customSheetViews>
  <mergeCells count="7">
    <mergeCell ref="B27:N30"/>
    <mergeCell ref="A1:N1"/>
    <mergeCell ref="A2:N2"/>
    <mergeCell ref="A3:N3"/>
    <mergeCell ref="A4:N4"/>
    <mergeCell ref="A5:N5"/>
    <mergeCell ref="H8:L8"/>
  </mergeCells>
  <printOptions horizontalCentered="1"/>
  <pageMargins left="0.75" right="0.75" top="1" bottom="1" header="0.5" footer="0.5"/>
  <pageSetup firstPageNumber="110" fitToHeight="0" orientation="portrait" useFirstPageNumber="1" r:id="rId3"/>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M80"/>
  <sheetViews>
    <sheetView workbookViewId="0"/>
  </sheetViews>
  <sheetFormatPr defaultColWidth="9.109375" defaultRowHeight="13.2" x14ac:dyDescent="0.25"/>
  <cols>
    <col min="1" max="1" width="2.44140625" style="404" customWidth="1"/>
    <col min="2" max="2" width="2.6640625" style="404" customWidth="1"/>
    <col min="3" max="3" width="2.88671875" style="404" customWidth="1"/>
    <col min="4" max="4" width="27.44140625" style="404" customWidth="1"/>
    <col min="5" max="5" width="13" style="404" customWidth="1"/>
    <col min="6" max="6" width="2.109375" style="404" customWidth="1"/>
    <col min="7" max="7" width="9.88671875" style="404" bestFit="1" customWidth="1"/>
    <col min="8" max="8" width="2" style="404" customWidth="1"/>
    <col min="9" max="9" width="10.5546875" style="404" bestFit="1" customWidth="1"/>
    <col min="10" max="10" width="9.109375" style="404"/>
    <col min="11" max="11" width="10.33203125" style="404" bestFit="1" customWidth="1"/>
    <col min="12" max="16384" width="9.109375" style="404"/>
  </cols>
  <sheetData>
    <row r="1" spans="1:9" x14ac:dyDescent="0.25">
      <c r="A1" s="216" t="s">
        <v>1</v>
      </c>
      <c r="B1" s="129"/>
      <c r="C1" s="129"/>
      <c r="D1" s="129"/>
      <c r="E1" s="129"/>
      <c r="F1" s="129"/>
      <c r="G1" s="129"/>
      <c r="H1" s="129"/>
      <c r="I1" s="129"/>
    </row>
    <row r="2" spans="1:9" x14ac:dyDescent="0.25">
      <c r="A2" s="216" t="s">
        <v>785</v>
      </c>
      <c r="B2" s="129"/>
      <c r="C2" s="129"/>
      <c r="D2" s="129"/>
      <c r="E2" s="129"/>
      <c r="F2" s="129"/>
      <c r="G2" s="129"/>
      <c r="H2" s="129"/>
      <c r="I2" s="129"/>
    </row>
    <row r="3" spans="1:9" x14ac:dyDescent="0.25">
      <c r="A3" s="216" t="s">
        <v>786</v>
      </c>
      <c r="B3" s="129"/>
      <c r="C3" s="129"/>
      <c r="D3" s="129"/>
      <c r="E3" s="129"/>
      <c r="F3" s="129"/>
      <c r="G3" s="129"/>
      <c r="H3" s="129"/>
      <c r="I3" s="129"/>
    </row>
    <row r="4" spans="1:9" x14ac:dyDescent="0.25">
      <c r="A4" s="216" t="s">
        <v>787</v>
      </c>
      <c r="B4" s="129"/>
      <c r="C4" s="129"/>
      <c r="D4" s="129"/>
      <c r="E4" s="129"/>
      <c r="F4" s="129"/>
      <c r="G4" s="129"/>
      <c r="H4" s="129"/>
      <c r="I4" s="129"/>
    </row>
    <row r="5" spans="1:9" x14ac:dyDescent="0.25">
      <c r="A5" s="216" t="str">
        <f>GFIS_BA!A5</f>
        <v>For the Year Ended June 30, 2022</v>
      </c>
      <c r="B5" s="129"/>
      <c r="C5" s="129"/>
      <c r="D5" s="129"/>
      <c r="E5" s="129"/>
      <c r="F5" s="129"/>
      <c r="G5" s="129"/>
      <c r="H5" s="129"/>
      <c r="I5" s="129"/>
    </row>
    <row r="6" spans="1:9" ht="13.8" thickBot="1" x14ac:dyDescent="0.3">
      <c r="A6" s="94"/>
      <c r="B6" s="94"/>
      <c r="C6" s="94"/>
      <c r="D6" s="94"/>
      <c r="E6" s="94"/>
      <c r="F6" s="94"/>
      <c r="G6" s="94"/>
      <c r="H6" s="94"/>
      <c r="I6" s="94"/>
    </row>
    <row r="7" spans="1:9" x14ac:dyDescent="0.25">
      <c r="A7" s="29"/>
      <c r="B7" s="29"/>
      <c r="C7" s="29"/>
      <c r="D7" s="29"/>
      <c r="E7" s="29"/>
      <c r="F7" s="29"/>
      <c r="G7" s="29"/>
      <c r="H7" s="29"/>
      <c r="I7" s="131" t="s">
        <v>215</v>
      </c>
    </row>
    <row r="8" spans="1:9" x14ac:dyDescent="0.25">
      <c r="A8" s="29"/>
      <c r="B8" s="29"/>
      <c r="C8" s="29"/>
      <c r="D8" s="29"/>
      <c r="E8" s="131" t="s">
        <v>218</v>
      </c>
      <c r="F8" s="29"/>
      <c r="G8" s="29"/>
      <c r="H8" s="29"/>
      <c r="I8" s="131" t="s">
        <v>219</v>
      </c>
    </row>
    <row r="9" spans="1:9" x14ac:dyDescent="0.25">
      <c r="A9" s="29"/>
      <c r="B9" s="29"/>
      <c r="C9" s="29"/>
      <c r="D9" s="29"/>
      <c r="E9" s="136" t="s">
        <v>220</v>
      </c>
      <c r="F9" s="29"/>
      <c r="G9" s="136" t="s">
        <v>221</v>
      </c>
      <c r="H9" s="29"/>
      <c r="I9" s="136" t="s">
        <v>222</v>
      </c>
    </row>
    <row r="10" spans="1:9" x14ac:dyDescent="0.25">
      <c r="A10" s="104" t="s">
        <v>223</v>
      </c>
      <c r="B10" s="29"/>
      <c r="C10" s="29"/>
      <c r="D10" s="29"/>
      <c r="E10" s="140"/>
      <c r="F10" s="140"/>
      <c r="G10" s="140"/>
      <c r="H10" s="140"/>
      <c r="I10" s="140"/>
    </row>
    <row r="11" spans="1:9" x14ac:dyDescent="0.25">
      <c r="A11" s="104"/>
      <c r="B11" s="104" t="s">
        <v>788</v>
      </c>
      <c r="C11" s="29"/>
      <c r="D11" s="29"/>
      <c r="E11" s="140"/>
      <c r="F11" s="140"/>
      <c r="G11" s="140"/>
      <c r="H11" s="140"/>
      <c r="I11" s="140"/>
    </row>
    <row r="12" spans="1:9" x14ac:dyDescent="0.25">
      <c r="A12" s="104"/>
      <c r="B12" s="104"/>
      <c r="C12" s="29" t="s">
        <v>789</v>
      </c>
      <c r="D12" s="29"/>
      <c r="E12" s="140"/>
      <c r="F12" s="140"/>
      <c r="G12" s="140"/>
      <c r="H12" s="140"/>
      <c r="I12" s="140"/>
    </row>
    <row r="13" spans="1:9" x14ac:dyDescent="0.25">
      <c r="A13" s="29"/>
      <c r="D13" s="29" t="s">
        <v>790</v>
      </c>
      <c r="E13" s="217"/>
      <c r="F13" s="171"/>
      <c r="G13" s="170">
        <f>224542-4000+100881-6596</f>
        <v>314827</v>
      </c>
      <c r="H13" s="171"/>
      <c r="I13" s="217"/>
    </row>
    <row r="14" spans="1:9" x14ac:dyDescent="0.25">
      <c r="A14" s="29"/>
      <c r="D14" s="29" t="s">
        <v>791</v>
      </c>
      <c r="E14" s="218"/>
      <c r="F14" s="140"/>
      <c r="G14" s="144">
        <v>2453</v>
      </c>
      <c r="H14" s="140"/>
      <c r="I14" s="176"/>
    </row>
    <row r="15" spans="1:9" x14ac:dyDescent="0.25">
      <c r="A15" s="29"/>
      <c r="D15" s="29" t="s">
        <v>792</v>
      </c>
      <c r="E15" s="218"/>
      <c r="F15" s="140"/>
      <c r="G15" s="144">
        <v>3000</v>
      </c>
      <c r="H15" s="140"/>
      <c r="I15" s="176"/>
    </row>
    <row r="16" spans="1:9" x14ac:dyDescent="0.25">
      <c r="A16" s="29"/>
      <c r="C16" s="29" t="s">
        <v>793</v>
      </c>
      <c r="D16" s="29"/>
      <c r="E16" s="219"/>
      <c r="F16" s="145"/>
      <c r="G16" s="172">
        <v>100</v>
      </c>
      <c r="H16" s="145"/>
      <c r="I16" s="219"/>
    </row>
    <row r="17" spans="1:11" x14ac:dyDescent="0.25">
      <c r="A17" s="29"/>
      <c r="B17" s="29"/>
      <c r="D17" s="104" t="s">
        <v>8</v>
      </c>
      <c r="E17" s="220">
        <f>222200+100000+15000</f>
        <v>337200</v>
      </c>
      <c r="F17" s="145"/>
      <c r="G17" s="566">
        <f>SUM(G13:G16)</f>
        <v>320380</v>
      </c>
      <c r="H17" s="145"/>
      <c r="I17" s="220">
        <f>+G17-E17</f>
        <v>-16820</v>
      </c>
    </row>
    <row r="18" spans="1:11" x14ac:dyDescent="0.25">
      <c r="A18" s="29"/>
      <c r="B18" s="29"/>
      <c r="C18" s="29"/>
      <c r="D18" s="29"/>
      <c r="E18" s="169"/>
      <c r="F18" s="140"/>
      <c r="G18" s="169"/>
      <c r="H18" s="140"/>
      <c r="I18" s="169"/>
    </row>
    <row r="19" spans="1:11" x14ac:dyDescent="0.25">
      <c r="B19" s="29" t="s">
        <v>794</v>
      </c>
      <c r="C19" s="29"/>
      <c r="D19" s="29"/>
      <c r="E19" s="169"/>
      <c r="F19" s="140"/>
      <c r="G19" s="169"/>
      <c r="H19" s="140"/>
      <c r="I19" s="169"/>
    </row>
    <row r="20" spans="1:11" x14ac:dyDescent="0.25">
      <c r="B20" s="29"/>
      <c r="C20" s="29" t="s">
        <v>285</v>
      </c>
      <c r="D20" s="29"/>
      <c r="E20" s="169"/>
      <c r="F20" s="140"/>
      <c r="G20" s="169">
        <v>1000</v>
      </c>
      <c r="H20" s="140"/>
      <c r="I20" s="169"/>
    </row>
    <row r="21" spans="1:11" x14ac:dyDescent="0.25">
      <c r="B21" s="29"/>
      <c r="C21" s="29" t="s">
        <v>286</v>
      </c>
      <c r="D21" s="29"/>
      <c r="E21" s="169"/>
      <c r="F21" s="140"/>
      <c r="G21" s="169">
        <f>74811-32811</f>
        <v>42000</v>
      </c>
      <c r="H21" s="140"/>
      <c r="I21" s="169"/>
    </row>
    <row r="22" spans="1:11" x14ac:dyDescent="0.25">
      <c r="B22" s="29"/>
      <c r="C22" s="29" t="s">
        <v>287</v>
      </c>
      <c r="D22" s="29"/>
      <c r="E22" s="169"/>
      <c r="F22" s="140"/>
      <c r="G22" s="169">
        <v>58000</v>
      </c>
      <c r="H22" s="140"/>
      <c r="I22" s="169"/>
    </row>
    <row r="23" spans="1:11" x14ac:dyDescent="0.25">
      <c r="B23" s="29"/>
      <c r="C23" s="104" t="s">
        <v>169</v>
      </c>
      <c r="D23" s="29"/>
      <c r="E23" s="174"/>
      <c r="F23" s="140"/>
      <c r="G23" s="174">
        <v>917</v>
      </c>
      <c r="H23" s="140"/>
      <c r="I23" s="174"/>
    </row>
    <row r="24" spans="1:11" x14ac:dyDescent="0.25">
      <c r="B24" s="29"/>
      <c r="C24" s="104"/>
      <c r="D24" s="29" t="s">
        <v>8</v>
      </c>
      <c r="E24" s="221">
        <f>100800</f>
        <v>100800</v>
      </c>
      <c r="F24" s="140"/>
      <c r="G24" s="221">
        <f>SUM(G20:G23)</f>
        <v>101917</v>
      </c>
      <c r="H24" s="140"/>
      <c r="I24" s="221">
        <f>+G24-E24</f>
        <v>1117</v>
      </c>
    </row>
    <row r="25" spans="1:11" x14ac:dyDescent="0.25">
      <c r="A25" s="29"/>
      <c r="B25" s="29"/>
      <c r="C25" s="29"/>
      <c r="D25" s="104" t="s">
        <v>171</v>
      </c>
      <c r="E25" s="174">
        <f>E17+E24</f>
        <v>438000</v>
      </c>
      <c r="F25" s="140"/>
      <c r="G25" s="174">
        <f>G24+G17</f>
        <v>422297</v>
      </c>
      <c r="H25" s="140"/>
      <c r="I25" s="174">
        <f>+G25-E25</f>
        <v>-15703</v>
      </c>
      <c r="K25" s="396"/>
    </row>
    <row r="26" spans="1:11" x14ac:dyDescent="0.25">
      <c r="A26" s="29"/>
      <c r="B26" s="29"/>
      <c r="C26" s="29"/>
      <c r="D26" s="29"/>
      <c r="E26" s="165"/>
      <c r="F26" s="29"/>
      <c r="G26" s="165"/>
      <c r="H26" s="29"/>
      <c r="I26" s="165"/>
    </row>
    <row r="27" spans="1:11" x14ac:dyDescent="0.25">
      <c r="A27" s="222" t="s">
        <v>532</v>
      </c>
      <c r="B27" s="29"/>
      <c r="D27" s="29"/>
      <c r="E27" s="165"/>
      <c r="F27" s="29"/>
      <c r="G27" s="165"/>
      <c r="H27" s="29"/>
      <c r="I27" s="165"/>
    </row>
    <row r="28" spans="1:11" x14ac:dyDescent="0.25">
      <c r="A28" s="104"/>
      <c r="B28" s="29" t="s">
        <v>795</v>
      </c>
      <c r="C28" s="29"/>
      <c r="D28" s="29"/>
      <c r="E28" s="165"/>
      <c r="F28" s="29"/>
      <c r="G28" s="165"/>
      <c r="H28" s="29"/>
      <c r="I28" s="165"/>
    </row>
    <row r="29" spans="1:11" x14ac:dyDescent="0.25">
      <c r="A29" s="29"/>
      <c r="B29" s="29"/>
      <c r="C29" s="104" t="s">
        <v>535</v>
      </c>
      <c r="D29" s="29"/>
      <c r="E29" s="176"/>
      <c r="F29" s="29"/>
      <c r="G29" s="169">
        <f>17531-6131+20000+17918</f>
        <v>49318</v>
      </c>
      <c r="H29" s="29"/>
      <c r="I29" s="176"/>
      <c r="K29" s="396"/>
    </row>
    <row r="30" spans="1:11" x14ac:dyDescent="0.25">
      <c r="A30" s="29"/>
      <c r="B30" s="29"/>
      <c r="C30" s="104" t="s">
        <v>796</v>
      </c>
      <c r="D30" s="29"/>
      <c r="E30" s="176"/>
      <c r="F30" s="29"/>
      <c r="G30" s="169">
        <v>2488</v>
      </c>
      <c r="H30" s="29"/>
      <c r="I30" s="176"/>
    </row>
    <row r="31" spans="1:11" x14ac:dyDescent="0.25">
      <c r="A31" s="29"/>
      <c r="B31" s="29"/>
      <c r="C31" s="104" t="s">
        <v>536</v>
      </c>
      <c r="D31" s="29"/>
      <c r="E31" s="219"/>
      <c r="F31" s="29"/>
      <c r="G31" s="174">
        <v>2014</v>
      </c>
      <c r="H31" s="29"/>
      <c r="I31" s="177"/>
    </row>
    <row r="32" spans="1:11" x14ac:dyDescent="0.25">
      <c r="A32" s="29"/>
      <c r="B32" s="29"/>
      <c r="C32" s="29"/>
      <c r="D32" s="104" t="s">
        <v>8</v>
      </c>
      <c r="E32" s="366">
        <f>23000+20000</f>
        <v>43000</v>
      </c>
      <c r="F32" s="29"/>
      <c r="G32" s="174">
        <f>SUM(G29:G31)</f>
        <v>53820</v>
      </c>
      <c r="H32" s="29"/>
      <c r="I32" s="174">
        <f>E32-G32</f>
        <v>-10820</v>
      </c>
    </row>
    <row r="33" spans="1:13" x14ac:dyDescent="0.25">
      <c r="A33" s="29"/>
      <c r="B33" s="29"/>
      <c r="C33" s="29"/>
      <c r="D33" s="29"/>
      <c r="E33" s="165"/>
      <c r="F33" s="29"/>
      <c r="G33" s="169"/>
      <c r="H33" s="29"/>
      <c r="I33" s="165"/>
      <c r="K33" s="396"/>
      <c r="M33" s="460"/>
    </row>
    <row r="34" spans="1:13" x14ac:dyDescent="0.25">
      <c r="A34" s="29"/>
      <c r="B34" s="104" t="s">
        <v>797</v>
      </c>
      <c r="C34" s="29"/>
      <c r="D34" s="29"/>
      <c r="E34" s="165"/>
      <c r="F34" s="29"/>
      <c r="G34" s="169"/>
      <c r="H34" s="29"/>
      <c r="I34" s="165"/>
      <c r="K34" s="419"/>
      <c r="M34" s="460"/>
    </row>
    <row r="35" spans="1:13" x14ac:dyDescent="0.25">
      <c r="A35" s="29"/>
      <c r="B35" s="29"/>
      <c r="C35" s="104" t="s">
        <v>535</v>
      </c>
      <c r="D35" s="29"/>
      <c r="E35" s="176"/>
      <c r="F35" s="29"/>
      <c r="G35" s="169">
        <f>55121-3000+100000+881-12263+80000+1001000*0.05*0.32+0.05*0.32*(43000)</f>
        <v>237443</v>
      </c>
      <c r="H35" s="29"/>
      <c r="I35" s="176"/>
      <c r="K35" s="396"/>
    </row>
    <row r="36" spans="1:13" x14ac:dyDescent="0.25">
      <c r="A36" s="29"/>
      <c r="B36" s="29"/>
      <c r="C36" s="104" t="s">
        <v>796</v>
      </c>
      <c r="D36" s="29"/>
      <c r="E36" s="176"/>
      <c r="F36" s="29"/>
      <c r="G36" s="169">
        <v>7206</v>
      </c>
      <c r="H36" s="29"/>
      <c r="I36" s="176"/>
    </row>
    <row r="37" spans="1:13" x14ac:dyDescent="0.25">
      <c r="A37" s="29"/>
      <c r="B37" s="29"/>
      <c r="C37" s="104" t="s">
        <v>798</v>
      </c>
      <c r="D37" s="29"/>
      <c r="E37" s="176"/>
      <c r="F37" s="29"/>
      <c r="G37" s="169">
        <f>18411-6132+2093</f>
        <v>14372</v>
      </c>
      <c r="H37" s="29"/>
      <c r="I37" s="176"/>
    </row>
    <row r="38" spans="1:13" x14ac:dyDescent="0.25">
      <c r="A38" s="29"/>
      <c r="B38" s="29"/>
      <c r="C38" s="104" t="s">
        <v>799</v>
      </c>
      <c r="D38" s="29"/>
      <c r="E38" s="176"/>
      <c r="F38" s="29"/>
      <c r="G38" s="169">
        <v>3000</v>
      </c>
      <c r="H38" s="29"/>
      <c r="I38" s="176"/>
    </row>
    <row r="39" spans="1:13" x14ac:dyDescent="0.25">
      <c r="A39" s="29"/>
      <c r="B39" s="29"/>
      <c r="C39" s="104" t="s">
        <v>536</v>
      </c>
      <c r="D39" s="29"/>
      <c r="E39" s="219"/>
      <c r="F39" s="29"/>
      <c r="G39" s="174">
        <f>3494+145</f>
        <v>3639</v>
      </c>
      <c r="H39" s="29"/>
      <c r="I39" s="177"/>
    </row>
    <row r="40" spans="1:13" x14ac:dyDescent="0.25">
      <c r="A40" s="29"/>
      <c r="B40" s="29"/>
      <c r="C40" s="29"/>
      <c r="D40" s="104" t="s">
        <v>8</v>
      </c>
      <c r="E40" s="366">
        <f>188000+80000+15000</f>
        <v>283000</v>
      </c>
      <c r="F40" s="29"/>
      <c r="G40" s="174">
        <f>SUM(G35:G39)</f>
        <v>265660</v>
      </c>
      <c r="H40" s="29"/>
      <c r="I40" s="174">
        <f>E40-G40</f>
        <v>17340</v>
      </c>
    </row>
    <row r="41" spans="1:13" x14ac:dyDescent="0.25">
      <c r="A41" s="29"/>
      <c r="B41" s="29"/>
      <c r="C41" s="29"/>
      <c r="D41" s="29"/>
      <c r="E41" s="165"/>
      <c r="F41" s="29"/>
      <c r="G41" s="165"/>
      <c r="H41" s="29"/>
      <c r="I41" s="165"/>
    </row>
    <row r="42" spans="1:13" x14ac:dyDescent="0.25">
      <c r="A42" s="29"/>
      <c r="B42" s="104" t="s">
        <v>800</v>
      </c>
      <c r="C42" s="29"/>
      <c r="D42" s="29"/>
      <c r="E42" s="223">
        <v>47000</v>
      </c>
      <c r="F42" s="140"/>
      <c r="G42" s="174">
        <v>46559</v>
      </c>
      <c r="H42" s="140"/>
      <c r="I42" s="174">
        <f>E42-G42</f>
        <v>441</v>
      </c>
    </row>
    <row r="43" spans="1:13" x14ac:dyDescent="0.25">
      <c r="A43" s="29"/>
      <c r="B43" s="29"/>
      <c r="C43" s="29"/>
      <c r="D43" s="104" t="s">
        <v>183</v>
      </c>
      <c r="E43" s="174">
        <f>E32+E40+E42</f>
        <v>373000</v>
      </c>
      <c r="F43" s="140"/>
      <c r="G43" s="174">
        <f>G40+G42+G32</f>
        <v>366039</v>
      </c>
      <c r="H43" s="140"/>
      <c r="I43" s="174">
        <f>E43-G43</f>
        <v>6961</v>
      </c>
    </row>
    <row r="44" spans="1:13" x14ac:dyDescent="0.25">
      <c r="A44" s="29"/>
      <c r="B44" s="29"/>
      <c r="C44" s="29"/>
      <c r="D44" s="29"/>
      <c r="E44" s="165"/>
      <c r="F44" s="29"/>
      <c r="G44" s="165"/>
      <c r="H44" s="29"/>
      <c r="I44" s="165"/>
    </row>
    <row r="45" spans="1:13" x14ac:dyDescent="0.25">
      <c r="A45" s="104" t="s">
        <v>624</v>
      </c>
      <c r="B45" s="29"/>
      <c r="C45" s="29"/>
      <c r="D45" s="29"/>
      <c r="E45" s="174">
        <f>E25-E43</f>
        <v>65000</v>
      </c>
      <c r="F45" s="140"/>
      <c r="G45" s="174">
        <f>G25-G43</f>
        <v>56258</v>
      </c>
      <c r="H45" s="140"/>
      <c r="I45" s="174">
        <f>I25+I43</f>
        <v>-8742</v>
      </c>
      <c r="K45" s="396"/>
    </row>
    <row r="46" spans="1:13" x14ac:dyDescent="0.25">
      <c r="A46" s="104"/>
      <c r="B46" s="29"/>
      <c r="C46" s="29"/>
      <c r="D46" s="29"/>
      <c r="E46" s="144"/>
      <c r="F46" s="140"/>
      <c r="G46" s="144"/>
      <c r="H46" s="140"/>
      <c r="I46" s="144"/>
    </row>
    <row r="47" spans="1:13" x14ac:dyDescent="0.25">
      <c r="A47" s="29"/>
      <c r="B47" s="29"/>
      <c r="C47" s="29"/>
      <c r="D47" s="29"/>
      <c r="E47" s="169"/>
      <c r="F47" s="140"/>
      <c r="G47" s="169"/>
      <c r="H47" s="140"/>
      <c r="I47" s="417" t="s">
        <v>329</v>
      </c>
    </row>
    <row r="48" spans="1:13" x14ac:dyDescent="0.25">
      <c r="A48" s="29"/>
      <c r="B48" s="29"/>
      <c r="C48" s="29"/>
      <c r="D48" s="29"/>
      <c r="E48" s="169"/>
      <c r="F48" s="140"/>
      <c r="G48" s="169"/>
      <c r="H48" s="140"/>
      <c r="I48" s="417" t="s">
        <v>329</v>
      </c>
    </row>
    <row r="49" spans="1:11" ht="13.8" thickBot="1" x14ac:dyDescent="0.3">
      <c r="A49" s="94"/>
      <c r="B49" s="94"/>
      <c r="C49" s="94"/>
      <c r="D49" s="94"/>
      <c r="E49" s="94"/>
      <c r="F49" s="94"/>
      <c r="G49" s="94"/>
      <c r="H49" s="94"/>
      <c r="I49" s="94"/>
    </row>
    <row r="50" spans="1:11" x14ac:dyDescent="0.25">
      <c r="A50" s="29"/>
      <c r="B50" s="29"/>
      <c r="C50" s="29"/>
      <c r="D50" s="29"/>
      <c r="E50" s="29"/>
      <c r="F50" s="29"/>
      <c r="G50" s="29"/>
      <c r="H50" s="29"/>
      <c r="I50" s="131" t="s">
        <v>215</v>
      </c>
    </row>
    <row r="51" spans="1:11" x14ac:dyDescent="0.25">
      <c r="A51" s="29"/>
      <c r="B51" s="29"/>
      <c r="C51" s="29"/>
      <c r="D51" s="29"/>
      <c r="E51" s="131" t="s">
        <v>218</v>
      </c>
      <c r="F51" s="29"/>
      <c r="G51" s="29"/>
      <c r="H51" s="29"/>
      <c r="I51" s="131" t="s">
        <v>219</v>
      </c>
    </row>
    <row r="52" spans="1:11" x14ac:dyDescent="0.25">
      <c r="A52" s="29"/>
      <c r="B52" s="29"/>
      <c r="C52" s="29"/>
      <c r="D52" s="29"/>
      <c r="E52" s="136" t="s">
        <v>220</v>
      </c>
      <c r="F52" s="29"/>
      <c r="G52" s="136" t="s">
        <v>221</v>
      </c>
      <c r="H52" s="29"/>
      <c r="I52" s="136" t="s">
        <v>222</v>
      </c>
    </row>
    <row r="53" spans="1:11" x14ac:dyDescent="0.25">
      <c r="A53" s="29"/>
      <c r="B53" s="29"/>
      <c r="C53" s="29"/>
      <c r="D53" s="29"/>
      <c r="E53" s="169"/>
      <c r="F53" s="140"/>
      <c r="G53" s="169"/>
      <c r="H53" s="140"/>
      <c r="I53" s="417"/>
    </row>
    <row r="54" spans="1:11" x14ac:dyDescent="0.25">
      <c r="A54" s="104" t="s">
        <v>801</v>
      </c>
      <c r="B54" s="29"/>
      <c r="C54" s="29"/>
      <c r="D54" s="29"/>
      <c r="E54" s="169"/>
      <c r="F54" s="140"/>
      <c r="G54" s="169"/>
      <c r="H54" s="140"/>
      <c r="I54" s="169"/>
    </row>
    <row r="55" spans="1:11" x14ac:dyDescent="0.25">
      <c r="A55" s="29"/>
      <c r="B55" s="104" t="s">
        <v>781</v>
      </c>
      <c r="C55" s="29"/>
      <c r="D55" s="29"/>
      <c r="E55" s="169"/>
      <c r="F55" s="140"/>
      <c r="G55" s="169"/>
      <c r="H55" s="140"/>
      <c r="I55" s="169"/>
    </row>
    <row r="56" spans="1:11" x14ac:dyDescent="0.25">
      <c r="A56" s="29"/>
      <c r="B56" s="29"/>
      <c r="C56" s="104" t="s">
        <v>802</v>
      </c>
      <c r="D56" s="29"/>
      <c r="E56" s="169"/>
      <c r="F56" s="140"/>
      <c r="G56" s="169"/>
      <c r="H56" s="140"/>
      <c r="I56" s="169"/>
    </row>
    <row r="57" spans="1:11" x14ac:dyDescent="0.25">
      <c r="A57" s="29"/>
      <c r="B57" s="29"/>
      <c r="C57" s="104"/>
      <c r="D57" s="29" t="s">
        <v>803</v>
      </c>
      <c r="E57" s="174">
        <v>-65000</v>
      </c>
      <c r="F57" s="140"/>
      <c r="G57" s="174">
        <v>-65000</v>
      </c>
      <c r="H57" s="140"/>
      <c r="I57" s="174">
        <v>0</v>
      </c>
    </row>
    <row r="58" spans="1:11" x14ac:dyDescent="0.25">
      <c r="A58" s="29"/>
      <c r="B58" s="29"/>
      <c r="C58" s="29"/>
      <c r="D58" s="29"/>
      <c r="E58" s="169"/>
      <c r="F58" s="140"/>
      <c r="G58" s="169"/>
      <c r="H58" s="140"/>
      <c r="I58" s="169"/>
    </row>
    <row r="59" spans="1:11" x14ac:dyDescent="0.25">
      <c r="A59" s="104" t="s">
        <v>804</v>
      </c>
      <c r="C59" s="29"/>
      <c r="D59" s="29"/>
      <c r="E59" s="169"/>
      <c r="F59" s="140"/>
      <c r="G59" s="169"/>
      <c r="H59" s="140"/>
      <c r="I59" s="169"/>
    </row>
    <row r="60" spans="1:11" ht="13.8" thickBot="1" x14ac:dyDescent="0.3">
      <c r="A60" s="29"/>
      <c r="B60" s="104" t="s">
        <v>805</v>
      </c>
      <c r="C60" s="29"/>
      <c r="D60" s="29"/>
      <c r="E60" s="224">
        <f>E45+E57</f>
        <v>0</v>
      </c>
      <c r="F60" s="145"/>
      <c r="G60" s="144">
        <f>G45+G57</f>
        <v>-8742</v>
      </c>
      <c r="H60" s="140"/>
      <c r="I60" s="172">
        <f>I45+I57</f>
        <v>-8742</v>
      </c>
      <c r="K60" s="396"/>
    </row>
    <row r="61" spans="1:11" ht="13.8" thickTop="1" x14ac:dyDescent="0.25">
      <c r="A61" s="29"/>
      <c r="B61" s="29"/>
      <c r="C61" s="29"/>
      <c r="D61" s="29"/>
      <c r="E61" s="169"/>
      <c r="F61" s="140"/>
      <c r="G61" s="169"/>
      <c r="H61" s="140"/>
      <c r="I61" s="169"/>
    </row>
    <row r="62" spans="1:11" x14ac:dyDescent="0.25">
      <c r="A62" s="225" t="s">
        <v>806</v>
      </c>
      <c r="B62" s="226"/>
      <c r="C62" s="226"/>
      <c r="D62" s="226"/>
      <c r="E62" s="227"/>
      <c r="F62" s="227"/>
      <c r="G62" s="227"/>
      <c r="H62" s="227"/>
      <c r="I62" s="227"/>
    </row>
    <row r="63" spans="1:11" x14ac:dyDescent="0.25">
      <c r="A63" s="225" t="s">
        <v>807</v>
      </c>
      <c r="B63" s="226"/>
      <c r="C63" s="226"/>
      <c r="D63" s="226"/>
      <c r="E63" s="226"/>
      <c r="F63" s="226"/>
      <c r="G63" s="227"/>
      <c r="H63" s="226"/>
      <c r="I63" s="226"/>
    </row>
    <row r="64" spans="1:11" x14ac:dyDescent="0.25">
      <c r="A64" s="226"/>
      <c r="B64" s="226"/>
      <c r="C64" s="226"/>
      <c r="D64" s="226"/>
      <c r="E64" s="226"/>
      <c r="F64" s="226"/>
      <c r="G64" s="226"/>
      <c r="H64" s="226"/>
      <c r="I64" s="226"/>
    </row>
    <row r="65" spans="1:11" x14ac:dyDescent="0.25">
      <c r="A65" s="226"/>
      <c r="B65" s="228" t="s">
        <v>808</v>
      </c>
      <c r="C65" s="226"/>
      <c r="D65" s="226"/>
      <c r="E65" s="226"/>
      <c r="F65" s="226"/>
      <c r="G65" s="227"/>
      <c r="H65" s="226"/>
      <c r="I65" s="226"/>
    </row>
    <row r="66" spans="1:11" x14ac:dyDescent="0.25">
      <c r="A66" s="226"/>
      <c r="B66" s="226"/>
      <c r="C66" s="228" t="s">
        <v>800</v>
      </c>
      <c r="D66" s="226"/>
      <c r="E66" s="227"/>
      <c r="F66" s="227"/>
      <c r="G66" s="227">
        <v>46559</v>
      </c>
      <c r="H66" s="227"/>
      <c r="I66" s="227"/>
    </row>
    <row r="67" spans="1:11" x14ac:dyDescent="0.25">
      <c r="A67" s="226"/>
      <c r="B67" s="226"/>
      <c r="C67" s="228" t="s">
        <v>281</v>
      </c>
      <c r="D67" s="226"/>
      <c r="E67" s="227"/>
      <c r="F67" s="227"/>
      <c r="G67" s="227">
        <v>-50241</v>
      </c>
      <c r="H67" s="227"/>
      <c r="I67" s="227"/>
    </row>
    <row r="68" spans="1:11" x14ac:dyDescent="0.25">
      <c r="A68" s="226"/>
      <c r="B68" s="226"/>
      <c r="C68" s="228" t="s">
        <v>809</v>
      </c>
      <c r="D68" s="226"/>
      <c r="E68" s="227"/>
      <c r="F68" s="227"/>
      <c r="G68" s="227">
        <f>-'EFCF Exh 9'!E71</f>
        <v>30668.848000000002</v>
      </c>
      <c r="H68" s="227"/>
      <c r="I68" s="227"/>
    </row>
    <row r="69" spans="1:11" x14ac:dyDescent="0.25">
      <c r="A69" s="226"/>
      <c r="B69" s="226"/>
      <c r="C69" s="228" t="s">
        <v>810</v>
      </c>
      <c r="D69" s="226"/>
      <c r="E69" s="227"/>
      <c r="F69" s="227"/>
      <c r="G69" s="227">
        <f>-'EFCF Exh 9'!E73</f>
        <v>-34960.976000000002</v>
      </c>
      <c r="H69" s="227"/>
      <c r="I69" s="227"/>
    </row>
    <row r="70" spans="1:11" x14ac:dyDescent="0.25">
      <c r="A70" s="226"/>
      <c r="B70" s="226"/>
      <c r="C70" s="228" t="s">
        <v>811</v>
      </c>
      <c r="D70" s="226"/>
      <c r="E70" s="227"/>
      <c r="F70" s="227"/>
      <c r="G70" s="227">
        <f>-'EFCF Exh 9'!E75</f>
        <v>72.896000000000001</v>
      </c>
      <c r="H70" s="227"/>
      <c r="I70" s="227"/>
    </row>
    <row r="71" spans="1:11" x14ac:dyDescent="0.25">
      <c r="A71" s="226"/>
      <c r="B71" s="226"/>
      <c r="C71" s="228" t="s">
        <v>812</v>
      </c>
      <c r="D71" s="226"/>
      <c r="E71" s="227"/>
      <c r="F71" s="227"/>
      <c r="G71" s="227">
        <f>-'EFCF Exh 9'!E72</f>
        <v>117.584</v>
      </c>
      <c r="H71" s="227"/>
      <c r="I71" s="227"/>
    </row>
    <row r="72" spans="1:11" x14ac:dyDescent="0.25">
      <c r="A72" s="226"/>
      <c r="B72" s="226"/>
      <c r="C72" s="228" t="s">
        <v>813</v>
      </c>
      <c r="D72" s="226"/>
      <c r="E72" s="227"/>
      <c r="F72" s="227"/>
      <c r="G72" s="227">
        <f>-'EFCF Exh 9'!E74</f>
        <v>8205.2319999999963</v>
      </c>
      <c r="H72" s="227"/>
      <c r="I72" s="227"/>
    </row>
    <row r="73" spans="1:11" x14ac:dyDescent="0.25">
      <c r="A73" s="226"/>
      <c r="B73" s="226"/>
      <c r="C73" s="228" t="s">
        <v>814</v>
      </c>
      <c r="D73" s="226"/>
      <c r="E73" s="227"/>
      <c r="F73" s="227"/>
      <c r="G73" s="227">
        <f>-'EFCF Exh 9'!E76</f>
        <v>-8703.1039999999994</v>
      </c>
      <c r="H73" s="227"/>
      <c r="I73" s="227"/>
    </row>
    <row r="74" spans="1:11" ht="26.4" customHeight="1" x14ac:dyDescent="0.25">
      <c r="A74" s="226"/>
      <c r="B74" s="226"/>
      <c r="C74" s="1027" t="s">
        <v>815</v>
      </c>
      <c r="D74" s="1027"/>
      <c r="E74" s="227"/>
      <c r="F74" s="227"/>
      <c r="G74" s="227">
        <v>-46274</v>
      </c>
      <c r="H74" s="227"/>
      <c r="I74" s="227"/>
    </row>
    <row r="75" spans="1:11" x14ac:dyDescent="0.25">
      <c r="A75" s="226"/>
      <c r="B75" s="226"/>
      <c r="C75" s="104" t="s">
        <v>816</v>
      </c>
      <c r="D75" s="226"/>
      <c r="E75" s="227"/>
      <c r="F75" s="227"/>
      <c r="G75" s="227"/>
      <c r="H75" s="227"/>
      <c r="I75" s="226"/>
    </row>
    <row r="76" spans="1:11" x14ac:dyDescent="0.25">
      <c r="A76" s="226"/>
      <c r="B76" s="226"/>
      <c r="D76" s="226" t="s">
        <v>803</v>
      </c>
      <c r="E76" s="227"/>
      <c r="F76" s="227"/>
      <c r="G76" s="227">
        <v>65000</v>
      </c>
      <c r="H76" s="227"/>
      <c r="I76" s="227"/>
    </row>
    <row r="77" spans="1:11" x14ac:dyDescent="0.25">
      <c r="A77" s="226"/>
      <c r="B77" s="226"/>
      <c r="C77" s="228" t="s">
        <v>817</v>
      </c>
      <c r="D77" s="226"/>
      <c r="E77" s="227"/>
      <c r="F77" s="227"/>
      <c r="G77" s="229">
        <v>-5000</v>
      </c>
      <c r="H77" s="227"/>
      <c r="I77" s="227"/>
    </row>
    <row r="78" spans="1:11" x14ac:dyDescent="0.25">
      <c r="A78" s="226"/>
      <c r="B78" s="226"/>
      <c r="C78" s="226"/>
      <c r="D78" s="228" t="s">
        <v>818</v>
      </c>
      <c r="E78" s="227"/>
      <c r="F78" s="227"/>
      <c r="G78" s="230">
        <f>SUM(G66:G77)</f>
        <v>5444.4799999999959</v>
      </c>
      <c r="H78" s="227"/>
      <c r="I78" s="227"/>
    </row>
    <row r="79" spans="1:11" ht="13.8" thickBot="1" x14ac:dyDescent="0.3">
      <c r="A79" s="228"/>
      <c r="C79" s="226" t="s">
        <v>99</v>
      </c>
      <c r="D79" s="226"/>
      <c r="E79" s="227"/>
      <c r="F79" s="227"/>
      <c r="G79" s="602">
        <f>G78+G60</f>
        <v>-3297.5200000000041</v>
      </c>
      <c r="H79" s="227"/>
      <c r="I79" s="227"/>
      <c r="K79" s="430"/>
    </row>
    <row r="80" spans="1:11" ht="13.8" thickTop="1" x14ac:dyDescent="0.25"/>
  </sheetData>
  <customSheetViews>
    <customSheetView guid="{A8748736-0722-49EB-85B6-C9B52DDCFE0E}" showPageBreaks="1" printArea="1">
      <selection activeCell="E60" sqref="E60"/>
      <rowBreaks count="1" manualBreakCount="1">
        <brk id="47" max="16383" man="1"/>
      </rowBreaks>
      <pageMargins left="0.75" right="0.75" top="1" bottom="1" header="0.5" footer="0.5"/>
      <printOptions horizontalCentered="1"/>
      <pageSetup scale="86" firstPageNumber="125" fitToHeight="0" orientation="portrait" useFirstPageNumber="1" r:id="rId1"/>
      <headerFooter alignWithMargins="0"/>
    </customSheetView>
    <customSheetView guid="{E0C60316-4586-4AAF-92CB-FA82BB1EB755}" topLeftCell="A10">
      <rowBreaks count="1" manualBreakCount="1">
        <brk id="47" max="16383" man="1"/>
      </rowBreaks>
      <pageMargins left="0" right="0" top="0" bottom="0" header="0" footer="0"/>
      <printOptions horizontalCentered="1"/>
      <pageSetup scale="86" firstPageNumber="125" fitToHeight="0" orientation="portrait" useFirstPageNumber="1" r:id="rId2"/>
      <headerFooter alignWithMargins="0"/>
    </customSheetView>
  </customSheetViews>
  <mergeCells count="1">
    <mergeCell ref="C74:D74"/>
  </mergeCells>
  <phoneticPr fontId="0" type="noConversion"/>
  <printOptions horizontalCentered="1"/>
  <pageMargins left="0.75" right="0.75" top="1" bottom="1" header="0.5" footer="0.5"/>
  <pageSetup scale="86" firstPageNumber="125" fitToHeight="0" orientation="portrait" useFirstPageNumber="1" r:id="rId3"/>
  <headerFooter alignWithMargins="0"/>
  <rowBreaks count="1" manualBreakCount="1">
    <brk id="47" max="16383"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M75"/>
  <sheetViews>
    <sheetView workbookViewId="0">
      <selection sqref="A1:M1"/>
    </sheetView>
  </sheetViews>
  <sheetFormatPr defaultColWidth="9.109375" defaultRowHeight="13.2" x14ac:dyDescent="0.25"/>
  <cols>
    <col min="1" max="3" width="3" style="35" customWidth="1"/>
    <col min="4" max="4" width="16.6640625" style="35" customWidth="1"/>
    <col min="5" max="5" width="10.33203125" style="35" customWidth="1"/>
    <col min="6" max="6" width="2.109375" style="35" customWidth="1"/>
    <col min="7" max="7" width="8.6640625" style="35" customWidth="1"/>
    <col min="8" max="8" width="1.6640625" style="35" customWidth="1"/>
    <col min="9" max="9" width="8.6640625" style="35" customWidth="1"/>
    <col min="10" max="10" width="1.88671875" style="35" customWidth="1"/>
    <col min="11" max="11" width="8.6640625" style="35" customWidth="1"/>
    <col min="12" max="12" width="1.33203125" style="35" customWidth="1"/>
    <col min="13" max="13" width="10.6640625" style="35" customWidth="1"/>
    <col min="14" max="16384" width="9.109375" style="35"/>
  </cols>
  <sheetData>
    <row r="1" spans="1:13" x14ac:dyDescent="0.25">
      <c r="A1" s="1043" t="s">
        <v>1</v>
      </c>
      <c r="B1" s="1043"/>
      <c r="C1" s="1043"/>
      <c r="D1" s="1043"/>
      <c r="E1" s="1043"/>
      <c r="F1" s="1043"/>
      <c r="G1" s="1043"/>
      <c r="H1" s="1043"/>
      <c r="I1" s="1043"/>
      <c r="J1" s="1043"/>
      <c r="K1" s="1043"/>
      <c r="L1" s="1043"/>
      <c r="M1" s="1043"/>
    </row>
    <row r="2" spans="1:13" x14ac:dyDescent="0.25">
      <c r="A2" s="1043" t="s">
        <v>819</v>
      </c>
      <c r="B2" s="1043"/>
      <c r="C2" s="1043"/>
      <c r="D2" s="1043"/>
      <c r="E2" s="1043"/>
      <c r="F2" s="1043"/>
      <c r="G2" s="1043"/>
      <c r="H2" s="1043"/>
      <c r="I2" s="1043"/>
      <c r="J2" s="1043"/>
      <c r="K2" s="1043"/>
      <c r="L2" s="1043"/>
      <c r="M2" s="1043"/>
    </row>
    <row r="3" spans="1:13" x14ac:dyDescent="0.25">
      <c r="A3" s="1043" t="s">
        <v>820</v>
      </c>
      <c r="B3" s="1043"/>
      <c r="C3" s="1043"/>
      <c r="D3" s="1043"/>
      <c r="E3" s="1043"/>
      <c r="F3" s="1043"/>
      <c r="G3" s="1043"/>
      <c r="H3" s="1043"/>
      <c r="I3" s="1043"/>
      <c r="J3" s="1043"/>
      <c r="K3" s="1043"/>
      <c r="L3" s="1043"/>
      <c r="M3" s="1043"/>
    </row>
    <row r="4" spans="1:13" x14ac:dyDescent="0.25">
      <c r="A4" s="1043" t="str">
        <f>'CPBA-1'!A5</f>
        <v>From Inception and for the Fiscal Year Ended June 30, 2022</v>
      </c>
      <c r="B4" s="1043"/>
      <c r="C4" s="1043"/>
      <c r="D4" s="1043"/>
      <c r="E4" s="1043"/>
      <c r="F4" s="1043"/>
      <c r="G4" s="1043"/>
      <c r="H4" s="1043"/>
      <c r="I4" s="1043"/>
      <c r="J4" s="1043"/>
      <c r="K4" s="1043"/>
      <c r="L4" s="1043"/>
      <c r="M4" s="1043"/>
    </row>
    <row r="5" spans="1:13" ht="13.8" thickBot="1" x14ac:dyDescent="0.3">
      <c r="A5" s="231"/>
      <c r="B5" s="231"/>
      <c r="C5" s="231"/>
      <c r="D5" s="231"/>
      <c r="E5" s="231"/>
      <c r="F5" s="231"/>
      <c r="G5" s="231"/>
      <c r="H5" s="231"/>
      <c r="I5" s="231"/>
      <c r="J5" s="231"/>
      <c r="K5" s="231"/>
      <c r="L5" s="231"/>
      <c r="M5" s="231"/>
    </row>
    <row r="6" spans="1:13" ht="13.8" thickTop="1" x14ac:dyDescent="0.25">
      <c r="A6" s="232"/>
      <c r="B6" s="232"/>
      <c r="C6" s="232"/>
      <c r="D6" s="232"/>
      <c r="E6" s="232"/>
      <c r="F6" s="232"/>
      <c r="G6" s="232"/>
      <c r="H6" s="232"/>
      <c r="I6" s="232"/>
      <c r="J6" s="232"/>
      <c r="K6" s="232"/>
      <c r="L6" s="232"/>
      <c r="M6" s="232"/>
    </row>
    <row r="7" spans="1:13" x14ac:dyDescent="0.25">
      <c r="A7" s="232"/>
      <c r="B7" s="232"/>
      <c r="C7" s="232"/>
      <c r="D7" s="232"/>
      <c r="E7" s="233" t="s">
        <v>754</v>
      </c>
      <c r="F7" s="232"/>
      <c r="G7" s="1042" t="s">
        <v>221</v>
      </c>
      <c r="H7" s="1042"/>
      <c r="I7" s="1042"/>
      <c r="J7" s="1042"/>
      <c r="K7" s="1042"/>
      <c r="L7" s="232"/>
      <c r="M7" s="131" t="s">
        <v>215</v>
      </c>
    </row>
    <row r="8" spans="1:13" x14ac:dyDescent="0.25">
      <c r="A8" s="232"/>
      <c r="B8" s="232"/>
      <c r="C8" s="232"/>
      <c r="D8" s="232"/>
      <c r="E8" s="233" t="s">
        <v>821</v>
      </c>
      <c r="F8" s="232"/>
      <c r="G8" s="233" t="s">
        <v>730</v>
      </c>
      <c r="H8" s="232"/>
      <c r="I8" s="233" t="s">
        <v>822</v>
      </c>
      <c r="J8" s="232"/>
      <c r="K8" s="233" t="s">
        <v>732</v>
      </c>
      <c r="L8" s="232"/>
      <c r="M8" s="131" t="s">
        <v>219</v>
      </c>
    </row>
    <row r="9" spans="1:13" x14ac:dyDescent="0.25">
      <c r="A9" s="232"/>
      <c r="B9" s="234" t="s">
        <v>122</v>
      </c>
      <c r="C9" s="232"/>
      <c r="D9" s="232"/>
      <c r="E9" s="653" t="s">
        <v>756</v>
      </c>
      <c r="F9" s="232"/>
      <c r="G9" s="653" t="s">
        <v>734</v>
      </c>
      <c r="H9" s="232"/>
      <c r="I9" s="653" t="s">
        <v>734</v>
      </c>
      <c r="J9" s="232"/>
      <c r="K9" s="653" t="s">
        <v>735</v>
      </c>
      <c r="L9" s="232"/>
      <c r="M9" s="136" t="s">
        <v>222</v>
      </c>
    </row>
    <row r="10" spans="1:13" x14ac:dyDescent="0.25">
      <c r="A10" s="234" t="s">
        <v>223</v>
      </c>
      <c r="B10" s="232"/>
      <c r="C10" s="232"/>
      <c r="D10" s="232"/>
      <c r="E10" s="232"/>
      <c r="F10" s="232"/>
      <c r="G10" s="232"/>
      <c r="H10" s="232"/>
      <c r="I10" s="232"/>
      <c r="J10" s="232"/>
      <c r="K10" s="232"/>
      <c r="L10" s="232"/>
      <c r="M10" s="232"/>
    </row>
    <row r="11" spans="1:13" x14ac:dyDescent="0.25">
      <c r="A11" s="232"/>
      <c r="B11" s="234" t="s">
        <v>169</v>
      </c>
      <c r="C11" s="232"/>
      <c r="D11" s="232"/>
      <c r="E11" s="235">
        <v>40000</v>
      </c>
      <c r="F11" s="235"/>
      <c r="G11" s="236">
        <v>0</v>
      </c>
      <c r="H11" s="235"/>
      <c r="I11" s="236">
        <v>0</v>
      </c>
      <c r="J11" s="235"/>
      <c r="K11" s="236">
        <v>0</v>
      </c>
      <c r="L11" s="237"/>
      <c r="M11" s="235">
        <f>-K11-E11</f>
        <v>-40000</v>
      </c>
    </row>
    <row r="12" spans="1:13" x14ac:dyDescent="0.25">
      <c r="A12" s="232"/>
      <c r="B12" s="232"/>
      <c r="C12" s="232"/>
      <c r="D12" s="232"/>
      <c r="E12" s="238"/>
      <c r="F12" s="238"/>
      <c r="G12" s="239"/>
      <c r="H12" s="239"/>
      <c r="I12" s="239"/>
      <c r="J12" s="239"/>
      <c r="K12" s="239"/>
      <c r="L12" s="239"/>
      <c r="M12" s="239"/>
    </row>
    <row r="13" spans="1:13" x14ac:dyDescent="0.25">
      <c r="A13" s="234" t="s">
        <v>228</v>
      </c>
      <c r="B13" s="232"/>
      <c r="C13" s="232"/>
      <c r="D13" s="232"/>
      <c r="E13" s="239"/>
      <c r="F13" s="239"/>
      <c r="G13" s="239"/>
      <c r="H13" s="239"/>
      <c r="I13" s="239"/>
      <c r="J13" s="239"/>
      <c r="K13" s="239"/>
      <c r="L13" s="239"/>
      <c r="M13" s="239"/>
    </row>
    <row r="14" spans="1:13" x14ac:dyDescent="0.25">
      <c r="A14" s="232"/>
      <c r="B14" s="234" t="s">
        <v>625</v>
      </c>
      <c r="C14" s="232"/>
      <c r="D14" s="232"/>
      <c r="E14" s="239"/>
      <c r="F14" s="239"/>
      <c r="G14" s="239"/>
      <c r="H14" s="239"/>
      <c r="I14" s="239"/>
      <c r="J14" s="239"/>
      <c r="K14" s="239"/>
      <c r="L14" s="239"/>
      <c r="M14" s="239"/>
    </row>
    <row r="15" spans="1:13" x14ac:dyDescent="0.25">
      <c r="A15" s="232"/>
      <c r="B15" s="232"/>
      <c r="C15" s="234" t="s">
        <v>823</v>
      </c>
      <c r="D15" s="232"/>
      <c r="E15" s="239">
        <v>1300000</v>
      </c>
      <c r="F15" s="239"/>
      <c r="G15" s="240">
        <v>0</v>
      </c>
      <c r="H15" s="239"/>
      <c r="I15" s="239">
        <v>65000</v>
      </c>
      <c r="J15" s="239"/>
      <c r="K15" s="239">
        <v>65000</v>
      </c>
      <c r="L15" s="239"/>
      <c r="M15" s="239">
        <f>K15-E15</f>
        <v>-1235000</v>
      </c>
    </row>
    <row r="16" spans="1:13" x14ac:dyDescent="0.25">
      <c r="A16" s="232"/>
      <c r="B16" s="234" t="s">
        <v>627</v>
      </c>
      <c r="C16" s="232"/>
      <c r="D16" s="232"/>
      <c r="E16" s="238"/>
      <c r="F16" s="238"/>
      <c r="G16" s="238"/>
      <c r="H16" s="238"/>
      <c r="I16" s="238"/>
      <c r="J16" s="239"/>
      <c r="K16" s="238"/>
      <c r="L16" s="238"/>
      <c r="M16" s="239"/>
    </row>
    <row r="17" spans="1:13" x14ac:dyDescent="0.25">
      <c r="A17" s="232"/>
      <c r="B17" s="232"/>
      <c r="C17" s="234" t="s">
        <v>823</v>
      </c>
      <c r="D17" s="232"/>
      <c r="E17" s="239">
        <v>-1340000</v>
      </c>
      <c r="F17" s="238"/>
      <c r="G17" s="241">
        <v>0</v>
      </c>
      <c r="H17" s="238"/>
      <c r="I17" s="241">
        <v>0</v>
      </c>
      <c r="J17" s="239"/>
      <c r="K17" s="241">
        <v>0</v>
      </c>
      <c r="L17" s="238"/>
      <c r="M17" s="239">
        <f>K17-E17</f>
        <v>1340000</v>
      </c>
    </row>
    <row r="18" spans="1:13" x14ac:dyDescent="0.25">
      <c r="A18" s="232"/>
      <c r="B18" s="232"/>
      <c r="C18" s="232"/>
      <c r="D18" s="234" t="s">
        <v>8</v>
      </c>
      <c r="E18" s="242">
        <f>SUM(E14:E17)</f>
        <v>-40000</v>
      </c>
      <c r="F18" s="238"/>
      <c r="G18" s="242">
        <f>SUM(G14:G17)</f>
        <v>0</v>
      </c>
      <c r="H18" s="238"/>
      <c r="I18" s="242">
        <f>SUM(I14:I17)</f>
        <v>65000</v>
      </c>
      <c r="J18" s="239"/>
      <c r="K18" s="242">
        <f>SUM(K14:K17)</f>
        <v>65000</v>
      </c>
      <c r="L18" s="238"/>
      <c r="M18" s="242">
        <f>K18-E18</f>
        <v>105000</v>
      </c>
    </row>
    <row r="19" spans="1:13" x14ac:dyDescent="0.25">
      <c r="A19" s="232"/>
      <c r="B19" s="232"/>
      <c r="C19" s="232"/>
      <c r="D19" s="232"/>
      <c r="E19" s="238"/>
      <c r="F19" s="238"/>
      <c r="G19" s="238"/>
      <c r="H19" s="238"/>
      <c r="I19" s="238"/>
      <c r="J19" s="239"/>
      <c r="K19" s="238"/>
      <c r="L19" s="238"/>
      <c r="M19" s="238"/>
    </row>
    <row r="20" spans="1:13" ht="24.6" customHeight="1" thickBot="1" x14ac:dyDescent="0.3">
      <c r="A20" s="1040" t="s">
        <v>824</v>
      </c>
      <c r="B20" s="1041"/>
      <c r="C20" s="1041"/>
      <c r="D20" s="1041"/>
      <c r="E20" s="243">
        <f>E11+E18</f>
        <v>0</v>
      </c>
      <c r="F20" s="238"/>
      <c r="G20" s="243">
        <f>G11+G18</f>
        <v>0</v>
      </c>
      <c r="H20" s="238"/>
      <c r="I20" s="243">
        <f>I11+I18</f>
        <v>65000</v>
      </c>
      <c r="J20" s="239"/>
      <c r="K20" s="243">
        <f>K11+K18</f>
        <v>65000</v>
      </c>
      <c r="L20" s="238"/>
      <c r="M20" s="243">
        <f>M11+M18</f>
        <v>65000</v>
      </c>
    </row>
    <row r="21" spans="1:13" ht="13.8" thickTop="1" x14ac:dyDescent="0.25">
      <c r="A21" s="234"/>
      <c r="B21" s="232"/>
      <c r="C21" s="232"/>
      <c r="D21" s="232"/>
      <c r="E21" s="404"/>
      <c r="F21" s="404"/>
      <c r="G21" s="404"/>
      <c r="H21" s="404"/>
      <c r="I21" s="404"/>
      <c r="J21" s="404"/>
      <c r="K21" s="404"/>
      <c r="L21" s="404"/>
      <c r="M21" s="404"/>
    </row>
    <row r="22" spans="1:13" x14ac:dyDescent="0.25">
      <c r="A22" s="29"/>
      <c r="B22" s="29"/>
      <c r="C22" s="29"/>
      <c r="D22" s="29"/>
      <c r="E22" s="29"/>
      <c r="F22" s="238"/>
      <c r="G22" s="29"/>
      <c r="H22" s="238"/>
      <c r="I22" s="29"/>
      <c r="J22" s="239"/>
      <c r="K22" s="29"/>
      <c r="L22" s="238"/>
      <c r="M22" s="29"/>
    </row>
    <row r="23" spans="1:13" x14ac:dyDescent="0.25">
      <c r="A23" s="404"/>
      <c r="B23" s="404"/>
      <c r="C23" s="404"/>
      <c r="D23" s="404"/>
      <c r="E23" s="404"/>
      <c r="F23" s="238"/>
      <c r="G23" s="404"/>
      <c r="H23" s="238"/>
      <c r="I23" s="404"/>
      <c r="J23" s="239"/>
      <c r="K23" s="404"/>
      <c r="L23" s="239"/>
      <c r="M23" s="404"/>
    </row>
    <row r="24" spans="1:13" x14ac:dyDescent="0.25">
      <c r="A24" s="404"/>
      <c r="B24" s="404"/>
      <c r="C24" s="404"/>
      <c r="D24" s="404"/>
      <c r="E24" s="404"/>
      <c r="F24" s="404"/>
      <c r="G24" s="404"/>
      <c r="H24" s="238"/>
      <c r="I24" s="404"/>
      <c r="J24" s="239"/>
      <c r="K24" s="404"/>
      <c r="L24" s="239"/>
      <c r="M24" s="404"/>
    </row>
    <row r="25" spans="1:13" x14ac:dyDescent="0.25">
      <c r="A25" s="404"/>
      <c r="B25" s="404"/>
      <c r="C25" s="404"/>
      <c r="D25" s="404"/>
      <c r="E25" s="404"/>
      <c r="F25" s="404"/>
      <c r="G25" s="404"/>
      <c r="H25" s="238"/>
      <c r="I25" s="404"/>
      <c r="J25" s="404"/>
      <c r="K25" s="404"/>
      <c r="L25" s="404"/>
      <c r="M25" s="404"/>
    </row>
    <row r="75" spans="7:7" x14ac:dyDescent="0.25">
      <c r="G75" s="636" t="s">
        <v>393</v>
      </c>
    </row>
  </sheetData>
  <customSheetViews>
    <customSheetView guid="{A8748736-0722-49EB-85B6-C9B52DDCFE0E}" showPageBreaks="1" printArea="1">
      <selection activeCell="K33" sqref="K33"/>
      <pageMargins left="0.75" right="0.75" top="1" bottom="1" header="0.5" footer="0.5"/>
      <printOptions horizontalCentered="1"/>
      <pageSetup scale="86" firstPageNumber="121" fitToHeight="0" orientation="portrait" useFirstPageNumber="1" r:id="rId1"/>
      <headerFooter alignWithMargins="0"/>
    </customSheetView>
    <customSheetView guid="{E0C60316-4586-4AAF-92CB-FA82BB1EB755}">
      <selection sqref="A1:M1"/>
      <pageMargins left="0" right="0" top="0" bottom="0" header="0" footer="0"/>
      <printOptions horizontalCentered="1"/>
      <pageSetup scale="86" firstPageNumber="121" fitToHeight="0" orientation="portrait" useFirstPageNumber="1" r:id="rId2"/>
      <headerFooter alignWithMargins="0"/>
    </customSheetView>
  </customSheetViews>
  <mergeCells count="6">
    <mergeCell ref="A20:D20"/>
    <mergeCell ref="G7:K7"/>
    <mergeCell ref="A1:M1"/>
    <mergeCell ref="A2:M2"/>
    <mergeCell ref="A3:M3"/>
    <mergeCell ref="A4:M4"/>
  </mergeCells>
  <phoneticPr fontId="0" type="noConversion"/>
  <printOptions horizontalCentered="1"/>
  <pageMargins left="0.75" right="0.75" top="1" bottom="1" header="0.5" footer="0.5"/>
  <pageSetup scale="86" firstPageNumber="121" fitToHeight="0" orientation="portrait" useFirstPageNumber="1"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O91"/>
  <sheetViews>
    <sheetView workbookViewId="0"/>
  </sheetViews>
  <sheetFormatPr defaultColWidth="9.109375" defaultRowHeight="13.2" x14ac:dyDescent="0.25"/>
  <cols>
    <col min="1" max="1" width="38.88671875" style="404" customWidth="1"/>
    <col min="2" max="3" width="13.44140625" style="404" customWidth="1"/>
    <col min="4" max="4" width="14.5546875" style="404" customWidth="1"/>
    <col min="5" max="5" width="15.6640625" style="404" customWidth="1"/>
    <col min="6" max="6" width="10.6640625" style="404" hidden="1" customWidth="1"/>
    <col min="7" max="7" width="14.5546875" style="404" bestFit="1" customWidth="1"/>
    <col min="8" max="8" width="9.109375" style="404"/>
    <col min="9" max="9" width="11.88671875" style="404" bestFit="1" customWidth="1"/>
    <col min="10" max="10" width="40.33203125" style="404" customWidth="1"/>
    <col min="11" max="11" width="11.33203125" style="404" bestFit="1" customWidth="1"/>
    <col min="12" max="16384" width="9.109375" style="404"/>
  </cols>
  <sheetData>
    <row r="1" spans="1:11" x14ac:dyDescent="0.25">
      <c r="E1" s="635" t="s">
        <v>109</v>
      </c>
    </row>
    <row r="2" spans="1:11" x14ac:dyDescent="0.25">
      <c r="A2" s="859" t="s">
        <v>1</v>
      </c>
      <c r="B2" s="859"/>
      <c r="C2" s="859"/>
      <c r="D2" s="859"/>
      <c r="E2" s="859"/>
    </row>
    <row r="3" spans="1:11" x14ac:dyDescent="0.25">
      <c r="A3" s="859" t="s">
        <v>110</v>
      </c>
      <c r="B3" s="859"/>
      <c r="C3" s="859"/>
      <c r="D3" s="859"/>
      <c r="E3" s="859"/>
    </row>
    <row r="4" spans="1:11" x14ac:dyDescent="0.25">
      <c r="A4" s="859" t="s">
        <v>111</v>
      </c>
      <c r="B4" s="859"/>
      <c r="C4" s="859"/>
      <c r="D4" s="859"/>
      <c r="E4" s="859"/>
    </row>
    <row r="5" spans="1:11" x14ac:dyDescent="0.25">
      <c r="A5" s="860" t="str">
        <f>'GWNetPos 68 Exh 1'!A4:F4</f>
        <v>June 30, 2022</v>
      </c>
      <c r="B5" s="859"/>
      <c r="C5" s="859"/>
      <c r="D5" s="859"/>
      <c r="E5" s="859"/>
    </row>
    <row r="6" spans="1:11" x14ac:dyDescent="0.25">
      <c r="A6" s="49"/>
      <c r="B6" s="636"/>
      <c r="C6" s="836"/>
      <c r="D6" s="636"/>
      <c r="E6" s="636"/>
    </row>
    <row r="7" spans="1:11" x14ac:dyDescent="0.25">
      <c r="B7" s="857" t="s">
        <v>112</v>
      </c>
      <c r="C7" s="857"/>
      <c r="D7" s="634" t="s">
        <v>113</v>
      </c>
    </row>
    <row r="8" spans="1:11" ht="39.6" x14ac:dyDescent="0.25">
      <c r="B8" s="655" t="s">
        <v>114</v>
      </c>
      <c r="C8" s="839" t="s">
        <v>1110</v>
      </c>
      <c r="D8" s="655" t="s">
        <v>115</v>
      </c>
      <c r="E8" s="655" t="s">
        <v>8</v>
      </c>
    </row>
    <row r="9" spans="1:11" x14ac:dyDescent="0.25">
      <c r="A9" s="38" t="s">
        <v>12</v>
      </c>
    </row>
    <row r="10" spans="1:11" x14ac:dyDescent="0.25">
      <c r="A10" s="404" t="s">
        <v>13</v>
      </c>
      <c r="B10" s="614">
        <f>10284305+500000-132811-50000+1500000-17285-200000+1029567-0.95*1001000-3200-16500-300-16497-250-0.95*(43000)-(4000)-(1221075)-(17279)-36253+30000</f>
        <v>10636622</v>
      </c>
      <c r="C10" s="412"/>
      <c r="D10" s="412">
        <v>179138</v>
      </c>
      <c r="E10" s="412">
        <f t="shared" ref="E10:E15" si="0">SUM(B10:D10)</f>
        <v>10815760</v>
      </c>
      <c r="F10" s="430"/>
      <c r="G10" s="430"/>
    </row>
    <row r="11" spans="1:11" x14ac:dyDescent="0.25">
      <c r="A11" s="404" t="s">
        <v>19</v>
      </c>
      <c r="B11" s="844">
        <f>534602+17285+200000</f>
        <v>751887</v>
      </c>
      <c r="C11" s="844">
        <v>1660000</v>
      </c>
      <c r="D11" s="814">
        <f>558550+1720+290000</f>
        <v>850270</v>
      </c>
      <c r="E11" s="396">
        <f t="shared" si="0"/>
        <v>3262157</v>
      </c>
    </row>
    <row r="12" spans="1:11" x14ac:dyDescent="0.25">
      <c r="A12" s="404" t="s">
        <v>116</v>
      </c>
      <c r="B12" s="619">
        <f>3534269-8932+398364</f>
        <v>3923701</v>
      </c>
      <c r="C12" s="396"/>
      <c r="D12" s="396">
        <f>11780+5823</f>
        <v>17603</v>
      </c>
      <c r="E12" s="396">
        <f t="shared" si="0"/>
        <v>3941304</v>
      </c>
    </row>
    <row r="13" spans="1:11" x14ac:dyDescent="0.25">
      <c r="A13" s="404" t="s">
        <v>15</v>
      </c>
      <c r="B13" s="393">
        <v>3200000</v>
      </c>
      <c r="C13" s="393"/>
      <c r="D13" s="393">
        <f>57800-3000</f>
        <v>54800</v>
      </c>
      <c r="E13" s="396">
        <f t="shared" si="0"/>
        <v>3254800</v>
      </c>
    </row>
    <row r="14" spans="1:11" x14ac:dyDescent="0.25">
      <c r="A14" s="404" t="s">
        <v>16</v>
      </c>
      <c r="B14" s="393">
        <v>36100</v>
      </c>
      <c r="C14" s="393"/>
      <c r="D14" s="393">
        <v>0</v>
      </c>
      <c r="E14" s="396">
        <f t="shared" si="0"/>
        <v>36100</v>
      </c>
      <c r="H14" s="30"/>
      <c r="I14" s="8"/>
      <c r="J14" s="8"/>
      <c r="K14" s="3"/>
    </row>
    <row r="15" spans="1:11" x14ac:dyDescent="0.25">
      <c r="A15" s="404" t="s">
        <v>17</v>
      </c>
      <c r="B15" s="393">
        <f>2551800</f>
        <v>2551800</v>
      </c>
      <c r="C15" s="393"/>
      <c r="D15" s="393">
        <v>0</v>
      </c>
      <c r="E15" s="393">
        <f t="shared" si="0"/>
        <v>2551800</v>
      </c>
      <c r="H15" s="30"/>
      <c r="I15" s="8"/>
      <c r="J15" s="8"/>
      <c r="K15" s="3"/>
    </row>
    <row r="16" spans="1:11" ht="13.8" thickBot="1" x14ac:dyDescent="0.3">
      <c r="A16" s="639" t="s">
        <v>27</v>
      </c>
      <c r="B16" s="392">
        <f>SUM(B10:B15)</f>
        <v>21100110</v>
      </c>
      <c r="C16" s="392"/>
      <c r="D16" s="392">
        <f>SUM(D10:D15)</f>
        <v>1101811</v>
      </c>
      <c r="E16" s="392">
        <f>SUM(E10:E15)</f>
        <v>23861921</v>
      </c>
      <c r="H16" s="30"/>
      <c r="I16" s="8"/>
      <c r="J16" s="8"/>
      <c r="K16" s="52"/>
    </row>
    <row r="17" spans="1:15" ht="9" customHeight="1" thickTop="1" x14ac:dyDescent="0.25">
      <c r="B17" s="413"/>
      <c r="C17" s="413"/>
      <c r="D17" s="413"/>
      <c r="E17" s="413"/>
      <c r="H17" s="30"/>
      <c r="I17" s="8"/>
      <c r="J17" s="8"/>
      <c r="K17" s="52"/>
    </row>
    <row r="18" spans="1:15" x14ac:dyDescent="0.25">
      <c r="A18" s="38" t="s">
        <v>117</v>
      </c>
      <c r="H18" s="30"/>
      <c r="I18" s="8"/>
      <c r="J18" s="8"/>
      <c r="K18" s="3"/>
    </row>
    <row r="19" spans="1:15" x14ac:dyDescent="0.25">
      <c r="A19" s="404" t="s">
        <v>118</v>
      </c>
      <c r="H19" s="30"/>
      <c r="I19" s="8"/>
      <c r="J19" s="8"/>
      <c r="K19" s="3"/>
    </row>
    <row r="20" spans="1:15" x14ac:dyDescent="0.25">
      <c r="A20" s="638" t="s">
        <v>119</v>
      </c>
      <c r="B20" s="623">
        <f>3560192+1300+1639</f>
        <v>3563131</v>
      </c>
      <c r="C20" s="414"/>
      <c r="D20" s="414">
        <v>20478</v>
      </c>
      <c r="E20" s="414">
        <f t="shared" ref="E20:E25" si="1">SUM(B20:D20)</f>
        <v>3583609</v>
      </c>
      <c r="H20" s="8"/>
      <c r="I20" s="30"/>
      <c r="J20" s="8"/>
      <c r="K20" s="3"/>
    </row>
    <row r="21" spans="1:15" x14ac:dyDescent="0.25">
      <c r="A21" s="639" t="s">
        <v>120</v>
      </c>
      <c r="B21" s="393">
        <v>226142</v>
      </c>
      <c r="C21" s="393"/>
      <c r="D21" s="393">
        <v>0</v>
      </c>
      <c r="E21" s="393">
        <f t="shared" si="1"/>
        <v>226142</v>
      </c>
      <c r="H21" s="30"/>
      <c r="I21" s="8"/>
      <c r="J21" s="8"/>
      <c r="K21" s="9"/>
    </row>
    <row r="22" spans="1:15" x14ac:dyDescent="0.25">
      <c r="A22" s="639" t="s">
        <v>32</v>
      </c>
      <c r="B22" s="393">
        <v>50551</v>
      </c>
      <c r="C22" s="393"/>
      <c r="D22" s="393">
        <v>74903</v>
      </c>
      <c r="E22" s="393">
        <f t="shared" si="1"/>
        <v>125454</v>
      </c>
      <c r="H22" s="30"/>
      <c r="I22" s="8"/>
      <c r="J22" s="8"/>
      <c r="K22" s="9"/>
    </row>
    <row r="23" spans="1:15" x14ac:dyDescent="0.25">
      <c r="A23" s="639" t="s">
        <v>121</v>
      </c>
      <c r="B23" s="393">
        <v>0</v>
      </c>
      <c r="C23" s="393"/>
      <c r="D23" s="393">
        <f>141297-56267</f>
        <v>85030</v>
      </c>
      <c r="E23" s="393">
        <f t="shared" si="1"/>
        <v>85030</v>
      </c>
      <c r="H23" s="30"/>
      <c r="I23" s="8"/>
      <c r="J23" s="8"/>
      <c r="K23" s="9"/>
    </row>
    <row r="24" spans="1:15" x14ac:dyDescent="0.25">
      <c r="A24" s="817" t="s">
        <v>1115</v>
      </c>
      <c r="B24" s="843">
        <v>0</v>
      </c>
      <c r="C24" s="843">
        <v>1660000</v>
      </c>
      <c r="D24" s="615">
        <v>290000</v>
      </c>
      <c r="E24" s="393">
        <f t="shared" si="1"/>
        <v>1950000</v>
      </c>
      <c r="H24" s="30"/>
      <c r="I24" s="8"/>
      <c r="J24" s="8"/>
      <c r="K24" s="9"/>
    </row>
    <row r="25" spans="1:15" x14ac:dyDescent="0.25">
      <c r="A25" s="638" t="s">
        <v>34</v>
      </c>
      <c r="B25" s="393">
        <f>56267+6612</f>
        <v>62879</v>
      </c>
      <c r="C25" s="393"/>
      <c r="D25" s="393">
        <v>0</v>
      </c>
      <c r="E25" s="393">
        <f t="shared" si="1"/>
        <v>62879</v>
      </c>
      <c r="H25" s="30"/>
      <c r="I25" s="8"/>
      <c r="J25" s="8"/>
      <c r="K25" s="9"/>
      <c r="O25" s="396"/>
    </row>
    <row r="26" spans="1:15" x14ac:dyDescent="0.25">
      <c r="A26" s="428" t="s">
        <v>39</v>
      </c>
      <c r="B26" s="415">
        <f>SUM(B20:B25)</f>
        <v>3902703</v>
      </c>
      <c r="C26" s="415">
        <f>SUM(C20:C25)</f>
        <v>1660000</v>
      </c>
      <c r="D26" s="415">
        <f>SUM(D20:D25)</f>
        <v>470411</v>
      </c>
      <c r="E26" s="415">
        <f>SUM(E20:E25)</f>
        <v>6033114</v>
      </c>
      <c r="H26" s="396"/>
    </row>
    <row r="27" spans="1:15" x14ac:dyDescent="0.25">
      <c r="A27" s="428"/>
      <c r="B27" s="394"/>
      <c r="C27" s="394"/>
      <c r="D27" s="394"/>
      <c r="E27" s="394"/>
    </row>
    <row r="28" spans="1:15" x14ac:dyDescent="0.25">
      <c r="A28" s="38" t="s">
        <v>40</v>
      </c>
      <c r="B28" s="620">
        <f>2556406+329403+70793+391502</f>
        <v>3348104</v>
      </c>
      <c r="C28" s="415">
        <v>0</v>
      </c>
      <c r="D28" s="415">
        <f>4345-3000</f>
        <v>1345</v>
      </c>
      <c r="E28" s="415">
        <f>SUM(B28:D28)</f>
        <v>3349449</v>
      </c>
    </row>
    <row r="29" spans="1:15" x14ac:dyDescent="0.25">
      <c r="A29" s="404" t="s">
        <v>122</v>
      </c>
    </row>
    <row r="30" spans="1:15" x14ac:dyDescent="0.25">
      <c r="A30" s="404" t="s">
        <v>123</v>
      </c>
    </row>
    <row r="31" spans="1:15" x14ac:dyDescent="0.25">
      <c r="A31" s="639" t="s">
        <v>124</v>
      </c>
    </row>
    <row r="32" spans="1:15" x14ac:dyDescent="0.25">
      <c r="A32" s="428" t="s">
        <v>17</v>
      </c>
      <c r="B32" s="393">
        <f>2551800</f>
        <v>2551800</v>
      </c>
      <c r="C32" s="393">
        <v>0</v>
      </c>
      <c r="D32" s="393">
        <v>0</v>
      </c>
      <c r="E32" s="393">
        <f>SUM(B32:D32)</f>
        <v>2551800</v>
      </c>
    </row>
    <row r="33" spans="1:11" x14ac:dyDescent="0.25">
      <c r="A33" s="428" t="s">
        <v>125</v>
      </c>
      <c r="B33" s="615">
        <v>6862</v>
      </c>
      <c r="C33" s="393">
        <v>0</v>
      </c>
      <c r="D33" s="393">
        <v>0</v>
      </c>
      <c r="E33" s="393">
        <f>SUM(B33:D33)</f>
        <v>6862</v>
      </c>
    </row>
    <row r="34" spans="1:11" x14ac:dyDescent="0.25">
      <c r="A34" s="639" t="s">
        <v>126</v>
      </c>
      <c r="B34" s="393"/>
      <c r="C34" s="393"/>
      <c r="D34" s="393"/>
      <c r="E34" s="393"/>
    </row>
    <row r="35" spans="1:11" x14ac:dyDescent="0.25">
      <c r="A35" s="428" t="s">
        <v>49</v>
      </c>
      <c r="B35" s="393">
        <f>4155128</f>
        <v>4155128</v>
      </c>
      <c r="C35" s="393">
        <v>0</v>
      </c>
      <c r="D35" s="393">
        <f>71371-66893</f>
        <v>4478</v>
      </c>
      <c r="E35" s="393">
        <f t="shared" ref="E35:E42" si="2">SUM(B35:D35)</f>
        <v>4159606</v>
      </c>
    </row>
    <row r="36" spans="1:11" x14ac:dyDescent="0.25">
      <c r="A36" s="428" t="s">
        <v>47</v>
      </c>
      <c r="B36" s="393">
        <v>17285</v>
      </c>
      <c r="C36" s="393">
        <v>0</v>
      </c>
      <c r="D36" s="393">
        <v>0</v>
      </c>
      <c r="E36" s="393">
        <f t="shared" si="2"/>
        <v>17285</v>
      </c>
      <c r="G36" s="396"/>
      <c r="K36" s="396"/>
    </row>
    <row r="37" spans="1:11" x14ac:dyDescent="0.25">
      <c r="A37" s="428" t="s">
        <v>127</v>
      </c>
      <c r="B37" s="393">
        <v>0</v>
      </c>
      <c r="C37" s="393">
        <v>0</v>
      </c>
      <c r="D37" s="393">
        <v>1783</v>
      </c>
      <c r="E37" s="393">
        <f t="shared" si="2"/>
        <v>1783</v>
      </c>
      <c r="G37" s="396"/>
      <c r="K37" s="396"/>
    </row>
    <row r="38" spans="1:11" ht="18" customHeight="1" x14ac:dyDescent="0.25">
      <c r="A38" s="428" t="s">
        <v>128</v>
      </c>
      <c r="B38" s="393">
        <v>0</v>
      </c>
      <c r="C38" s="393">
        <v>0</v>
      </c>
      <c r="D38" s="393">
        <v>558550</v>
      </c>
      <c r="E38" s="393">
        <f t="shared" si="2"/>
        <v>558550</v>
      </c>
      <c r="K38" s="396"/>
    </row>
    <row r="39" spans="1:11" ht="18" customHeight="1" x14ac:dyDescent="0.25">
      <c r="A39" s="428" t="s">
        <v>129</v>
      </c>
      <c r="B39" s="393">
        <v>0</v>
      </c>
      <c r="C39" s="393">
        <v>0</v>
      </c>
      <c r="D39" s="393">
        <v>46346</v>
      </c>
      <c r="E39" s="393">
        <f t="shared" si="2"/>
        <v>46346</v>
      </c>
      <c r="K39" s="396"/>
    </row>
    <row r="40" spans="1:11" ht="18" hidden="1" customHeight="1" x14ac:dyDescent="0.25">
      <c r="A40" s="813" t="s">
        <v>1106</v>
      </c>
      <c r="B40" s="615">
        <v>0</v>
      </c>
      <c r="C40" s="615">
        <v>0</v>
      </c>
      <c r="D40" s="615"/>
      <c r="E40" s="615">
        <f t="shared" si="2"/>
        <v>0</v>
      </c>
      <c r="K40" s="396"/>
    </row>
    <row r="41" spans="1:11" ht="18" hidden="1" customHeight="1" x14ac:dyDescent="0.25">
      <c r="A41" s="813" t="s">
        <v>1104</v>
      </c>
      <c r="B41" s="615">
        <v>0</v>
      </c>
      <c r="C41" s="615">
        <v>0</v>
      </c>
      <c r="D41" s="615"/>
      <c r="E41" s="615">
        <f t="shared" si="2"/>
        <v>0</v>
      </c>
      <c r="K41" s="396"/>
    </row>
    <row r="42" spans="1:11" ht="18" customHeight="1" x14ac:dyDescent="0.25">
      <c r="A42" s="428" t="s">
        <v>45</v>
      </c>
      <c r="B42" s="393">
        <v>0</v>
      </c>
      <c r="C42" s="393">
        <v>0</v>
      </c>
      <c r="D42" s="393">
        <v>2687</v>
      </c>
      <c r="E42" s="393">
        <f t="shared" si="2"/>
        <v>2687</v>
      </c>
      <c r="K42" s="396"/>
    </row>
    <row r="43" spans="1:11" ht="14.25" customHeight="1" x14ac:dyDescent="0.25">
      <c r="A43" s="639" t="s">
        <v>130</v>
      </c>
      <c r="B43" s="393"/>
      <c r="C43" s="393"/>
      <c r="D43" s="393"/>
      <c r="E43" s="393"/>
      <c r="K43" s="396"/>
    </row>
    <row r="44" spans="1:11" x14ac:dyDescent="0.25">
      <c r="A44" s="428" t="s">
        <v>131</v>
      </c>
      <c r="B44" s="393">
        <v>471723</v>
      </c>
      <c r="C44" s="393">
        <v>0</v>
      </c>
      <c r="D44" s="393">
        <v>0</v>
      </c>
      <c r="E44" s="393">
        <f>SUM(B44:D44)</f>
        <v>471723</v>
      </c>
      <c r="K44" s="396"/>
    </row>
    <row r="45" spans="1:11" x14ac:dyDescent="0.25">
      <c r="A45" s="428" t="s">
        <v>132</v>
      </c>
      <c r="B45" s="393">
        <v>1028267</v>
      </c>
      <c r="C45" s="393">
        <v>0</v>
      </c>
      <c r="D45" s="393">
        <v>0</v>
      </c>
      <c r="E45" s="393">
        <f>SUM(B45:D45)</f>
        <v>1028267</v>
      </c>
      <c r="K45" s="396"/>
    </row>
    <row r="46" spans="1:11" x14ac:dyDescent="0.25">
      <c r="A46" s="639" t="s">
        <v>133</v>
      </c>
      <c r="B46" s="393"/>
      <c r="C46" s="393"/>
      <c r="D46" s="393"/>
      <c r="E46" s="393"/>
      <c r="K46" s="396"/>
    </row>
    <row r="47" spans="1:11" x14ac:dyDescent="0.25">
      <c r="A47" s="428" t="s">
        <v>134</v>
      </c>
      <c r="B47" s="393">
        <v>0</v>
      </c>
      <c r="C47" s="393">
        <v>0</v>
      </c>
      <c r="D47" s="393">
        <v>7969</v>
      </c>
      <c r="E47" s="393">
        <f>SUM(B47:D47)</f>
        <v>7969</v>
      </c>
      <c r="G47" s="396"/>
      <c r="K47" s="396"/>
    </row>
    <row r="48" spans="1:11" x14ac:dyDescent="0.25">
      <c r="A48" s="428" t="s">
        <v>135</v>
      </c>
      <c r="B48" s="393">
        <v>0</v>
      </c>
      <c r="C48" s="393">
        <v>0</v>
      </c>
      <c r="D48" s="393">
        <v>10270</v>
      </c>
      <c r="E48" s="393">
        <f>SUM(B48:D48)</f>
        <v>10270</v>
      </c>
      <c r="K48" s="396"/>
    </row>
    <row r="49" spans="1:7" x14ac:dyDescent="0.25">
      <c r="A49" s="428" t="s">
        <v>136</v>
      </c>
      <c r="B49" s="393">
        <v>255000</v>
      </c>
      <c r="C49" s="393">
        <v>0</v>
      </c>
      <c r="D49" s="393">
        <v>0</v>
      </c>
      <c r="E49" s="393">
        <f>SUM(B49:D49)</f>
        <v>255000</v>
      </c>
      <c r="F49" s="433"/>
    </row>
    <row r="50" spans="1:7" x14ac:dyDescent="0.25">
      <c r="A50" s="639" t="s">
        <v>137</v>
      </c>
      <c r="B50" s="421">
        <f>B16-B26-B28-SUM(B32:B49)</f>
        <v>5363238</v>
      </c>
      <c r="C50" s="421">
        <v>0</v>
      </c>
      <c r="D50" s="421">
        <v>-2028</v>
      </c>
      <c r="E50" s="393">
        <f>SUM(B50:D50)</f>
        <v>5361210</v>
      </c>
      <c r="G50" s="430"/>
    </row>
    <row r="51" spans="1:7" x14ac:dyDescent="0.25">
      <c r="A51" s="429" t="s">
        <v>138</v>
      </c>
      <c r="B51" s="415">
        <f>SUM(B32:B50)</f>
        <v>13849303</v>
      </c>
      <c r="C51" s="415">
        <f>SUM(C32:C50)</f>
        <v>0</v>
      </c>
      <c r="D51" s="415">
        <f>SUM(D32:D50)</f>
        <v>630055</v>
      </c>
      <c r="E51" s="416">
        <f>SUM(E32:E50)</f>
        <v>14479358</v>
      </c>
    </row>
    <row r="52" spans="1:7" ht="27" thickBot="1" x14ac:dyDescent="0.3">
      <c r="A52" s="642" t="s">
        <v>139</v>
      </c>
      <c r="B52" s="392">
        <f>+B26+B51+B28</f>
        <v>21100110</v>
      </c>
      <c r="C52" s="392">
        <f>+C26+C51+C28</f>
        <v>1660000</v>
      </c>
      <c r="D52" s="392">
        <f>+D26+D51+D28</f>
        <v>1101811</v>
      </c>
    </row>
    <row r="53" spans="1:7" ht="13.8" thickTop="1" x14ac:dyDescent="0.25">
      <c r="B53" s="413"/>
      <c r="C53" s="413"/>
      <c r="D53" s="413"/>
      <c r="E53" s="404" t="s">
        <v>140</v>
      </c>
    </row>
    <row r="54" spans="1:7" ht="9" customHeight="1" x14ac:dyDescent="0.25"/>
    <row r="55" spans="1:7" ht="15" customHeight="1" x14ac:dyDescent="0.25">
      <c r="B55" s="393"/>
      <c r="C55" s="393"/>
    </row>
    <row r="56" spans="1:7" ht="36" customHeight="1" x14ac:dyDescent="0.25"/>
    <row r="57" spans="1:7" ht="17.25" customHeight="1" x14ac:dyDescent="0.25">
      <c r="E57" s="635" t="s">
        <v>109</v>
      </c>
    </row>
    <row r="58" spans="1:7" ht="13.95" customHeight="1" x14ac:dyDescent="0.25">
      <c r="E58" s="417" t="s">
        <v>140</v>
      </c>
    </row>
    <row r="59" spans="1:7" ht="14.25" customHeight="1" x14ac:dyDescent="0.25">
      <c r="A59" s="859" t="s">
        <v>1</v>
      </c>
      <c r="B59" s="859"/>
      <c r="C59" s="859"/>
      <c r="D59" s="859"/>
      <c r="E59" s="859"/>
    </row>
    <row r="60" spans="1:7" ht="12.75" customHeight="1" x14ac:dyDescent="0.25">
      <c r="A60" s="859" t="s">
        <v>110</v>
      </c>
      <c r="B60" s="859"/>
      <c r="C60" s="859"/>
      <c r="D60" s="859"/>
      <c r="E60" s="859"/>
    </row>
    <row r="61" spans="1:7" ht="13.5" customHeight="1" x14ac:dyDescent="0.25">
      <c r="A61" s="859" t="s">
        <v>111</v>
      </c>
      <c r="B61" s="859"/>
      <c r="C61" s="859"/>
      <c r="D61" s="859"/>
      <c r="E61" s="859"/>
    </row>
    <row r="62" spans="1:7" ht="12" customHeight="1" x14ac:dyDescent="0.25">
      <c r="A62" s="860" t="str">
        <f>A5</f>
        <v>June 30, 2022</v>
      </c>
      <c r="B62" s="860"/>
      <c r="C62" s="860"/>
      <c r="D62" s="860"/>
      <c r="E62" s="860"/>
    </row>
    <row r="63" spans="1:7" ht="9" customHeight="1" x14ac:dyDescent="0.25"/>
    <row r="64" spans="1:7" ht="26.25" customHeight="1" x14ac:dyDescent="0.25">
      <c r="A64" s="877" t="s">
        <v>141</v>
      </c>
      <c r="B64" s="877"/>
      <c r="C64" s="877"/>
      <c r="D64" s="877"/>
    </row>
    <row r="65" spans="1:9" ht="16.5" customHeight="1" x14ac:dyDescent="0.25">
      <c r="A65" s="878" t="s">
        <v>142</v>
      </c>
      <c r="B65" s="878"/>
      <c r="C65" s="838"/>
      <c r="D65" s="405"/>
      <c r="E65" s="412">
        <f>E51</f>
        <v>14479358</v>
      </c>
    </row>
    <row r="66" spans="1:9" ht="41.25" customHeight="1" x14ac:dyDescent="0.25">
      <c r="A66" s="874" t="s">
        <v>143</v>
      </c>
      <c r="B66" s="874"/>
      <c r="C66" s="874"/>
      <c r="D66" s="874"/>
      <c r="E66" s="419">
        <v>8932</v>
      </c>
      <c r="G66" s="440"/>
    </row>
    <row r="67" spans="1:9" ht="18" customHeight="1" x14ac:dyDescent="0.25">
      <c r="A67" s="874" t="s">
        <v>144</v>
      </c>
      <c r="B67" s="874"/>
      <c r="C67" s="874"/>
      <c r="D67" s="874"/>
      <c r="E67" s="419">
        <f>292500</f>
        <v>292500</v>
      </c>
    </row>
    <row r="68" spans="1:9" ht="25.5" customHeight="1" x14ac:dyDescent="0.25">
      <c r="A68" s="874" t="s">
        <v>145</v>
      </c>
      <c r="B68" s="874"/>
      <c r="C68" s="874"/>
      <c r="D68" s="874"/>
      <c r="E68" s="615">
        <f>'GWNetPos 68 Exh 1'!B22</f>
        <v>14778383</v>
      </c>
      <c r="G68" s="440"/>
    </row>
    <row r="69" spans="1:9" ht="25.5" customHeight="1" x14ac:dyDescent="0.25">
      <c r="A69" s="874" t="s">
        <v>146</v>
      </c>
      <c r="B69" s="874"/>
      <c r="C69" s="874"/>
      <c r="D69" s="874"/>
      <c r="E69" s="615">
        <f>'GWNetPos 68 Exh 1'!B23</f>
        <v>256756</v>
      </c>
      <c r="G69" s="440"/>
    </row>
    <row r="70" spans="1:9" ht="25.5" customHeight="1" x14ac:dyDescent="0.25">
      <c r="A70" s="441" t="s">
        <v>21</v>
      </c>
      <c r="B70" s="639"/>
      <c r="C70" s="837"/>
      <c r="D70" s="639"/>
      <c r="E70" s="393">
        <f>'GWNetPos 68 Exh 1'!B18</f>
        <v>76022.949999999953</v>
      </c>
    </row>
    <row r="71" spans="1:9" ht="25.5" customHeight="1" x14ac:dyDescent="0.25">
      <c r="A71" s="874" t="s">
        <v>147</v>
      </c>
      <c r="B71" s="874"/>
      <c r="C71" s="874"/>
      <c r="D71" s="874"/>
      <c r="E71" s="393">
        <v>1221075</v>
      </c>
    </row>
    <row r="72" spans="1:9" ht="25.5" customHeight="1" x14ac:dyDescent="0.25">
      <c r="A72" s="875" t="s">
        <v>148</v>
      </c>
      <c r="B72" s="875"/>
      <c r="C72" s="875"/>
      <c r="D72" s="875"/>
      <c r="E72" s="393">
        <v>17279</v>
      </c>
    </row>
    <row r="73" spans="1:9" ht="25.5" customHeight="1" x14ac:dyDescent="0.25">
      <c r="A73" s="875" t="s">
        <v>149</v>
      </c>
      <c r="B73" s="875"/>
      <c r="C73" s="875"/>
      <c r="D73" s="875"/>
      <c r="E73" s="393">
        <f>0.95*43000</f>
        <v>40850</v>
      </c>
    </row>
    <row r="74" spans="1:9" ht="26.25" customHeight="1" x14ac:dyDescent="0.25">
      <c r="A74" s="874" t="s">
        <v>150</v>
      </c>
      <c r="B74" s="874"/>
      <c r="C74" s="874"/>
      <c r="D74" s="874"/>
      <c r="E74" s="393">
        <f>329219</f>
        <v>329219</v>
      </c>
    </row>
    <row r="75" spans="1:9" ht="26.25" customHeight="1" x14ac:dyDescent="0.25">
      <c r="A75" s="638" t="s">
        <v>151</v>
      </c>
      <c r="B75" s="639"/>
      <c r="C75" s="837"/>
      <c r="D75" s="639"/>
      <c r="E75" s="393">
        <f>-0.95*(6245902)</f>
        <v>-5933606.8999999994</v>
      </c>
      <c r="F75" s="396"/>
    </row>
    <row r="76" spans="1:9" ht="26.25" customHeight="1" x14ac:dyDescent="0.25">
      <c r="A76" s="638" t="s">
        <v>152</v>
      </c>
      <c r="B76" s="639"/>
      <c r="C76" s="837"/>
      <c r="D76" s="639"/>
      <c r="E76" s="393">
        <v>-1400640</v>
      </c>
      <c r="F76" s="396"/>
      <c r="I76" s="430"/>
    </row>
    <row r="77" spans="1:9" ht="26.25" customHeight="1" x14ac:dyDescent="0.25">
      <c r="A77" s="638" t="s">
        <v>153</v>
      </c>
      <c r="B77" s="639"/>
      <c r="C77" s="837"/>
      <c r="D77" s="639"/>
      <c r="E77" s="393">
        <f>-(101424+201632-101424+202959-201632)-(19713)</f>
        <v>-222672</v>
      </c>
      <c r="I77" s="430"/>
    </row>
    <row r="78" spans="1:9" ht="15.75" customHeight="1" x14ac:dyDescent="0.25">
      <c r="A78" s="876" t="s">
        <v>154</v>
      </c>
      <c r="B78" s="876"/>
      <c r="C78" s="876"/>
      <c r="D78" s="876"/>
      <c r="E78" s="420">
        <v>2957947</v>
      </c>
      <c r="G78" s="430"/>
      <c r="I78" s="430"/>
    </row>
    <row r="79" spans="1:9" ht="15.75" customHeight="1" x14ac:dyDescent="0.25">
      <c r="A79" s="639" t="s">
        <v>155</v>
      </c>
      <c r="B79" s="639"/>
      <c r="C79" s="837"/>
      <c r="D79" s="639"/>
      <c r="E79" s="420">
        <f>0.95*1783884+(24636-3200-3608)-11+(8710-5760)+(4000-3200)+(5512-664-9534-387)+(-3220+1715)+(1221075-950950+693169+1023603-122171-43764+78486-74158)+3561+37590-633042</f>
        <v>2943077.8</v>
      </c>
    </row>
    <row r="80" spans="1:9" ht="15.75" customHeight="1" x14ac:dyDescent="0.25">
      <c r="A80" s="639" t="s">
        <v>156</v>
      </c>
      <c r="B80" s="639"/>
      <c r="C80" s="837"/>
      <c r="D80" s="639"/>
      <c r="E80" s="420">
        <f>-0.95*(137364+406032+548)</f>
        <v>-516746.8</v>
      </c>
    </row>
    <row r="81" spans="1:7" ht="39" customHeight="1" x14ac:dyDescent="0.25">
      <c r="A81" s="874" t="s">
        <v>157</v>
      </c>
      <c r="B81" s="874"/>
      <c r="C81" s="874"/>
      <c r="D81" s="874"/>
      <c r="E81" s="617">
        <f>-13537402-261536.1+272589</f>
        <v>-13526349.1</v>
      </c>
    </row>
    <row r="82" spans="1:7" ht="20.100000000000001" customHeight="1" thickBot="1" x14ac:dyDescent="0.3">
      <c r="A82" s="874" t="s">
        <v>158</v>
      </c>
      <c r="B82" s="874"/>
      <c r="C82" s="874"/>
      <c r="D82" s="874"/>
      <c r="E82" s="422">
        <f>SUM(E65:E81)</f>
        <v>15801384.950000001</v>
      </c>
      <c r="F82" s="418">
        <f>E82-'GWNetPos 68 Exh 1'!B53</f>
        <v>0</v>
      </c>
      <c r="G82" s="418"/>
    </row>
    <row r="83" spans="1:7" ht="9" customHeight="1" thickTop="1" x14ac:dyDescent="0.25"/>
    <row r="84" spans="1:7" x14ac:dyDescent="0.25">
      <c r="A84" s="404" t="str">
        <f>'GWNetPos 68 Exh 1'!A61</f>
        <v>The notes to the financial statements are an integral part of this statement.</v>
      </c>
      <c r="F84" s="418"/>
    </row>
    <row r="85" spans="1:7" x14ac:dyDescent="0.25">
      <c r="G85" s="430"/>
    </row>
    <row r="86" spans="1:7" x14ac:dyDescent="0.25">
      <c r="E86" s="413"/>
    </row>
    <row r="88" spans="1:7" x14ac:dyDescent="0.25">
      <c r="G88" s="430"/>
    </row>
    <row r="89" spans="1:7" x14ac:dyDescent="0.25">
      <c r="E89" s="396">
        <f>'GWNetPos 68 Exh 1'!B53</f>
        <v>15801384.950000001</v>
      </c>
    </row>
    <row r="91" spans="1:7" x14ac:dyDescent="0.25">
      <c r="E91" s="430">
        <f>E82-E89</f>
        <v>0</v>
      </c>
    </row>
  </sheetData>
  <customSheetViews>
    <customSheetView guid="{A8748736-0722-49EB-85B6-C9B52DDCFE0E}" showPageBreaks="1" printArea="1" hiddenColumns="1" topLeftCell="A76">
      <selection activeCell="A40" sqref="A40"/>
      <rowBreaks count="1" manualBreakCount="1">
        <brk id="53" max="16383" man="1"/>
      </rowBreaks>
      <pageMargins left="0.75" right="0.75" top="1" bottom="1" header="0.5" footer="0.5"/>
      <printOptions horizontalCentered="1"/>
      <pageSetup scale="86" firstPageNumber="31" fitToHeight="0" orientation="portrait" useFirstPageNumber="1" r:id="rId1"/>
      <headerFooter alignWithMargins="0"/>
    </customSheetView>
    <customSheetView guid="{E0C60316-4586-4AAF-92CB-FA82BB1EB755}" topLeftCell="A44">
      <selection activeCell="B40" sqref="B40"/>
      <rowBreaks count="1" manualBreakCount="1">
        <brk id="49" max="3" man="1"/>
      </rowBreaks>
      <pageMargins left="0" right="0" top="0" bottom="0" header="0" footer="0"/>
      <printOptions horizontalCentered="1"/>
      <pageSetup scale="86" firstPageNumber="31" fitToHeight="0" orientation="portrait" useFirstPageNumber="1" r:id="rId2"/>
      <headerFooter alignWithMargins="0"/>
    </customSheetView>
  </customSheetViews>
  <mergeCells count="22">
    <mergeCell ref="A2:E2"/>
    <mergeCell ref="A3:E3"/>
    <mergeCell ref="A4:E4"/>
    <mergeCell ref="A5:E5"/>
    <mergeCell ref="A65:B65"/>
    <mergeCell ref="B7:C7"/>
    <mergeCell ref="A81:D81"/>
    <mergeCell ref="A62:E62"/>
    <mergeCell ref="A72:D72"/>
    <mergeCell ref="A59:E59"/>
    <mergeCell ref="A82:D82"/>
    <mergeCell ref="A68:D68"/>
    <mergeCell ref="A74:D74"/>
    <mergeCell ref="A67:D67"/>
    <mergeCell ref="A66:D66"/>
    <mergeCell ref="A61:E61"/>
    <mergeCell ref="A78:D78"/>
    <mergeCell ref="A60:E60"/>
    <mergeCell ref="A71:D71"/>
    <mergeCell ref="A64:D64"/>
    <mergeCell ref="A69:D69"/>
    <mergeCell ref="A73:D73"/>
  </mergeCells>
  <phoneticPr fontId="0" type="noConversion"/>
  <printOptions horizontalCentered="1"/>
  <pageMargins left="0.75" right="0.75" top="1" bottom="1" header="0.5" footer="0.5"/>
  <pageSetup scale="86" firstPageNumber="31" fitToHeight="0" orientation="portrait" useFirstPageNumber="1" r:id="rId3"/>
  <headerFooter alignWithMargins="0"/>
  <rowBreaks count="1" manualBreakCount="1">
    <brk id="54"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K161"/>
  <sheetViews>
    <sheetView workbookViewId="0"/>
  </sheetViews>
  <sheetFormatPr defaultColWidth="9.109375" defaultRowHeight="13.2" x14ac:dyDescent="0.25"/>
  <cols>
    <col min="1" max="3" width="2.44140625" style="404" customWidth="1"/>
    <col min="4" max="4" width="30.6640625" style="404" customWidth="1"/>
    <col min="5" max="5" width="16" style="404" customWidth="1"/>
    <col min="6" max="6" width="1.5546875" style="404" customWidth="1"/>
    <col min="7" max="7" width="10.5546875" style="404" bestFit="1" customWidth="1"/>
    <col min="8" max="8" width="1.5546875" style="404" customWidth="1"/>
    <col min="9" max="9" width="10.109375" style="404" customWidth="1"/>
    <col min="10" max="10" width="12.88671875" style="404" bestFit="1" customWidth="1"/>
    <col min="11" max="16384" width="9.109375" style="404"/>
  </cols>
  <sheetData>
    <row r="1" spans="1:9" x14ac:dyDescent="0.25">
      <c r="A1" s="244" t="s">
        <v>1</v>
      </c>
      <c r="B1" s="245"/>
      <c r="C1" s="245"/>
      <c r="D1" s="245"/>
      <c r="E1" s="245"/>
      <c r="F1" s="245"/>
      <c r="G1" s="245"/>
      <c r="H1" s="245"/>
      <c r="I1" s="245"/>
    </row>
    <row r="2" spans="1:9" x14ac:dyDescent="0.25">
      <c r="A2" s="244" t="s">
        <v>825</v>
      </c>
      <c r="B2" s="245"/>
      <c r="C2" s="245"/>
      <c r="D2" s="245"/>
      <c r="E2" s="245"/>
      <c r="F2" s="245"/>
      <c r="G2" s="245"/>
      <c r="H2" s="245"/>
      <c r="I2" s="245"/>
    </row>
    <row r="3" spans="1:9" x14ac:dyDescent="0.25">
      <c r="A3" s="244" t="s">
        <v>786</v>
      </c>
      <c r="B3" s="245"/>
      <c r="C3" s="245"/>
      <c r="D3" s="245"/>
      <c r="E3" s="245"/>
      <c r="F3" s="245"/>
      <c r="G3" s="245"/>
      <c r="H3" s="245"/>
      <c r="I3" s="245"/>
    </row>
    <row r="4" spans="1:9" x14ac:dyDescent="0.25">
      <c r="A4" s="244" t="s">
        <v>826</v>
      </c>
      <c r="B4" s="245"/>
      <c r="C4" s="245"/>
      <c r="D4" s="245"/>
      <c r="E4" s="245"/>
      <c r="F4" s="245"/>
      <c r="G4" s="245"/>
      <c r="H4" s="245"/>
      <c r="I4" s="245"/>
    </row>
    <row r="5" spans="1:9" x14ac:dyDescent="0.25">
      <c r="A5" s="244" t="str">
        <f>GFIS_BA!A5</f>
        <v>For the Year Ended June 30, 2022</v>
      </c>
      <c r="B5" s="245"/>
      <c r="C5" s="245"/>
      <c r="D5" s="245"/>
      <c r="E5" s="245"/>
      <c r="F5" s="245"/>
      <c r="G5" s="245"/>
      <c r="H5" s="245"/>
      <c r="I5" s="245"/>
    </row>
    <row r="6" spans="1:9" ht="13.8" thickBot="1" x14ac:dyDescent="0.3">
      <c r="A6" s="246"/>
      <c r="B6" s="246"/>
      <c r="C6" s="246"/>
      <c r="D6" s="246"/>
      <c r="E6" s="246"/>
      <c r="F6" s="246"/>
      <c r="G6" s="246"/>
      <c r="H6" s="246"/>
      <c r="I6" s="246"/>
    </row>
    <row r="7" spans="1:9" x14ac:dyDescent="0.25">
      <c r="A7" s="226"/>
      <c r="B7" s="226"/>
      <c r="C7" s="226"/>
      <c r="D7" s="226"/>
      <c r="E7" s="226"/>
      <c r="F7" s="226"/>
      <c r="G7" s="226"/>
      <c r="H7" s="226"/>
      <c r="I7" s="131" t="s">
        <v>215</v>
      </c>
    </row>
    <row r="8" spans="1:9" x14ac:dyDescent="0.25">
      <c r="A8" s="226"/>
      <c r="B8" s="226"/>
      <c r="C8" s="226"/>
      <c r="D8" s="226"/>
      <c r="E8" s="247" t="s">
        <v>218</v>
      </c>
      <c r="F8" s="226"/>
      <c r="G8" s="226"/>
      <c r="H8" s="226"/>
      <c r="I8" s="131" t="s">
        <v>219</v>
      </c>
    </row>
    <row r="9" spans="1:9" x14ac:dyDescent="0.25">
      <c r="A9" s="226"/>
      <c r="B9" s="247" t="s">
        <v>122</v>
      </c>
      <c r="C9" s="226"/>
      <c r="D9" s="226"/>
      <c r="E9" s="248" t="s">
        <v>220</v>
      </c>
      <c r="F9" s="226"/>
      <c r="G9" s="248" t="s">
        <v>221</v>
      </c>
      <c r="H9" s="226"/>
      <c r="I9" s="136" t="s">
        <v>222</v>
      </c>
    </row>
    <row r="10" spans="1:9" x14ac:dyDescent="0.25">
      <c r="A10" s="228" t="s">
        <v>223</v>
      </c>
      <c r="B10" s="226"/>
      <c r="C10" s="226"/>
      <c r="D10" s="226"/>
      <c r="E10" s="226"/>
      <c r="F10" s="226"/>
      <c r="G10" s="226"/>
      <c r="H10" s="226"/>
      <c r="I10" s="226"/>
    </row>
    <row r="11" spans="1:9" x14ac:dyDescent="0.25">
      <c r="A11" s="226"/>
      <c r="B11" s="228" t="s">
        <v>789</v>
      </c>
      <c r="C11" s="226"/>
      <c r="D11" s="226"/>
      <c r="E11" s="226"/>
      <c r="F11" s="226"/>
      <c r="G11" s="226"/>
      <c r="H11" s="226"/>
      <c r="I11" s="226"/>
    </row>
    <row r="12" spans="1:9" x14ac:dyDescent="0.25">
      <c r="A12" s="226"/>
      <c r="B12" s="228" t="s">
        <v>827</v>
      </c>
      <c r="C12" s="226"/>
      <c r="D12" s="226"/>
      <c r="E12" s="226"/>
      <c r="F12" s="226"/>
      <c r="G12" s="226"/>
      <c r="H12" s="226"/>
      <c r="I12" s="226"/>
    </row>
    <row r="13" spans="1:9" x14ac:dyDescent="0.25">
      <c r="A13" s="226"/>
      <c r="B13" s="226"/>
      <c r="C13" s="228" t="s">
        <v>828</v>
      </c>
      <c r="D13" s="226"/>
      <c r="E13" s="249"/>
      <c r="F13" s="250"/>
      <c r="G13" s="250">
        <f>332261+150000</f>
        <v>482261</v>
      </c>
      <c r="H13" s="250"/>
      <c r="I13" s="249"/>
    </row>
    <row r="14" spans="1:9" x14ac:dyDescent="0.25">
      <c r="A14" s="226"/>
      <c r="B14" s="226"/>
      <c r="C14" s="228" t="s">
        <v>829</v>
      </c>
      <c r="D14" s="226"/>
      <c r="E14" s="251"/>
      <c r="F14" s="252"/>
      <c r="G14" s="253">
        <f>94646+50000</f>
        <v>144646</v>
      </c>
      <c r="H14" s="252"/>
      <c r="I14" s="251"/>
    </row>
    <row r="15" spans="1:9" x14ac:dyDescent="0.25">
      <c r="A15" s="226"/>
      <c r="B15" s="226"/>
      <c r="C15" s="226"/>
      <c r="D15" s="228" t="s">
        <v>8</v>
      </c>
      <c r="E15" s="254">
        <f>417670+200000+875000*0.05*0.67+40000</f>
        <v>686982.5</v>
      </c>
      <c r="F15" s="252"/>
      <c r="G15" s="253">
        <f>SUM(G13:G14)</f>
        <v>626907</v>
      </c>
      <c r="H15" s="252"/>
      <c r="I15" s="254">
        <f>G15-E15</f>
        <v>-60075.5</v>
      </c>
    </row>
    <row r="16" spans="1:9" x14ac:dyDescent="0.25">
      <c r="A16" s="226"/>
      <c r="B16" s="226"/>
      <c r="C16" s="226"/>
      <c r="D16" s="226"/>
      <c r="E16" s="252"/>
      <c r="F16" s="252"/>
      <c r="G16" s="252"/>
      <c r="H16" s="252"/>
      <c r="I16" s="252"/>
    </row>
    <row r="17" spans="1:9" x14ac:dyDescent="0.25">
      <c r="A17" s="226"/>
      <c r="B17" s="228" t="s">
        <v>830</v>
      </c>
      <c r="C17" s="226"/>
      <c r="D17" s="226"/>
      <c r="E17" s="255"/>
      <c r="F17" s="255"/>
      <c r="G17" s="252"/>
      <c r="H17" s="255"/>
      <c r="I17" s="255"/>
    </row>
    <row r="18" spans="1:9" x14ac:dyDescent="0.25">
      <c r="A18" s="226"/>
      <c r="B18" s="226"/>
      <c r="C18" s="228" t="s">
        <v>828</v>
      </c>
      <c r="D18" s="226"/>
      <c r="E18" s="256"/>
      <c r="F18" s="252"/>
      <c r="G18" s="252">
        <f>241986+150000</f>
        <v>391986</v>
      </c>
      <c r="H18" s="252"/>
      <c r="I18" s="256"/>
    </row>
    <row r="19" spans="1:9" x14ac:dyDescent="0.25">
      <c r="A19" s="226"/>
      <c r="B19" s="226"/>
      <c r="C19" s="228" t="s">
        <v>829</v>
      </c>
      <c r="D19" s="226"/>
      <c r="E19" s="257"/>
      <c r="F19" s="252"/>
      <c r="G19" s="253">
        <f>110215+50000</f>
        <v>160215</v>
      </c>
      <c r="H19" s="252"/>
      <c r="I19" s="257"/>
    </row>
    <row r="20" spans="1:9" x14ac:dyDescent="0.25">
      <c r="A20" s="226"/>
      <c r="B20" s="226"/>
      <c r="C20" s="226"/>
      <c r="D20" s="228" t="s">
        <v>8</v>
      </c>
      <c r="E20" s="253">
        <f>344330+200000</f>
        <v>544330</v>
      </c>
      <c r="F20" s="252"/>
      <c r="G20" s="253">
        <f>SUM(G18:G19)</f>
        <v>552201</v>
      </c>
      <c r="H20" s="252"/>
      <c r="I20" s="253">
        <f>G20-E20</f>
        <v>7871</v>
      </c>
    </row>
    <row r="21" spans="1:9" x14ac:dyDescent="0.25">
      <c r="A21" s="226"/>
      <c r="B21" s="226"/>
      <c r="C21" s="226"/>
      <c r="D21" s="226"/>
      <c r="E21" s="252"/>
      <c r="F21" s="252"/>
      <c r="G21" s="252"/>
      <c r="H21" s="252"/>
      <c r="I21" s="252"/>
    </row>
    <row r="22" spans="1:9" x14ac:dyDescent="0.25">
      <c r="A22" s="226"/>
      <c r="B22" s="228" t="s">
        <v>831</v>
      </c>
      <c r="C22" s="226"/>
      <c r="D22" s="226"/>
      <c r="E22" s="253">
        <v>8500</v>
      </c>
      <c r="F22" s="252"/>
      <c r="G22" s="253">
        <v>7100</v>
      </c>
      <c r="H22" s="252"/>
      <c r="I22" s="253">
        <f>G22-E22</f>
        <v>-1400</v>
      </c>
    </row>
    <row r="23" spans="1:9" x14ac:dyDescent="0.25">
      <c r="A23" s="226"/>
      <c r="B23" s="226"/>
      <c r="C23" s="226"/>
      <c r="D23" s="226"/>
      <c r="E23" s="255"/>
      <c r="F23" s="255"/>
      <c r="G23" s="252"/>
      <c r="H23" s="255"/>
      <c r="I23" s="255"/>
    </row>
    <row r="24" spans="1:9" x14ac:dyDescent="0.25">
      <c r="A24" s="226"/>
      <c r="B24" s="228" t="s">
        <v>832</v>
      </c>
      <c r="C24" s="226"/>
      <c r="D24" s="226"/>
      <c r="E24" s="253">
        <v>500</v>
      </c>
      <c r="F24" s="252"/>
      <c r="G24" s="253">
        <v>430</v>
      </c>
      <c r="H24" s="252"/>
      <c r="I24" s="253">
        <f>G24-E24</f>
        <v>-70</v>
      </c>
    </row>
    <row r="25" spans="1:9" x14ac:dyDescent="0.25">
      <c r="A25" s="226"/>
      <c r="B25" s="226"/>
      <c r="C25" s="226"/>
      <c r="D25" s="228" t="s">
        <v>268</v>
      </c>
      <c r="E25" s="253">
        <f>E15+E20+E22+E24</f>
        <v>1240312.5</v>
      </c>
      <c r="F25" s="252"/>
      <c r="G25" s="253">
        <f>G15+G20+G22+G24</f>
        <v>1186638</v>
      </c>
      <c r="H25" s="252"/>
      <c r="I25" s="253">
        <f>G25-E25</f>
        <v>-53674.5</v>
      </c>
    </row>
    <row r="26" spans="1:9" x14ac:dyDescent="0.25">
      <c r="A26" s="226"/>
      <c r="B26" s="226"/>
      <c r="C26" s="226"/>
      <c r="D26" s="226"/>
      <c r="E26" s="252"/>
      <c r="F26" s="252"/>
      <c r="G26" s="252"/>
      <c r="H26" s="252"/>
      <c r="I26" s="252"/>
    </row>
    <row r="27" spans="1:9" x14ac:dyDescent="0.25">
      <c r="A27" s="226"/>
      <c r="B27" s="228" t="s">
        <v>794</v>
      </c>
      <c r="C27" s="226"/>
      <c r="D27" s="226"/>
      <c r="E27" s="252"/>
      <c r="F27" s="255"/>
      <c r="G27" s="252"/>
      <c r="H27" s="255"/>
      <c r="I27" s="252"/>
    </row>
    <row r="28" spans="1:9" x14ac:dyDescent="0.25">
      <c r="A28" s="226"/>
      <c r="B28" s="226"/>
      <c r="C28" s="228" t="s">
        <v>833</v>
      </c>
      <c r="D28" s="226"/>
      <c r="E28" s="257">
        <v>0</v>
      </c>
      <c r="F28" s="252"/>
      <c r="G28" s="253">
        <f>32162+5033</f>
        <v>37195</v>
      </c>
      <c r="H28" s="252"/>
      <c r="I28" s="253">
        <f>G28-E28</f>
        <v>37195</v>
      </c>
    </row>
    <row r="29" spans="1:9" x14ac:dyDescent="0.25">
      <c r="A29" s="226"/>
      <c r="B29" s="226"/>
      <c r="C29" s="226"/>
      <c r="D29" s="228" t="s">
        <v>171</v>
      </c>
      <c r="E29" s="253">
        <f>E25+E28</f>
        <v>1240312.5</v>
      </c>
      <c r="F29" s="252"/>
      <c r="G29" s="253">
        <f>G25+G28</f>
        <v>1223833</v>
      </c>
      <c r="H29" s="252"/>
      <c r="I29" s="253">
        <f>G29-E29</f>
        <v>-16479.5</v>
      </c>
    </row>
    <row r="30" spans="1:9" x14ac:dyDescent="0.25">
      <c r="A30" s="226"/>
      <c r="B30" s="226"/>
      <c r="C30" s="226"/>
      <c r="D30" s="226"/>
      <c r="E30" s="255"/>
      <c r="F30" s="255"/>
      <c r="G30" s="252"/>
      <c r="H30" s="255"/>
      <c r="I30" s="255"/>
    </row>
    <row r="31" spans="1:9" x14ac:dyDescent="0.25">
      <c r="A31" s="228" t="s">
        <v>637</v>
      </c>
      <c r="B31" s="226"/>
      <c r="C31" s="226"/>
      <c r="D31" s="226"/>
      <c r="E31" s="255"/>
      <c r="F31" s="255"/>
      <c r="G31" s="252"/>
      <c r="H31" s="255"/>
      <c r="I31" s="255"/>
    </row>
    <row r="32" spans="1:9" x14ac:dyDescent="0.25">
      <c r="A32" s="226"/>
      <c r="B32" s="228" t="s">
        <v>625</v>
      </c>
      <c r="C32" s="226"/>
      <c r="D32" s="226"/>
      <c r="E32" s="255"/>
      <c r="F32" s="255"/>
      <c r="G32" s="252"/>
      <c r="H32" s="255"/>
      <c r="I32" s="255"/>
    </row>
    <row r="33" spans="1:9" x14ac:dyDescent="0.25">
      <c r="A33" s="226"/>
      <c r="B33" s="226"/>
      <c r="C33" s="228" t="s">
        <v>161</v>
      </c>
      <c r="D33" s="226"/>
      <c r="E33" s="253">
        <v>100000</v>
      </c>
      <c r="F33" s="252"/>
      <c r="G33" s="253">
        <v>100000</v>
      </c>
      <c r="H33" s="252"/>
      <c r="I33" s="257">
        <f>G33-E33</f>
        <v>0</v>
      </c>
    </row>
    <row r="34" spans="1:9" x14ac:dyDescent="0.25">
      <c r="A34" s="226"/>
      <c r="B34" s="226"/>
      <c r="C34" s="226"/>
      <c r="D34" s="228" t="s">
        <v>834</v>
      </c>
      <c r="E34" s="252"/>
      <c r="F34" s="252"/>
      <c r="G34" s="252"/>
      <c r="H34" s="252"/>
      <c r="I34" s="252"/>
    </row>
    <row r="35" spans="1:9" x14ac:dyDescent="0.25">
      <c r="A35" s="226"/>
      <c r="B35" s="226"/>
      <c r="C35" s="226"/>
      <c r="D35" s="228" t="s">
        <v>835</v>
      </c>
      <c r="E35" s="253">
        <f>E29+E33</f>
        <v>1340312.5</v>
      </c>
      <c r="F35" s="252"/>
      <c r="G35" s="253">
        <f>G29+G33</f>
        <v>1323833</v>
      </c>
      <c r="H35" s="252"/>
      <c r="I35" s="253">
        <f>G35-E35</f>
        <v>-16479.5</v>
      </c>
    </row>
    <row r="36" spans="1:9" x14ac:dyDescent="0.25">
      <c r="A36" s="226"/>
      <c r="B36" s="226"/>
      <c r="C36" s="226"/>
      <c r="D36" s="226"/>
      <c r="E36" s="252"/>
      <c r="F36" s="252"/>
      <c r="G36" s="252"/>
      <c r="H36" s="252"/>
      <c r="I36" s="252"/>
    </row>
    <row r="37" spans="1:9" x14ac:dyDescent="0.25">
      <c r="A37" s="228" t="s">
        <v>532</v>
      </c>
      <c r="B37" s="226"/>
      <c r="C37" s="226"/>
      <c r="D37" s="226"/>
      <c r="E37" s="252"/>
      <c r="F37" s="252"/>
      <c r="G37" s="252"/>
      <c r="H37" s="252"/>
      <c r="I37" s="252"/>
    </row>
    <row r="38" spans="1:9" x14ac:dyDescent="0.25">
      <c r="A38" s="226"/>
      <c r="B38" s="228" t="s">
        <v>538</v>
      </c>
      <c r="C38" s="226"/>
      <c r="D38" s="226"/>
      <c r="E38" s="252"/>
      <c r="F38" s="252"/>
      <c r="G38" s="252"/>
      <c r="H38" s="252"/>
      <c r="I38" s="252"/>
    </row>
    <row r="39" spans="1:9" x14ac:dyDescent="0.25">
      <c r="A39" s="226"/>
      <c r="B39" s="226"/>
      <c r="C39" s="228" t="s">
        <v>535</v>
      </c>
      <c r="D39" s="226"/>
      <c r="E39" s="256"/>
      <c r="F39" s="252"/>
      <c r="G39" s="252">
        <f>51728-2110+306+75000+1001000*0.05*0.67+0.05*0.68*(43000)+0.05*0.67*(64267)</f>
        <v>162072.44450000001</v>
      </c>
      <c r="H39" s="252"/>
      <c r="I39" s="256"/>
    </row>
    <row r="40" spans="1:9" x14ac:dyDescent="0.25">
      <c r="A40" s="226"/>
      <c r="B40" s="226"/>
      <c r="C40" s="228" t="s">
        <v>836</v>
      </c>
      <c r="D40" s="226"/>
      <c r="E40" s="256"/>
      <c r="F40" s="252"/>
      <c r="G40" s="252">
        <v>137</v>
      </c>
      <c r="H40" s="252"/>
      <c r="I40" s="256"/>
    </row>
    <row r="41" spans="1:9" x14ac:dyDescent="0.25">
      <c r="A41" s="226"/>
      <c r="B41" s="226"/>
      <c r="C41" s="228" t="s">
        <v>796</v>
      </c>
      <c r="D41" s="226"/>
      <c r="E41" s="256"/>
      <c r="F41" s="252"/>
      <c r="G41" s="252">
        <v>1136</v>
      </c>
      <c r="H41" s="252"/>
      <c r="I41" s="256"/>
    </row>
    <row r="42" spans="1:9" x14ac:dyDescent="0.25">
      <c r="A42" s="226"/>
      <c r="B42" s="226"/>
      <c r="C42" s="228" t="s">
        <v>837</v>
      </c>
      <c r="D42" s="226"/>
      <c r="E42" s="256"/>
      <c r="F42" s="252"/>
      <c r="G42" s="252">
        <v>8000</v>
      </c>
      <c r="H42" s="252"/>
      <c r="I42" s="256"/>
    </row>
    <row r="43" spans="1:9" x14ac:dyDescent="0.25">
      <c r="A43" s="226"/>
      <c r="B43" s="226"/>
      <c r="C43" s="228" t="s">
        <v>536</v>
      </c>
      <c r="D43" s="226"/>
      <c r="E43" s="257"/>
      <c r="F43" s="252"/>
      <c r="G43" s="253">
        <v>4951</v>
      </c>
      <c r="H43" s="252"/>
      <c r="I43" s="257"/>
    </row>
    <row r="44" spans="1:9" x14ac:dyDescent="0.25">
      <c r="A44" s="226"/>
      <c r="B44" s="226"/>
      <c r="C44" s="226"/>
      <c r="D44" s="228" t="s">
        <v>8</v>
      </c>
      <c r="E44" s="253">
        <f>68690+75000+875000*0.67*0.05+40000</f>
        <v>213002.5</v>
      </c>
      <c r="F44" s="252"/>
      <c r="G44" s="253">
        <f>SUM(G39:G43)</f>
        <v>176296.44450000001</v>
      </c>
      <c r="H44" s="252"/>
      <c r="I44" s="253">
        <f>E44-G44</f>
        <v>36706.055499999988</v>
      </c>
    </row>
    <row r="45" spans="1:9" x14ac:dyDescent="0.25">
      <c r="A45" s="226"/>
      <c r="B45" s="226"/>
      <c r="C45" s="226"/>
      <c r="D45" s="258"/>
      <c r="E45" s="259"/>
      <c r="F45" s="252"/>
      <c r="G45" s="259"/>
      <c r="H45" s="252"/>
      <c r="I45" s="259"/>
    </row>
    <row r="46" spans="1:9" x14ac:dyDescent="0.25">
      <c r="A46" s="226"/>
      <c r="B46" s="228" t="s">
        <v>540</v>
      </c>
      <c r="C46" s="226"/>
      <c r="D46" s="226"/>
      <c r="E46" s="252"/>
      <c r="F46" s="252"/>
      <c r="G46" s="252"/>
      <c r="H46" s="252"/>
      <c r="I46" s="252"/>
    </row>
    <row r="47" spans="1:9" x14ac:dyDescent="0.25">
      <c r="A47" s="226"/>
      <c r="B47" s="226"/>
      <c r="C47" s="228" t="s">
        <v>535</v>
      </c>
      <c r="D47" s="226"/>
      <c r="E47" s="256"/>
      <c r="F47" s="252"/>
      <c r="G47" s="252">
        <f>15505+75000</f>
        <v>90505</v>
      </c>
      <c r="H47" s="252"/>
      <c r="I47" s="256"/>
    </row>
    <row r="48" spans="1:9" x14ac:dyDescent="0.25">
      <c r="A48" s="226"/>
      <c r="B48" s="226"/>
      <c r="C48" s="228" t="s">
        <v>836</v>
      </c>
      <c r="D48" s="226"/>
      <c r="E48" s="256"/>
      <c r="F48" s="252"/>
      <c r="G48" s="252">
        <v>419</v>
      </c>
      <c r="H48" s="252"/>
      <c r="I48" s="256"/>
    </row>
    <row r="49" spans="1:9" x14ac:dyDescent="0.25">
      <c r="A49" s="226"/>
      <c r="B49" s="226"/>
      <c r="C49" s="228" t="s">
        <v>796</v>
      </c>
      <c r="D49" s="226"/>
      <c r="E49" s="256"/>
      <c r="F49" s="252"/>
      <c r="G49" s="252">
        <v>1858</v>
      </c>
      <c r="H49" s="252"/>
      <c r="I49" s="256"/>
    </row>
    <row r="50" spans="1:9" x14ac:dyDescent="0.25">
      <c r="A50" s="226"/>
      <c r="B50" s="226"/>
      <c r="C50" s="228" t="s">
        <v>543</v>
      </c>
      <c r="D50" s="226"/>
      <c r="E50" s="256"/>
      <c r="F50" s="252"/>
      <c r="G50" s="252">
        <v>7807</v>
      </c>
      <c r="H50" s="252"/>
      <c r="I50" s="256"/>
    </row>
    <row r="51" spans="1:9" x14ac:dyDescent="0.25">
      <c r="A51" s="226"/>
      <c r="B51" s="226"/>
      <c r="C51" s="228" t="s">
        <v>536</v>
      </c>
      <c r="D51" s="226"/>
      <c r="E51" s="257"/>
      <c r="F51" s="252"/>
      <c r="G51" s="253">
        <v>4251</v>
      </c>
      <c r="H51" s="252"/>
      <c r="I51" s="257"/>
    </row>
    <row r="52" spans="1:9" x14ac:dyDescent="0.25">
      <c r="A52" s="226"/>
      <c r="B52" s="226"/>
      <c r="C52" s="226"/>
      <c r="D52" s="228" t="s">
        <v>8</v>
      </c>
      <c r="E52" s="253">
        <f>32200+75000</f>
        <v>107200</v>
      </c>
      <c r="F52" s="252"/>
      <c r="G52" s="253">
        <f>SUM(G47:G51)</f>
        <v>104840</v>
      </c>
      <c r="H52" s="252"/>
      <c r="I52" s="253">
        <f>E52-G52</f>
        <v>2360</v>
      </c>
    </row>
    <row r="53" spans="1:9" x14ac:dyDescent="0.25">
      <c r="A53" s="226"/>
      <c r="B53" s="226"/>
      <c r="C53" s="226"/>
      <c r="D53" s="226"/>
      <c r="E53" s="255"/>
      <c r="F53" s="255"/>
      <c r="G53" s="255"/>
      <c r="H53" s="255"/>
      <c r="I53" s="255"/>
    </row>
    <row r="54" spans="1:9" x14ac:dyDescent="0.25">
      <c r="A54" s="226"/>
      <c r="B54" s="226"/>
      <c r="C54" s="226"/>
      <c r="D54" s="226"/>
      <c r="E54" s="255"/>
      <c r="F54" s="255"/>
      <c r="G54" s="255"/>
      <c r="H54" s="255"/>
      <c r="I54" s="255"/>
    </row>
    <row r="55" spans="1:9" x14ac:dyDescent="0.25">
      <c r="A55" s="226"/>
      <c r="B55" s="228" t="s">
        <v>838</v>
      </c>
      <c r="C55" s="226"/>
      <c r="D55" s="226"/>
      <c r="E55" s="252"/>
      <c r="F55" s="252"/>
      <c r="G55" s="252"/>
      <c r="H55" s="252"/>
      <c r="I55" s="252"/>
    </row>
    <row r="56" spans="1:9" x14ac:dyDescent="0.25">
      <c r="A56" s="226"/>
      <c r="B56" s="226"/>
      <c r="C56" s="228" t="s">
        <v>535</v>
      </c>
      <c r="D56" s="226"/>
      <c r="E56" s="256"/>
      <c r="F56" s="252"/>
      <c r="G56" s="252">
        <f>27712+75000</f>
        <v>102712</v>
      </c>
      <c r="H56" s="252"/>
      <c r="I56" s="256"/>
    </row>
    <row r="57" spans="1:9" x14ac:dyDescent="0.25">
      <c r="A57" s="226"/>
      <c r="B57" s="226"/>
      <c r="C57" s="228" t="s">
        <v>839</v>
      </c>
      <c r="D57" s="226"/>
      <c r="E57" s="256"/>
      <c r="F57" s="252"/>
      <c r="G57" s="252">
        <v>31388</v>
      </c>
      <c r="H57" s="252"/>
      <c r="I57" s="256"/>
    </row>
    <row r="58" spans="1:9" x14ac:dyDescent="0.25">
      <c r="A58" s="226"/>
      <c r="B58" s="226"/>
      <c r="C58" s="228" t="s">
        <v>796</v>
      </c>
      <c r="D58" s="226"/>
      <c r="E58" s="256"/>
      <c r="F58" s="252"/>
      <c r="G58" s="252">
        <v>3358</v>
      </c>
      <c r="H58" s="252"/>
      <c r="I58" s="256"/>
    </row>
    <row r="59" spans="1:9" x14ac:dyDescent="0.25">
      <c r="A59" s="226"/>
      <c r="B59" s="226"/>
      <c r="C59" s="228" t="s">
        <v>536</v>
      </c>
      <c r="D59" s="226"/>
      <c r="E59" s="257"/>
      <c r="F59" s="252"/>
      <c r="G59" s="253">
        <v>4352</v>
      </c>
      <c r="H59" s="252"/>
      <c r="I59" s="257"/>
    </row>
    <row r="60" spans="1:9" x14ac:dyDescent="0.25">
      <c r="A60" s="226"/>
      <c r="B60" s="226"/>
      <c r="C60" s="226"/>
      <c r="D60" s="228" t="s">
        <v>8</v>
      </c>
      <c r="E60" s="253">
        <f>74880+75000</f>
        <v>149880</v>
      </c>
      <c r="F60" s="252"/>
      <c r="G60" s="253">
        <f>SUM(G56:G59)</f>
        <v>141810</v>
      </c>
      <c r="H60" s="252"/>
      <c r="I60" s="253">
        <f>E60-G60</f>
        <v>8070</v>
      </c>
    </row>
    <row r="61" spans="1:9" x14ac:dyDescent="0.25">
      <c r="A61" s="226"/>
      <c r="B61" s="226"/>
      <c r="C61" s="226"/>
      <c r="D61" s="226"/>
      <c r="E61" s="252"/>
      <c r="F61" s="252"/>
      <c r="G61" s="252"/>
      <c r="H61" s="252"/>
      <c r="I61" s="252"/>
    </row>
    <row r="62" spans="1:9" x14ac:dyDescent="0.25">
      <c r="A62" s="226"/>
      <c r="B62" s="226"/>
      <c r="C62" s="226"/>
      <c r="D62" s="226"/>
      <c r="E62" s="252"/>
      <c r="F62" s="252"/>
      <c r="G62" s="252"/>
      <c r="H62" s="252"/>
      <c r="I62" s="461" t="s">
        <v>329</v>
      </c>
    </row>
    <row r="63" spans="1:9" x14ac:dyDescent="0.25">
      <c r="A63" s="226"/>
      <c r="B63" s="226"/>
      <c r="C63" s="226"/>
      <c r="D63" s="226"/>
      <c r="E63" s="252"/>
      <c r="F63" s="252"/>
      <c r="G63" s="252"/>
      <c r="H63" s="252"/>
      <c r="I63" s="252"/>
    </row>
    <row r="64" spans="1:9" x14ac:dyDescent="0.25">
      <c r="A64" s="226"/>
      <c r="B64" s="226"/>
      <c r="C64" s="226"/>
      <c r="D64" s="226"/>
      <c r="E64" s="252"/>
      <c r="F64" s="252"/>
      <c r="G64" s="252"/>
      <c r="H64" s="252"/>
      <c r="I64" s="252"/>
    </row>
    <row r="65" spans="1:9" x14ac:dyDescent="0.25">
      <c r="A65" s="226"/>
      <c r="B65" s="226"/>
      <c r="C65" s="226"/>
      <c r="D65" s="226"/>
      <c r="E65" s="603"/>
      <c r="F65" s="603"/>
      <c r="G65" s="603"/>
      <c r="H65" s="603"/>
      <c r="I65" s="131" t="s">
        <v>215</v>
      </c>
    </row>
    <row r="66" spans="1:9" x14ac:dyDescent="0.25">
      <c r="A66" s="226"/>
      <c r="B66" s="226"/>
      <c r="C66" s="226"/>
      <c r="D66" s="226"/>
      <c r="E66" s="604" t="s">
        <v>218</v>
      </c>
      <c r="F66" s="603"/>
      <c r="G66" s="603"/>
      <c r="H66" s="603"/>
      <c r="I66" s="131" t="s">
        <v>219</v>
      </c>
    </row>
    <row r="67" spans="1:9" x14ac:dyDescent="0.25">
      <c r="A67" s="226"/>
      <c r="B67" s="226"/>
      <c r="C67" s="226"/>
      <c r="D67" s="226"/>
      <c r="E67" s="605" t="s">
        <v>220</v>
      </c>
      <c r="F67" s="603"/>
      <c r="G67" s="605" t="s">
        <v>221</v>
      </c>
      <c r="H67" s="603"/>
      <c r="I67" s="606" t="s">
        <v>222</v>
      </c>
    </row>
    <row r="68" spans="1:9" x14ac:dyDescent="0.25">
      <c r="A68" s="226"/>
      <c r="B68" s="228" t="s">
        <v>840</v>
      </c>
      <c r="C68" s="226"/>
      <c r="D68" s="226"/>
      <c r="E68" s="252"/>
      <c r="F68" s="252"/>
      <c r="G68" s="252"/>
      <c r="H68" s="252"/>
      <c r="I68" s="252"/>
    </row>
    <row r="69" spans="1:9" x14ac:dyDescent="0.25">
      <c r="A69" s="226"/>
      <c r="B69" s="226"/>
      <c r="C69" s="228" t="s">
        <v>535</v>
      </c>
      <c r="D69" s="226"/>
      <c r="E69" s="256"/>
      <c r="F69" s="252"/>
      <c r="G69" s="252">
        <f>5435+50000+51028</f>
        <v>106463</v>
      </c>
      <c r="H69" s="252"/>
      <c r="I69" s="256"/>
    </row>
    <row r="70" spans="1:9" x14ac:dyDescent="0.25">
      <c r="A70" s="226"/>
      <c r="B70" s="226"/>
      <c r="C70" s="228" t="s">
        <v>841</v>
      </c>
      <c r="D70" s="226"/>
      <c r="E70" s="256"/>
      <c r="F70" s="252"/>
      <c r="G70" s="252">
        <v>15918</v>
      </c>
      <c r="H70" s="252"/>
      <c r="I70" s="256"/>
    </row>
    <row r="71" spans="1:9" x14ac:dyDescent="0.25">
      <c r="A71" s="226"/>
      <c r="B71" s="226"/>
      <c r="C71" s="228" t="s">
        <v>796</v>
      </c>
      <c r="D71" s="226"/>
      <c r="E71" s="256"/>
      <c r="F71" s="252"/>
      <c r="G71" s="252">
        <v>125</v>
      </c>
      <c r="H71" s="252"/>
      <c r="I71" s="256"/>
    </row>
    <row r="72" spans="1:9" x14ac:dyDescent="0.25">
      <c r="A72" s="226"/>
      <c r="B72" s="226"/>
      <c r="C72" s="228" t="s">
        <v>536</v>
      </c>
      <c r="D72" s="226"/>
      <c r="E72" s="257"/>
      <c r="F72" s="252"/>
      <c r="G72" s="253">
        <v>1326</v>
      </c>
      <c r="H72" s="252"/>
      <c r="I72" s="257"/>
    </row>
    <row r="73" spans="1:9" x14ac:dyDescent="0.25">
      <c r="A73" s="226"/>
      <c r="B73" s="226"/>
      <c r="C73" s="226"/>
      <c r="D73" s="228" t="s">
        <v>8</v>
      </c>
      <c r="E73" s="253">
        <f>27500+50000</f>
        <v>77500</v>
      </c>
      <c r="F73" s="252"/>
      <c r="G73" s="253">
        <f>SUM(G69:G72)</f>
        <v>123832</v>
      </c>
      <c r="H73" s="252"/>
      <c r="I73" s="253">
        <f>E73-G73</f>
        <v>-46332</v>
      </c>
    </row>
    <row r="74" spans="1:9" x14ac:dyDescent="0.25">
      <c r="A74" s="226"/>
      <c r="B74" s="226"/>
      <c r="C74" s="226"/>
      <c r="D74" s="226"/>
      <c r="E74" s="252"/>
      <c r="F74" s="252"/>
      <c r="G74" s="252"/>
      <c r="H74" s="252"/>
      <c r="I74" s="252"/>
    </row>
    <row r="75" spans="1:9" x14ac:dyDescent="0.25">
      <c r="A75" s="226"/>
      <c r="B75" s="228" t="s">
        <v>842</v>
      </c>
      <c r="C75" s="226"/>
      <c r="D75" s="226"/>
      <c r="E75" s="252"/>
      <c r="F75" s="252"/>
      <c r="G75" s="252"/>
      <c r="H75" s="252"/>
      <c r="I75" s="252"/>
    </row>
    <row r="76" spans="1:9" x14ac:dyDescent="0.25">
      <c r="A76" s="226"/>
      <c r="B76" s="226"/>
      <c r="C76" s="228" t="s">
        <v>535</v>
      </c>
      <c r="D76" s="226"/>
      <c r="E76" s="256"/>
      <c r="F76" s="252"/>
      <c r="G76" s="252">
        <f>7314+45000</f>
        <v>52314</v>
      </c>
      <c r="H76" s="252"/>
      <c r="I76" s="256"/>
    </row>
    <row r="77" spans="1:9" x14ac:dyDescent="0.25">
      <c r="A77" s="226"/>
      <c r="B77" s="226"/>
      <c r="C77" s="228" t="s">
        <v>796</v>
      </c>
      <c r="D77" s="226"/>
      <c r="E77" s="256"/>
      <c r="F77" s="252"/>
      <c r="G77" s="252">
        <v>13973</v>
      </c>
      <c r="H77" s="252"/>
      <c r="I77" s="256"/>
    </row>
    <row r="78" spans="1:9" x14ac:dyDescent="0.25">
      <c r="A78" s="226"/>
      <c r="B78" s="226"/>
      <c r="C78" s="228" t="s">
        <v>843</v>
      </c>
      <c r="D78" s="226"/>
      <c r="E78" s="256"/>
      <c r="F78" s="252"/>
      <c r="G78" s="252">
        <v>3368</v>
      </c>
      <c r="H78" s="252"/>
      <c r="I78" s="256"/>
    </row>
    <row r="79" spans="1:9" x14ac:dyDescent="0.25">
      <c r="A79" s="226"/>
      <c r="B79" s="226"/>
      <c r="C79" s="228" t="s">
        <v>536</v>
      </c>
      <c r="D79" s="226"/>
      <c r="E79" s="257"/>
      <c r="F79" s="252"/>
      <c r="G79" s="253">
        <v>4867</v>
      </c>
      <c r="H79" s="252"/>
      <c r="I79" s="257"/>
    </row>
    <row r="80" spans="1:9" x14ac:dyDescent="0.25">
      <c r="A80" s="226"/>
      <c r="B80" s="226"/>
      <c r="C80" s="226"/>
      <c r="D80" s="228" t="s">
        <v>8</v>
      </c>
      <c r="E80" s="253">
        <f>35750+45000</f>
        <v>80750</v>
      </c>
      <c r="F80" s="252"/>
      <c r="G80" s="253">
        <f>SUM(G76:G79)</f>
        <v>74522</v>
      </c>
      <c r="H80" s="252"/>
      <c r="I80" s="253">
        <f>E80-G80</f>
        <v>6228</v>
      </c>
    </row>
    <row r="81" spans="1:9" x14ac:dyDescent="0.25">
      <c r="A81" s="226"/>
      <c r="B81" s="226"/>
      <c r="C81" s="226"/>
      <c r="D81" s="226"/>
      <c r="E81" s="252"/>
      <c r="F81" s="252"/>
      <c r="G81" s="252"/>
      <c r="H81" s="252"/>
      <c r="I81" s="252"/>
    </row>
    <row r="82" spans="1:9" x14ac:dyDescent="0.25">
      <c r="A82" s="226"/>
      <c r="B82" s="228" t="s">
        <v>844</v>
      </c>
      <c r="C82" s="226"/>
      <c r="D82" s="226"/>
      <c r="E82" s="252"/>
      <c r="F82" s="252"/>
      <c r="G82" s="252"/>
      <c r="H82" s="252"/>
      <c r="I82" s="252"/>
    </row>
    <row r="83" spans="1:9" x14ac:dyDescent="0.25">
      <c r="A83" s="226"/>
      <c r="B83" s="226"/>
      <c r="C83" s="228" t="s">
        <v>535</v>
      </c>
      <c r="D83" s="226"/>
      <c r="E83" s="256"/>
      <c r="F83" s="252"/>
      <c r="G83" s="252">
        <f>7608+50000</f>
        <v>57608</v>
      </c>
      <c r="H83" s="252"/>
      <c r="I83" s="256"/>
    </row>
    <row r="84" spans="1:9" x14ac:dyDescent="0.25">
      <c r="A84" s="226"/>
      <c r="B84" s="226"/>
      <c r="C84" s="228" t="s">
        <v>796</v>
      </c>
      <c r="D84" s="226"/>
      <c r="E84" s="256"/>
      <c r="F84" s="252"/>
      <c r="G84" s="252">
        <v>10338</v>
      </c>
      <c r="H84" s="252"/>
      <c r="I84" s="256"/>
    </row>
    <row r="85" spans="1:9" x14ac:dyDescent="0.25">
      <c r="A85" s="226"/>
      <c r="B85" s="226"/>
      <c r="C85" s="228" t="s">
        <v>536</v>
      </c>
      <c r="D85" s="226"/>
      <c r="E85" s="257"/>
      <c r="F85" s="252"/>
      <c r="G85" s="253">
        <v>5365</v>
      </c>
      <c r="H85" s="252"/>
      <c r="I85" s="257"/>
    </row>
    <row r="86" spans="1:9" x14ac:dyDescent="0.25">
      <c r="A86" s="226"/>
      <c r="B86" s="226"/>
      <c r="C86" s="226"/>
      <c r="D86" s="228" t="s">
        <v>8</v>
      </c>
      <c r="E86" s="253">
        <f>26300+50000</f>
        <v>76300</v>
      </c>
      <c r="F86" s="252"/>
      <c r="G86" s="253">
        <f>SUM(G83:G85)</f>
        <v>73311</v>
      </c>
      <c r="H86" s="252"/>
      <c r="I86" s="253">
        <f>E86-G86</f>
        <v>2989</v>
      </c>
    </row>
    <row r="87" spans="1:9" x14ac:dyDescent="0.25">
      <c r="A87" s="226"/>
      <c r="B87" s="226"/>
      <c r="C87" s="226"/>
      <c r="D87" s="228"/>
      <c r="E87" s="259"/>
      <c r="F87" s="252"/>
      <c r="G87" s="259"/>
      <c r="H87" s="252"/>
      <c r="I87" s="259"/>
    </row>
    <row r="88" spans="1:9" x14ac:dyDescent="0.25">
      <c r="A88" s="364"/>
      <c r="B88" s="228" t="s">
        <v>845</v>
      </c>
      <c r="C88" s="226"/>
      <c r="D88" s="226"/>
      <c r="E88" s="252"/>
      <c r="F88" s="252"/>
      <c r="G88" s="252"/>
      <c r="H88" s="252"/>
      <c r="I88" s="252"/>
    </row>
    <row r="89" spans="1:9" x14ac:dyDescent="0.25">
      <c r="A89" s="226"/>
      <c r="B89" s="226"/>
      <c r="C89" s="228" t="s">
        <v>535</v>
      </c>
      <c r="D89" s="226"/>
      <c r="E89" s="256"/>
      <c r="F89" s="252"/>
      <c r="G89" s="252">
        <f>15676-6892+15000</f>
        <v>23784</v>
      </c>
      <c r="H89" s="252"/>
      <c r="I89" s="256"/>
    </row>
    <row r="90" spans="1:9" x14ac:dyDescent="0.25">
      <c r="A90" s="226"/>
      <c r="B90" s="226"/>
      <c r="C90" s="228" t="s">
        <v>839</v>
      </c>
      <c r="D90" s="226"/>
      <c r="E90" s="256"/>
      <c r="F90" s="252"/>
      <c r="G90" s="252">
        <v>6966</v>
      </c>
      <c r="H90" s="252"/>
      <c r="I90" s="256"/>
    </row>
    <row r="91" spans="1:9" x14ac:dyDescent="0.25">
      <c r="A91" s="226"/>
      <c r="B91" s="226"/>
      <c r="C91" s="228" t="s">
        <v>796</v>
      </c>
      <c r="D91" s="226"/>
      <c r="E91" s="256"/>
      <c r="F91" s="252"/>
      <c r="G91" s="252">
        <v>3520</v>
      </c>
      <c r="H91" s="252"/>
      <c r="I91" s="256"/>
    </row>
    <row r="92" spans="1:9" x14ac:dyDescent="0.25">
      <c r="A92" s="226"/>
      <c r="B92" s="226"/>
      <c r="C92" s="228" t="s">
        <v>536</v>
      </c>
      <c r="D92" s="226"/>
      <c r="E92" s="257"/>
      <c r="F92" s="252"/>
      <c r="G92" s="253">
        <f>1850+995</f>
        <v>2845</v>
      </c>
      <c r="H92" s="252"/>
      <c r="I92" s="257"/>
    </row>
    <row r="93" spans="1:9" x14ac:dyDescent="0.25">
      <c r="A93" s="226"/>
      <c r="B93" s="226"/>
      <c r="C93" s="226"/>
      <c r="D93" s="228" t="s">
        <v>8</v>
      </c>
      <c r="E93" s="253">
        <f>23600+15000</f>
        <v>38600</v>
      </c>
      <c r="F93" s="252"/>
      <c r="G93" s="253">
        <f>SUM(G89:G92)</f>
        <v>37115</v>
      </c>
      <c r="H93" s="252"/>
      <c r="I93" s="253">
        <f>E93-G93</f>
        <v>1485</v>
      </c>
    </row>
    <row r="94" spans="1:9" x14ac:dyDescent="0.25">
      <c r="A94" s="226"/>
      <c r="B94" s="226"/>
      <c r="C94" s="226"/>
      <c r="D94" s="226"/>
      <c r="E94" s="252"/>
      <c r="F94" s="252"/>
      <c r="G94" s="252"/>
      <c r="H94" s="252"/>
      <c r="I94" s="252"/>
    </row>
    <row r="95" spans="1:9" x14ac:dyDescent="0.25">
      <c r="A95" s="226"/>
      <c r="B95" s="228" t="s">
        <v>846</v>
      </c>
      <c r="C95" s="226"/>
      <c r="D95" s="226"/>
      <c r="E95" s="252"/>
      <c r="F95" s="252"/>
      <c r="G95" s="252"/>
      <c r="H95" s="252"/>
      <c r="I95" s="252"/>
    </row>
    <row r="96" spans="1:9" x14ac:dyDescent="0.25">
      <c r="A96" s="226"/>
      <c r="B96" s="226"/>
      <c r="C96" s="228" t="s">
        <v>535</v>
      </c>
      <c r="D96" s="226"/>
      <c r="E96" s="256"/>
      <c r="F96" s="252"/>
      <c r="G96" s="252">
        <f>4386+15000</f>
        <v>19386</v>
      </c>
      <c r="H96" s="252"/>
      <c r="I96" s="256"/>
    </row>
    <row r="97" spans="1:9" x14ac:dyDescent="0.25">
      <c r="A97" s="226"/>
      <c r="B97" s="226"/>
      <c r="C97" s="228" t="s">
        <v>796</v>
      </c>
      <c r="D97" s="226"/>
      <c r="E97" s="256"/>
      <c r="F97" s="252"/>
      <c r="G97" s="252">
        <v>445</v>
      </c>
      <c r="H97" s="252"/>
      <c r="I97" s="256"/>
    </row>
    <row r="98" spans="1:9" x14ac:dyDescent="0.25">
      <c r="A98" s="226"/>
      <c r="B98" s="226"/>
      <c r="C98" s="228" t="s">
        <v>536</v>
      </c>
      <c r="D98" s="226"/>
      <c r="E98" s="257"/>
      <c r="F98" s="252"/>
      <c r="G98" s="253">
        <f>113</f>
        <v>113</v>
      </c>
      <c r="H98" s="252"/>
      <c r="I98" s="260"/>
    </row>
    <row r="99" spans="1:9" x14ac:dyDescent="0.25">
      <c r="A99" s="226"/>
      <c r="B99" s="226"/>
      <c r="C99" s="226"/>
      <c r="D99" s="228" t="s">
        <v>8</v>
      </c>
      <c r="E99" s="253">
        <f>5600+15000</f>
        <v>20600</v>
      </c>
      <c r="F99" s="252"/>
      <c r="G99" s="253">
        <f>SUM(G96:G98)</f>
        <v>19944</v>
      </c>
      <c r="H99" s="252"/>
      <c r="I99" s="261">
        <f>E99-G99</f>
        <v>656</v>
      </c>
    </row>
    <row r="100" spans="1:9" x14ac:dyDescent="0.25">
      <c r="A100" s="226"/>
      <c r="B100" s="226"/>
      <c r="C100" s="226"/>
      <c r="D100" s="228"/>
      <c r="E100" s="259"/>
      <c r="F100" s="252"/>
      <c r="G100" s="259"/>
      <c r="H100" s="252"/>
      <c r="I100" s="262"/>
    </row>
    <row r="101" spans="1:9" x14ac:dyDescent="0.25">
      <c r="A101" s="226"/>
      <c r="B101" s="226" t="s">
        <v>847</v>
      </c>
      <c r="C101" s="226"/>
      <c r="D101" s="228"/>
      <c r="E101" s="263">
        <v>7000</v>
      </c>
      <c r="F101" s="252"/>
      <c r="G101" s="263">
        <v>6892</v>
      </c>
      <c r="H101" s="252"/>
      <c r="I101" s="253">
        <f>E101-G101</f>
        <v>108</v>
      </c>
    </row>
    <row r="102" spans="1:9" x14ac:dyDescent="0.25">
      <c r="E102" s="419"/>
      <c r="F102" s="419"/>
      <c r="G102" s="419"/>
      <c r="H102" s="419"/>
      <c r="I102" s="264"/>
    </row>
    <row r="103" spans="1:9" x14ac:dyDescent="0.25">
      <c r="A103" s="226"/>
      <c r="B103" s="228" t="s">
        <v>178</v>
      </c>
      <c r="C103" s="226"/>
      <c r="D103" s="226"/>
      <c r="E103" s="252"/>
      <c r="F103" s="252"/>
      <c r="G103" s="252"/>
      <c r="H103" s="252"/>
      <c r="I103" s="252"/>
    </row>
    <row r="104" spans="1:9" x14ac:dyDescent="0.25">
      <c r="A104" s="226"/>
      <c r="B104" s="226"/>
      <c r="C104" s="228" t="s">
        <v>226</v>
      </c>
      <c r="D104" s="226"/>
      <c r="E104" s="252">
        <v>101020</v>
      </c>
      <c r="F104" s="252"/>
      <c r="G104" s="252">
        <v>99144</v>
      </c>
      <c r="H104" s="252"/>
      <c r="I104" s="252">
        <f>E104-G104</f>
        <v>1876</v>
      </c>
    </row>
    <row r="105" spans="1:9" x14ac:dyDescent="0.25">
      <c r="A105" s="226"/>
      <c r="B105" s="226"/>
      <c r="C105" s="228" t="s">
        <v>848</v>
      </c>
      <c r="D105" s="226"/>
      <c r="E105" s="253">
        <v>250000</v>
      </c>
      <c r="F105" s="252"/>
      <c r="G105" s="253">
        <v>250000</v>
      </c>
      <c r="H105" s="252"/>
      <c r="I105" s="257">
        <f>E105-G105</f>
        <v>0</v>
      </c>
    </row>
    <row r="106" spans="1:9" x14ac:dyDescent="0.25">
      <c r="A106" s="226"/>
      <c r="B106" s="226"/>
      <c r="C106" s="226"/>
      <c r="D106" s="228" t="s">
        <v>8</v>
      </c>
      <c r="E106" s="253">
        <f>SUM(E104:E105)</f>
        <v>351020</v>
      </c>
      <c r="F106" s="252"/>
      <c r="G106" s="253">
        <f>SUM(G104:G105)</f>
        <v>349144</v>
      </c>
      <c r="H106" s="252"/>
      <c r="I106" s="253">
        <f>E106-G106</f>
        <v>1876</v>
      </c>
    </row>
    <row r="107" spans="1:9" x14ac:dyDescent="0.25">
      <c r="A107" s="226"/>
      <c r="B107" s="226"/>
      <c r="C107" s="226"/>
      <c r="D107" s="226"/>
      <c r="E107" s="255"/>
      <c r="F107" s="255"/>
      <c r="G107" s="252"/>
      <c r="H107" s="255"/>
      <c r="I107" s="255"/>
    </row>
    <row r="108" spans="1:9" x14ac:dyDescent="0.25">
      <c r="A108" s="226"/>
      <c r="B108" s="226"/>
      <c r="C108" s="226"/>
      <c r="D108" s="226"/>
      <c r="E108" s="255"/>
      <c r="F108" s="255"/>
      <c r="G108" s="252"/>
      <c r="H108" s="255"/>
      <c r="I108" s="461" t="s">
        <v>849</v>
      </c>
    </row>
    <row r="109" spans="1:9" x14ac:dyDescent="0.25">
      <c r="A109" s="226"/>
      <c r="B109" s="226"/>
      <c r="C109" s="226"/>
      <c r="D109" s="226"/>
      <c r="E109" s="255"/>
      <c r="F109" s="255"/>
      <c r="G109" s="252"/>
      <c r="H109" s="255"/>
      <c r="I109" s="255"/>
    </row>
    <row r="110" spans="1:9" x14ac:dyDescent="0.25">
      <c r="A110" s="226"/>
      <c r="B110" s="226"/>
      <c r="C110" s="226"/>
      <c r="D110" s="226"/>
      <c r="E110" s="255"/>
      <c r="F110" s="255"/>
      <c r="G110" s="252"/>
      <c r="H110" s="255"/>
      <c r="I110" s="461" t="s">
        <v>849</v>
      </c>
    </row>
    <row r="111" spans="1:9" x14ac:dyDescent="0.25">
      <c r="A111" s="226"/>
      <c r="B111" s="226"/>
      <c r="C111" s="226"/>
      <c r="D111" s="226"/>
      <c r="E111" s="255"/>
      <c r="F111" s="255"/>
      <c r="G111" s="252"/>
      <c r="H111" s="255"/>
      <c r="I111" s="255"/>
    </row>
    <row r="112" spans="1:9" x14ac:dyDescent="0.25">
      <c r="A112" s="226"/>
      <c r="B112" s="226"/>
      <c r="C112" s="226"/>
      <c r="D112" s="226"/>
      <c r="E112" s="603"/>
      <c r="F112" s="603"/>
      <c r="G112" s="603"/>
      <c r="H112" s="603"/>
      <c r="I112" s="131" t="s">
        <v>215</v>
      </c>
    </row>
    <row r="113" spans="1:9" x14ac:dyDescent="0.25">
      <c r="A113" s="226"/>
      <c r="B113" s="226"/>
      <c r="C113" s="226"/>
      <c r="D113" s="226"/>
      <c r="E113" s="604" t="s">
        <v>218</v>
      </c>
      <c r="F113" s="603"/>
      <c r="G113" s="603"/>
      <c r="H113" s="603"/>
      <c r="I113" s="131" t="s">
        <v>219</v>
      </c>
    </row>
    <row r="114" spans="1:9" x14ac:dyDescent="0.25">
      <c r="A114" s="226"/>
      <c r="B114" s="226"/>
      <c r="C114" s="226"/>
      <c r="D114" s="226"/>
      <c r="E114" s="605" t="s">
        <v>220</v>
      </c>
      <c r="F114" s="603"/>
      <c r="G114" s="605" t="s">
        <v>221</v>
      </c>
      <c r="H114" s="603"/>
      <c r="I114" s="606" t="s">
        <v>222</v>
      </c>
    </row>
    <row r="115" spans="1:9" x14ac:dyDescent="0.25">
      <c r="A115" s="226"/>
      <c r="B115" s="228" t="s">
        <v>741</v>
      </c>
      <c r="C115" s="226"/>
      <c r="D115" s="226"/>
      <c r="E115" s="252"/>
      <c r="F115" s="252"/>
      <c r="G115" s="252"/>
      <c r="H115" s="252"/>
      <c r="I115" s="252"/>
    </row>
    <row r="116" spans="1:9" x14ac:dyDescent="0.25">
      <c r="A116" s="226"/>
      <c r="B116" s="226"/>
      <c r="C116" s="228" t="s">
        <v>850</v>
      </c>
      <c r="D116" s="226"/>
      <c r="E116" s="252">
        <v>93000</v>
      </c>
      <c r="F116" s="252"/>
      <c r="G116" s="252">
        <v>38576</v>
      </c>
      <c r="H116" s="252"/>
      <c r="I116" s="252">
        <f t="shared" ref="I116:I122" si="0">E116-G116</f>
        <v>54424</v>
      </c>
    </row>
    <row r="117" spans="1:9" x14ac:dyDescent="0.25">
      <c r="A117" s="226"/>
      <c r="B117" s="226"/>
      <c r="C117" s="228" t="s">
        <v>851</v>
      </c>
      <c r="D117" s="226"/>
      <c r="E117" s="252">
        <v>27000</v>
      </c>
      <c r="F117" s="252"/>
      <c r="G117" s="252">
        <v>18495</v>
      </c>
      <c r="H117" s="252"/>
      <c r="I117" s="252">
        <f t="shared" si="0"/>
        <v>8505</v>
      </c>
    </row>
    <row r="118" spans="1:9" x14ac:dyDescent="0.25">
      <c r="A118" s="226"/>
      <c r="B118" s="226"/>
      <c r="C118" s="228" t="s">
        <v>852</v>
      </c>
      <c r="D118" s="226"/>
      <c r="E118" s="252">
        <v>21625</v>
      </c>
      <c r="F118" s="252"/>
      <c r="G118" s="252">
        <v>17310</v>
      </c>
      <c r="H118" s="252"/>
      <c r="I118" s="252">
        <f t="shared" si="0"/>
        <v>4315</v>
      </c>
    </row>
    <row r="119" spans="1:9" x14ac:dyDescent="0.25">
      <c r="A119" s="226"/>
      <c r="B119" s="226"/>
      <c r="C119" s="228" t="s">
        <v>853</v>
      </c>
      <c r="D119" s="226"/>
      <c r="E119" s="252">
        <v>52100</v>
      </c>
      <c r="F119" s="252"/>
      <c r="G119" s="252">
        <v>32594</v>
      </c>
      <c r="H119" s="252"/>
      <c r="I119" s="252">
        <f t="shared" si="0"/>
        <v>19506</v>
      </c>
    </row>
    <row r="120" spans="1:9" x14ac:dyDescent="0.25">
      <c r="A120" s="226"/>
      <c r="B120" s="226"/>
      <c r="C120" s="228" t="s">
        <v>854</v>
      </c>
      <c r="D120" s="226"/>
      <c r="E120" s="252">
        <v>12085</v>
      </c>
      <c r="F120" s="252"/>
      <c r="G120" s="252">
        <v>8043</v>
      </c>
      <c r="H120" s="252"/>
      <c r="I120" s="252">
        <f t="shared" si="0"/>
        <v>4042</v>
      </c>
    </row>
    <row r="121" spans="1:9" x14ac:dyDescent="0.25">
      <c r="A121" s="226"/>
      <c r="B121" s="226"/>
      <c r="C121" s="228" t="s">
        <v>855</v>
      </c>
      <c r="D121" s="226"/>
      <c r="E121" s="253">
        <v>12650</v>
      </c>
      <c r="F121" s="252"/>
      <c r="G121" s="253">
        <v>10346</v>
      </c>
      <c r="H121" s="252"/>
      <c r="I121" s="253">
        <f t="shared" si="0"/>
        <v>2304</v>
      </c>
    </row>
    <row r="122" spans="1:9" x14ac:dyDescent="0.25">
      <c r="A122" s="226"/>
      <c r="B122" s="226"/>
      <c r="C122" s="226"/>
      <c r="D122" s="228" t="s">
        <v>495</v>
      </c>
      <c r="E122" s="253">
        <f>SUM(E116:E121)</f>
        <v>218460</v>
      </c>
      <c r="F122" s="252"/>
      <c r="G122" s="253">
        <f>SUM(G116:G121)</f>
        <v>125364</v>
      </c>
      <c r="H122" s="252"/>
      <c r="I122" s="253">
        <f t="shared" si="0"/>
        <v>93096</v>
      </c>
    </row>
    <row r="123" spans="1:9" x14ac:dyDescent="0.25">
      <c r="A123" s="226"/>
      <c r="B123" s="226"/>
      <c r="C123" s="226"/>
      <c r="D123" s="228" t="s">
        <v>183</v>
      </c>
      <c r="E123" s="253">
        <f>E122+E106+E101+E99+E93+E86+E80+E73+E60+E52+E44</f>
        <v>1340312.5</v>
      </c>
      <c r="F123" s="252"/>
      <c r="G123" s="253">
        <f>G122+G106+G101+G99+G93+G86+G80+G73+G60+G52+G44</f>
        <v>1233070.4445</v>
      </c>
      <c r="H123" s="252"/>
      <c r="I123" s="253">
        <f>E123-G123</f>
        <v>107242.05550000002</v>
      </c>
    </row>
    <row r="124" spans="1:9" x14ac:dyDescent="0.25">
      <c r="A124" s="226"/>
      <c r="B124" s="226"/>
      <c r="C124" s="226"/>
      <c r="D124" s="226"/>
      <c r="E124" s="255"/>
      <c r="F124" s="255"/>
      <c r="G124" s="255"/>
      <c r="H124" s="255"/>
      <c r="I124" s="255"/>
    </row>
    <row r="125" spans="1:9" x14ac:dyDescent="0.25">
      <c r="A125" s="228" t="s">
        <v>824</v>
      </c>
      <c r="B125" s="226"/>
      <c r="C125" s="226"/>
      <c r="D125" s="226"/>
      <c r="E125" s="255"/>
      <c r="F125" s="252"/>
      <c r="G125" s="255"/>
      <c r="H125" s="252"/>
      <c r="I125" s="252"/>
    </row>
    <row r="126" spans="1:9" ht="13.8" thickBot="1" x14ac:dyDescent="0.3">
      <c r="A126" s="228" t="s">
        <v>856</v>
      </c>
      <c r="B126" s="226"/>
      <c r="C126" s="226"/>
      <c r="D126" s="226"/>
      <c r="E126" s="265">
        <f>E35-E123</f>
        <v>0</v>
      </c>
      <c r="F126" s="252"/>
      <c r="G126" s="266">
        <f>G35-G123</f>
        <v>90762.555500000017</v>
      </c>
      <c r="H126" s="252"/>
      <c r="I126" s="267">
        <f>G126-E126</f>
        <v>90762.555500000017</v>
      </c>
    </row>
    <row r="127" spans="1:9" ht="13.8" thickTop="1" x14ac:dyDescent="0.25">
      <c r="A127" s="226"/>
      <c r="B127" s="226"/>
      <c r="C127" s="226"/>
      <c r="D127" s="226"/>
      <c r="E127" s="255"/>
      <c r="F127" s="255"/>
      <c r="G127" s="255"/>
      <c r="H127" s="255"/>
      <c r="I127" s="255"/>
    </row>
    <row r="128" spans="1:9" x14ac:dyDescent="0.25">
      <c r="A128" s="226"/>
      <c r="B128" s="226"/>
      <c r="C128" s="226"/>
      <c r="D128" s="226"/>
      <c r="E128" s="252"/>
      <c r="F128" s="252"/>
      <c r="G128" s="252"/>
      <c r="H128" s="252"/>
      <c r="I128" s="461"/>
    </row>
    <row r="129" spans="1:10" x14ac:dyDescent="0.25">
      <c r="A129" s="225" t="s">
        <v>806</v>
      </c>
      <c r="B129" s="226"/>
      <c r="C129" s="226"/>
      <c r="D129" s="226"/>
      <c r="E129" s="252"/>
      <c r="F129" s="252"/>
      <c r="G129" s="252"/>
      <c r="H129" s="252"/>
      <c r="I129" s="252"/>
    </row>
    <row r="130" spans="1:10" x14ac:dyDescent="0.25">
      <c r="A130" s="225" t="s">
        <v>807</v>
      </c>
      <c r="B130" s="226"/>
      <c r="C130" s="226"/>
      <c r="D130" s="226"/>
      <c r="E130" s="255"/>
      <c r="F130" s="255"/>
      <c r="G130" s="252"/>
      <c r="H130" s="255"/>
      <c r="I130" s="255"/>
    </row>
    <row r="131" spans="1:10" x14ac:dyDescent="0.25">
      <c r="A131" s="226"/>
      <c r="B131" s="226"/>
      <c r="C131" s="226"/>
      <c r="D131" s="226"/>
      <c r="E131" s="255"/>
      <c r="F131" s="255"/>
      <c r="G131" s="252"/>
      <c r="H131" s="255"/>
      <c r="I131" s="255"/>
    </row>
    <row r="132" spans="1:10" x14ac:dyDescent="0.25">
      <c r="A132" s="226"/>
      <c r="B132" s="228" t="s">
        <v>824</v>
      </c>
      <c r="C132" s="226"/>
      <c r="D132" s="226"/>
      <c r="E132" s="255"/>
      <c r="F132" s="255"/>
      <c r="G132" s="268"/>
      <c r="H132" s="255"/>
      <c r="I132" s="228"/>
      <c r="J132" s="226"/>
    </row>
    <row r="133" spans="1:10" x14ac:dyDescent="0.25">
      <c r="A133" s="226"/>
      <c r="B133" s="228" t="s">
        <v>856</v>
      </c>
      <c r="C133" s="226"/>
      <c r="D133" s="226"/>
      <c r="E133" s="255"/>
      <c r="F133" s="255"/>
      <c r="G133" s="269">
        <f>G126</f>
        <v>90762.555500000017</v>
      </c>
      <c r="H133" s="255"/>
      <c r="I133" s="228"/>
      <c r="J133" s="226"/>
    </row>
    <row r="134" spans="1:10" x14ac:dyDescent="0.25">
      <c r="A134" s="226"/>
      <c r="B134" s="226"/>
      <c r="C134" s="226"/>
      <c r="D134" s="226"/>
      <c r="E134" s="255"/>
      <c r="F134" s="255"/>
      <c r="G134" s="255"/>
      <c r="H134" s="255"/>
      <c r="I134" s="255"/>
    </row>
    <row r="135" spans="1:10" x14ac:dyDescent="0.25">
      <c r="A135" s="226"/>
      <c r="B135" s="228" t="s">
        <v>808</v>
      </c>
      <c r="C135" s="226"/>
      <c r="D135" s="226"/>
      <c r="E135" s="255"/>
      <c r="F135" s="255"/>
      <c r="G135" s="252"/>
      <c r="H135" s="255"/>
      <c r="I135" s="255"/>
    </row>
    <row r="136" spans="1:10" x14ac:dyDescent="0.25">
      <c r="A136" s="226"/>
      <c r="B136" s="226"/>
      <c r="C136" s="228" t="s">
        <v>848</v>
      </c>
      <c r="D136" s="226"/>
      <c r="E136" s="252"/>
      <c r="F136" s="252"/>
      <c r="G136" s="252">
        <v>250000</v>
      </c>
      <c r="H136" s="252"/>
      <c r="I136" s="252"/>
    </row>
    <row r="137" spans="1:10" x14ac:dyDescent="0.25">
      <c r="A137" s="226"/>
      <c r="B137" s="226"/>
      <c r="C137" s="228" t="s">
        <v>177</v>
      </c>
      <c r="D137" s="226"/>
      <c r="E137" s="252"/>
      <c r="F137" s="252"/>
      <c r="G137" s="252">
        <v>125364</v>
      </c>
      <c r="H137" s="252"/>
      <c r="I137" s="252"/>
    </row>
    <row r="138" spans="1:10" x14ac:dyDescent="0.25">
      <c r="A138" s="226"/>
      <c r="B138" s="226"/>
      <c r="C138" s="228" t="s">
        <v>857</v>
      </c>
      <c r="D138" s="226"/>
      <c r="E138" s="252"/>
      <c r="F138" s="252"/>
      <c r="G138" s="252"/>
      <c r="H138" s="252"/>
      <c r="I138" s="252"/>
    </row>
    <row r="139" spans="1:10" x14ac:dyDescent="0.25">
      <c r="A139" s="226"/>
      <c r="B139" s="226"/>
      <c r="C139" s="228" t="s">
        <v>858</v>
      </c>
      <c r="D139" s="226"/>
      <c r="E139" s="252"/>
      <c r="F139" s="252"/>
      <c r="G139" s="252">
        <v>121348</v>
      </c>
      <c r="H139" s="252"/>
      <c r="I139" s="252"/>
    </row>
    <row r="140" spans="1:10" hidden="1" x14ac:dyDescent="0.25">
      <c r="A140" s="226"/>
      <c r="B140" s="226"/>
      <c r="C140" s="387" t="s">
        <v>859</v>
      </c>
      <c r="D140" s="226"/>
      <c r="E140" s="252"/>
      <c r="F140" s="252"/>
      <c r="G140" s="252">
        <v>0</v>
      </c>
      <c r="H140" s="252"/>
      <c r="I140" s="252"/>
    </row>
    <row r="141" spans="1:10" x14ac:dyDescent="0.25">
      <c r="A141" s="226"/>
      <c r="B141" s="226"/>
      <c r="C141" s="387" t="s">
        <v>809</v>
      </c>
      <c r="D141" s="387"/>
      <c r="E141" s="252"/>
      <c r="F141" s="252"/>
      <c r="G141" s="252">
        <f>-'EFCF Exh 9'!F71</f>
        <v>63224.900500000011</v>
      </c>
      <c r="H141" s="252"/>
      <c r="I141" s="252"/>
    </row>
    <row r="142" spans="1:10" x14ac:dyDescent="0.25">
      <c r="A142" s="226"/>
      <c r="B142" s="226"/>
      <c r="C142" s="387" t="s">
        <v>810</v>
      </c>
      <c r="D142" s="387"/>
      <c r="E142" s="252"/>
      <c r="F142" s="252"/>
      <c r="G142" s="252">
        <f>-'EFCF Exh 9'!F73</f>
        <v>-73199.5435</v>
      </c>
      <c r="H142" s="252"/>
      <c r="I142" s="252"/>
    </row>
    <row r="143" spans="1:10" x14ac:dyDescent="0.25">
      <c r="A143" s="226"/>
      <c r="B143" s="226"/>
      <c r="C143" s="387" t="s">
        <v>811</v>
      </c>
      <c r="D143" s="387"/>
      <c r="E143" s="252"/>
      <c r="F143" s="252"/>
      <c r="G143" s="252">
        <f>-'EFCF Exh 9'!F75</f>
        <v>497.62599999999998</v>
      </c>
      <c r="H143" s="252"/>
      <c r="I143" s="227"/>
    </row>
    <row r="144" spans="1:10" x14ac:dyDescent="0.25">
      <c r="A144" s="226"/>
      <c r="B144" s="226"/>
      <c r="C144" s="387" t="s">
        <v>860</v>
      </c>
      <c r="D144" s="387"/>
      <c r="E144" s="252"/>
      <c r="F144" s="252"/>
      <c r="G144" s="252">
        <f>-'EFCF Exh 9'!F72</f>
        <v>249.86600000000001</v>
      </c>
      <c r="H144" s="252"/>
      <c r="I144" s="252"/>
    </row>
    <row r="145" spans="1:11" x14ac:dyDescent="0.25">
      <c r="A145" s="226"/>
      <c r="B145" s="226"/>
      <c r="C145" s="387" t="s">
        <v>813</v>
      </c>
      <c r="D145" s="387"/>
      <c r="E145" s="252"/>
      <c r="F145" s="252"/>
      <c r="G145" s="252">
        <f>-'EFCF Exh 9'!F74</f>
        <v>17436.118000000002</v>
      </c>
      <c r="H145" s="252"/>
      <c r="I145" s="252"/>
    </row>
    <row r="146" spans="1:11" x14ac:dyDescent="0.25">
      <c r="A146" s="226"/>
      <c r="B146" s="226"/>
      <c r="C146" s="387" t="s">
        <v>814</v>
      </c>
      <c r="D146" s="387"/>
      <c r="E146" s="252"/>
      <c r="F146" s="252"/>
      <c r="G146" s="252">
        <f>-'EFCF Exh 9'!F76</f>
        <v>-18494.096000000001</v>
      </c>
      <c r="H146" s="252"/>
      <c r="I146" s="252"/>
    </row>
    <row r="147" spans="1:11" x14ac:dyDescent="0.25">
      <c r="A147" s="226"/>
      <c r="B147" s="226"/>
      <c r="C147" s="387" t="s">
        <v>861</v>
      </c>
      <c r="D147" s="226"/>
      <c r="E147" s="252"/>
      <c r="F147" s="252"/>
      <c r="G147" s="252">
        <f>-1868+3791</f>
        <v>1923</v>
      </c>
      <c r="H147" s="252"/>
      <c r="I147" s="252"/>
    </row>
    <row r="148" spans="1:11" x14ac:dyDescent="0.25">
      <c r="A148" s="226"/>
      <c r="B148" s="226"/>
      <c r="C148" s="387" t="s">
        <v>817</v>
      </c>
      <c r="D148" s="226"/>
      <c r="E148" s="252"/>
      <c r="F148" s="252"/>
      <c r="G148" s="252">
        <v>-10000</v>
      </c>
      <c r="H148" s="252"/>
      <c r="I148" s="252"/>
    </row>
    <row r="149" spans="1:11" x14ac:dyDescent="0.25">
      <c r="A149" s="226"/>
      <c r="B149" s="226"/>
      <c r="C149" s="228" t="s">
        <v>281</v>
      </c>
      <c r="D149" s="226"/>
      <c r="E149" s="252"/>
      <c r="F149" s="252"/>
      <c r="G149" s="252">
        <v>-200963</v>
      </c>
      <c r="H149" s="252"/>
      <c r="I149" s="252"/>
    </row>
    <row r="150" spans="1:11" x14ac:dyDescent="0.25">
      <c r="A150" s="226"/>
      <c r="B150" s="226"/>
      <c r="C150" s="228" t="s">
        <v>862</v>
      </c>
      <c r="D150" s="226"/>
      <c r="E150" s="252"/>
      <c r="F150" s="252"/>
      <c r="G150" s="252"/>
      <c r="H150" s="252"/>
      <c r="I150" s="252"/>
    </row>
    <row r="151" spans="1:11" x14ac:dyDescent="0.25">
      <c r="A151" s="226"/>
      <c r="B151" s="226"/>
      <c r="C151" s="228" t="s">
        <v>863</v>
      </c>
      <c r="D151" s="226"/>
      <c r="E151" s="252"/>
      <c r="F151" s="252"/>
      <c r="G151" s="252">
        <v>32162</v>
      </c>
      <c r="H151" s="252"/>
      <c r="I151" s="252"/>
    </row>
    <row r="152" spans="1:11" x14ac:dyDescent="0.25">
      <c r="A152" s="226"/>
      <c r="B152" s="226"/>
      <c r="C152" s="228" t="s">
        <v>864</v>
      </c>
      <c r="D152" s="226"/>
      <c r="E152" s="252"/>
      <c r="F152" s="252"/>
      <c r="G152" s="252"/>
      <c r="H152" s="252"/>
      <c r="I152" s="252"/>
    </row>
    <row r="153" spans="1:11" x14ac:dyDescent="0.25">
      <c r="A153" s="226"/>
      <c r="B153" s="226"/>
      <c r="C153" s="228" t="s">
        <v>865</v>
      </c>
      <c r="D153" s="226"/>
      <c r="E153" s="252"/>
      <c r="F153" s="252"/>
      <c r="G153" s="252"/>
      <c r="H153" s="252"/>
      <c r="I153" s="252"/>
    </row>
    <row r="154" spans="1:11" x14ac:dyDescent="0.25">
      <c r="A154" s="226"/>
      <c r="B154" s="226"/>
      <c r="C154" s="228" t="s">
        <v>866</v>
      </c>
      <c r="D154" s="226"/>
      <c r="E154" s="252"/>
      <c r="F154" s="252"/>
      <c r="G154" s="252">
        <v>101012</v>
      </c>
      <c r="H154" s="252"/>
      <c r="I154" s="252"/>
    </row>
    <row r="155" spans="1:11" x14ac:dyDescent="0.25">
      <c r="A155" s="226"/>
      <c r="B155" s="226"/>
      <c r="C155" s="228" t="s">
        <v>867</v>
      </c>
      <c r="D155" s="226"/>
      <c r="E155" s="255"/>
      <c r="F155" s="255"/>
      <c r="G155" s="252"/>
      <c r="H155" s="255"/>
      <c r="I155" s="255"/>
    </row>
    <row r="156" spans="1:11" x14ac:dyDescent="0.25">
      <c r="A156" s="226"/>
      <c r="B156" s="226"/>
      <c r="C156" s="228" t="s">
        <v>868</v>
      </c>
      <c r="D156" s="226"/>
      <c r="E156" s="255"/>
      <c r="F156" s="252"/>
      <c r="G156" s="253">
        <v>-32162</v>
      </c>
      <c r="H156" s="252"/>
      <c r="I156" s="255"/>
    </row>
    <row r="157" spans="1:11" x14ac:dyDescent="0.25">
      <c r="A157" s="226"/>
      <c r="B157" s="226"/>
      <c r="C157" s="226"/>
      <c r="D157" s="228" t="s">
        <v>818</v>
      </c>
      <c r="E157" s="252"/>
      <c r="F157" s="252"/>
      <c r="G157" s="253">
        <f>SUM(G136:G156)</f>
        <v>378398.87099999993</v>
      </c>
      <c r="H157" s="252"/>
      <c r="I157" s="252"/>
    </row>
    <row r="158" spans="1:11" ht="13.8" thickBot="1" x14ac:dyDescent="0.3">
      <c r="A158" s="228" t="s">
        <v>99</v>
      </c>
      <c r="C158" s="226"/>
      <c r="D158" s="226"/>
      <c r="E158" s="227"/>
      <c r="F158" s="227"/>
      <c r="G158" s="270">
        <f>G133+G157</f>
        <v>469161.42649999994</v>
      </c>
      <c r="H158" s="227"/>
      <c r="I158" s="227"/>
      <c r="J158" s="430"/>
      <c r="K158" s="425"/>
    </row>
    <row r="159" spans="1:11" ht="13.8" thickTop="1" x14ac:dyDescent="0.25"/>
    <row r="161" spans="7:7" x14ac:dyDescent="0.25">
      <c r="G161" s="425"/>
    </row>
  </sheetData>
  <customSheetViews>
    <customSheetView guid="{A8748736-0722-49EB-85B6-C9B52DDCFE0E}" showPageBreaks="1" hiddenRows="1">
      <selection activeCell="G52" sqref="A2:G52"/>
      <rowBreaks count="2" manualBreakCount="2">
        <brk id="63" max="16383" man="1"/>
        <brk id="109" max="16383" man="1"/>
      </rowBreaks>
      <pageMargins left="0.75" right="0.75" top="1" bottom="1" header="0.5" footer="0.5"/>
      <printOptions horizontalCentered="1"/>
      <pageSetup scale="77" firstPageNumber="128" fitToHeight="0" orientation="portrait" useFirstPageNumber="1" r:id="rId1"/>
      <headerFooter alignWithMargins="0"/>
    </customSheetView>
    <customSheetView guid="{E0C60316-4586-4AAF-92CB-FA82BB1EB755}">
      <rowBreaks count="2" manualBreakCount="2">
        <brk id="63" max="16383" man="1"/>
        <brk id="109" max="16383" man="1"/>
      </rowBreaks>
      <pageMargins left="0" right="0" top="0" bottom="0" header="0" footer="0"/>
      <printOptions horizontalCentered="1"/>
      <pageSetup scale="77" firstPageNumber="128" fitToHeight="0" orientation="portrait" useFirstPageNumber="1" r:id="rId2"/>
      <headerFooter alignWithMargins="0"/>
    </customSheetView>
  </customSheetViews>
  <phoneticPr fontId="0" type="noConversion"/>
  <printOptions horizontalCentered="1"/>
  <pageMargins left="0.75" right="0.75" top="1" bottom="1" header="0.5" footer="0.5"/>
  <pageSetup scale="77" firstPageNumber="128" fitToHeight="0" orientation="portrait" useFirstPageNumber="1" r:id="rId3"/>
  <headerFooter alignWithMargins="0"/>
  <rowBreaks count="2" manualBreakCount="2">
    <brk id="63" max="16383" man="1"/>
    <brk id="109"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O45"/>
  <sheetViews>
    <sheetView workbookViewId="0"/>
  </sheetViews>
  <sheetFormatPr defaultColWidth="9.109375" defaultRowHeight="13.2" x14ac:dyDescent="0.25"/>
  <cols>
    <col min="1" max="3" width="2.44140625" style="35" customWidth="1"/>
    <col min="4" max="4" width="22.88671875" style="35" customWidth="1"/>
    <col min="5" max="5" width="10.6640625" style="35" customWidth="1"/>
    <col min="6" max="6" width="0.5546875" style="35" customWidth="1"/>
    <col min="7" max="7" width="11" style="35" customWidth="1"/>
    <col min="8" max="8" width="0.6640625" style="35" customWidth="1"/>
    <col min="9" max="9" width="11.5546875" style="35" bestFit="1" customWidth="1"/>
    <col min="10" max="10" width="0.6640625" style="35" customWidth="1"/>
    <col min="11" max="11" width="11.5546875" style="35" bestFit="1" customWidth="1"/>
    <col min="12" max="12" width="0.6640625" style="35" customWidth="1"/>
    <col min="13" max="13" width="11.5546875" style="35" bestFit="1" customWidth="1"/>
    <col min="14" max="14" width="10.44140625" style="35" bestFit="1" customWidth="1"/>
    <col min="15" max="16384" width="9.109375" style="35"/>
  </cols>
  <sheetData>
    <row r="1" spans="1:13" x14ac:dyDescent="0.25">
      <c r="A1" s="271" t="s">
        <v>1</v>
      </c>
      <c r="B1" s="272"/>
      <c r="C1" s="272"/>
      <c r="D1" s="272"/>
      <c r="E1" s="272"/>
      <c r="F1" s="272"/>
      <c r="G1" s="272"/>
      <c r="H1" s="272"/>
      <c r="I1" s="272"/>
      <c r="J1" s="272"/>
      <c r="K1" s="272"/>
      <c r="L1" s="272"/>
      <c r="M1" s="272"/>
    </row>
    <row r="2" spans="1:13" x14ac:dyDescent="0.25">
      <c r="A2" s="271" t="s">
        <v>869</v>
      </c>
      <c r="B2" s="272"/>
      <c r="C2" s="272"/>
      <c r="D2" s="272"/>
      <c r="E2" s="272"/>
      <c r="F2" s="272"/>
      <c r="G2" s="272"/>
      <c r="H2" s="272"/>
      <c r="I2" s="272"/>
      <c r="J2" s="272"/>
      <c r="K2" s="272"/>
      <c r="L2" s="272"/>
      <c r="M2" s="272"/>
    </row>
    <row r="3" spans="1:13" x14ac:dyDescent="0.25">
      <c r="A3" s="271" t="s">
        <v>870</v>
      </c>
      <c r="B3" s="272"/>
      <c r="C3" s="272"/>
      <c r="D3" s="272"/>
      <c r="E3" s="272"/>
      <c r="F3" s="272"/>
      <c r="G3" s="272"/>
      <c r="H3" s="272"/>
      <c r="I3" s="272"/>
      <c r="J3" s="272"/>
      <c r="K3" s="272"/>
      <c r="L3" s="272"/>
      <c r="M3" s="272"/>
    </row>
    <row r="4" spans="1:13" x14ac:dyDescent="0.25">
      <c r="A4" s="271" t="str">
        <f>'CPBA-1'!A5</f>
        <v>From Inception and for the Fiscal Year Ended June 30, 2022</v>
      </c>
      <c r="B4" s="272"/>
      <c r="C4" s="272"/>
      <c r="D4" s="272"/>
      <c r="E4" s="272"/>
      <c r="F4" s="272"/>
      <c r="G4" s="272"/>
      <c r="H4" s="272"/>
      <c r="I4" s="272"/>
      <c r="J4" s="272"/>
      <c r="K4" s="272"/>
      <c r="L4" s="272"/>
      <c r="M4" s="272"/>
    </row>
    <row r="5" spans="1:13" ht="13.8" thickBot="1" x14ac:dyDescent="0.3">
      <c r="A5" s="273"/>
      <c r="B5" s="273"/>
      <c r="C5" s="273"/>
      <c r="D5" s="273"/>
      <c r="E5" s="273"/>
      <c r="F5" s="273"/>
      <c r="G5" s="273"/>
      <c r="H5" s="273"/>
      <c r="I5" s="273"/>
      <c r="J5" s="273"/>
      <c r="K5" s="273"/>
      <c r="L5" s="273"/>
      <c r="M5" s="273"/>
    </row>
    <row r="6" spans="1:13" x14ac:dyDescent="0.25">
      <c r="A6" s="274"/>
      <c r="B6" s="274"/>
      <c r="C6" s="274"/>
      <c r="D6" s="274"/>
      <c r="E6" s="274"/>
      <c r="F6" s="274"/>
      <c r="G6" s="274"/>
      <c r="H6" s="274"/>
      <c r="I6" s="274"/>
      <c r="J6" s="274"/>
      <c r="K6" s="274"/>
      <c r="L6" s="274"/>
      <c r="M6" s="274"/>
    </row>
    <row r="7" spans="1:13" x14ac:dyDescent="0.25">
      <c r="A7" s="274"/>
      <c r="B7" s="274"/>
      <c r="C7" s="274"/>
      <c r="D7" s="274"/>
      <c r="E7" s="275" t="s">
        <v>754</v>
      </c>
      <c r="F7" s="274"/>
      <c r="G7" s="276" t="s">
        <v>221</v>
      </c>
      <c r="H7" s="276"/>
      <c r="I7" s="276"/>
      <c r="J7" s="276"/>
      <c r="K7" s="276"/>
      <c r="L7" s="274"/>
      <c r="M7" s="131" t="s">
        <v>215</v>
      </c>
    </row>
    <row r="8" spans="1:13" x14ac:dyDescent="0.25">
      <c r="A8" s="274"/>
      <c r="B8" s="274"/>
      <c r="C8" s="274"/>
      <c r="D8" s="274"/>
      <c r="E8" s="275" t="s">
        <v>821</v>
      </c>
      <c r="F8" s="274"/>
      <c r="G8" s="275" t="s">
        <v>730</v>
      </c>
      <c r="H8" s="274"/>
      <c r="I8" s="275" t="s">
        <v>822</v>
      </c>
      <c r="J8" s="274"/>
      <c r="K8" s="275" t="s">
        <v>732</v>
      </c>
      <c r="L8" s="274"/>
      <c r="M8" s="131" t="s">
        <v>219</v>
      </c>
    </row>
    <row r="9" spans="1:13" x14ac:dyDescent="0.25">
      <c r="A9" s="274"/>
      <c r="B9" s="277" t="s">
        <v>122</v>
      </c>
      <c r="C9" s="274"/>
      <c r="D9" s="274"/>
      <c r="E9" s="278" t="s">
        <v>756</v>
      </c>
      <c r="F9" s="274"/>
      <c r="G9" s="278" t="s">
        <v>734</v>
      </c>
      <c r="H9" s="274"/>
      <c r="I9" s="278" t="s">
        <v>734</v>
      </c>
      <c r="J9" s="274"/>
      <c r="K9" s="278" t="s">
        <v>735</v>
      </c>
      <c r="L9" s="274"/>
      <c r="M9" s="136" t="s">
        <v>222</v>
      </c>
    </row>
    <row r="10" spans="1:13" x14ac:dyDescent="0.25">
      <c r="A10" s="274"/>
      <c r="B10" s="274"/>
      <c r="C10" s="274"/>
      <c r="D10" s="274"/>
      <c r="E10" s="274"/>
      <c r="F10" s="274"/>
      <c r="G10" s="274"/>
      <c r="H10" s="274"/>
      <c r="I10" s="274"/>
      <c r="J10" s="274"/>
      <c r="K10" s="274"/>
      <c r="L10" s="274"/>
      <c r="M10" s="274"/>
    </row>
    <row r="11" spans="1:13" x14ac:dyDescent="0.25">
      <c r="A11" s="277" t="s">
        <v>871</v>
      </c>
      <c r="B11" s="274"/>
      <c r="C11" s="274"/>
      <c r="D11" s="274"/>
      <c r="E11" s="274"/>
      <c r="F11" s="274"/>
      <c r="G11" s="274"/>
      <c r="H11" s="274"/>
      <c r="I11" s="274"/>
      <c r="J11" s="274"/>
      <c r="K11" s="274"/>
      <c r="L11" s="274"/>
      <c r="M11" s="274"/>
    </row>
    <row r="12" spans="1:13" x14ac:dyDescent="0.25">
      <c r="A12" s="274"/>
      <c r="B12" s="277" t="s">
        <v>508</v>
      </c>
      <c r="C12" s="274"/>
      <c r="D12" s="274"/>
      <c r="E12" s="274"/>
      <c r="F12" s="274"/>
      <c r="G12" s="274"/>
      <c r="H12" s="274"/>
      <c r="I12" s="274"/>
      <c r="J12" s="274"/>
      <c r="K12" s="274"/>
      <c r="L12" s="274"/>
      <c r="M12" s="279"/>
    </row>
    <row r="13" spans="1:13" x14ac:dyDescent="0.25">
      <c r="A13" s="274"/>
      <c r="B13" s="274"/>
      <c r="C13" s="277" t="s">
        <v>872</v>
      </c>
      <c r="D13" s="274"/>
      <c r="E13" s="250">
        <v>700000</v>
      </c>
      <c r="F13" s="280"/>
      <c r="G13" s="250">
        <v>631100</v>
      </c>
      <c r="H13" s="280"/>
      <c r="I13" s="250">
        <v>68900</v>
      </c>
      <c r="J13" s="280"/>
      <c r="K13" s="250">
        <f>SUM(G13:I13)</f>
        <v>700000</v>
      </c>
      <c r="L13" s="280"/>
      <c r="M13" s="249">
        <f>K13-E13</f>
        <v>0</v>
      </c>
    </row>
    <row r="14" spans="1:13" x14ac:dyDescent="0.25">
      <c r="A14" s="274"/>
      <c r="B14" s="277" t="s">
        <v>169</v>
      </c>
      <c r="C14" s="274"/>
      <c r="D14" s="274"/>
      <c r="E14" s="281">
        <v>40000</v>
      </c>
      <c r="F14" s="282"/>
      <c r="G14" s="281">
        <v>28014</v>
      </c>
      <c r="H14" s="282"/>
      <c r="I14" s="281">
        <v>12016</v>
      </c>
      <c r="J14" s="282"/>
      <c r="K14" s="281">
        <f>SUM(G14:I14)</f>
        <v>40030</v>
      </c>
      <c r="L14" s="282"/>
      <c r="M14" s="281">
        <f>K14-E14</f>
        <v>30</v>
      </c>
    </row>
    <row r="15" spans="1:13" x14ac:dyDescent="0.25">
      <c r="A15" s="274"/>
      <c r="B15" s="274"/>
      <c r="C15" s="274"/>
      <c r="D15" s="277" t="s">
        <v>8</v>
      </c>
      <c r="E15" s="281">
        <f>SUM(E13:E14)</f>
        <v>740000</v>
      </c>
      <c r="F15" s="282"/>
      <c r="G15" s="281">
        <f>SUM(G13:G14)</f>
        <v>659114</v>
      </c>
      <c r="H15" s="282"/>
      <c r="I15" s="281">
        <f>SUM(I13:I14)</f>
        <v>80916</v>
      </c>
      <c r="J15" s="282"/>
      <c r="K15" s="281">
        <f>SUM(K13:K14)</f>
        <v>740030</v>
      </c>
      <c r="L15" s="282"/>
      <c r="M15" s="281">
        <f>K15-E15</f>
        <v>30</v>
      </c>
    </row>
    <row r="16" spans="1:13" x14ac:dyDescent="0.25">
      <c r="A16" s="274"/>
      <c r="B16" s="274"/>
      <c r="C16" s="274"/>
      <c r="D16" s="274"/>
      <c r="E16" s="282"/>
      <c r="F16" s="282"/>
      <c r="G16" s="282"/>
      <c r="H16" s="282"/>
      <c r="I16" s="282"/>
      <c r="J16" s="282"/>
      <c r="K16" s="282"/>
      <c r="L16" s="282"/>
      <c r="M16" s="282"/>
    </row>
    <row r="17" spans="1:15" x14ac:dyDescent="0.25">
      <c r="A17" s="277" t="s">
        <v>873</v>
      </c>
      <c r="B17" s="274"/>
      <c r="C17" s="274"/>
      <c r="D17" s="274"/>
      <c r="E17" s="282"/>
      <c r="F17" s="282"/>
      <c r="G17" s="282"/>
      <c r="H17" s="282"/>
      <c r="I17" s="282"/>
      <c r="J17" s="282"/>
      <c r="K17" s="282"/>
      <c r="L17" s="282"/>
      <c r="M17" s="282"/>
      <c r="N17" s="404"/>
      <c r="O17" s="404"/>
    </row>
    <row r="18" spans="1:15" x14ac:dyDescent="0.25">
      <c r="A18" s="274"/>
      <c r="B18" s="277" t="s">
        <v>508</v>
      </c>
      <c r="C18" s="274"/>
      <c r="D18" s="274"/>
      <c r="E18" s="283"/>
      <c r="F18" s="283"/>
      <c r="G18" s="283"/>
      <c r="H18" s="283"/>
      <c r="I18" s="283"/>
      <c r="J18" s="283"/>
      <c r="K18" s="283"/>
      <c r="L18" s="283"/>
      <c r="M18" s="282"/>
      <c r="N18" s="404"/>
      <c r="O18" s="404"/>
    </row>
    <row r="19" spans="1:15" x14ac:dyDescent="0.25">
      <c r="A19" s="274"/>
      <c r="B19" s="274"/>
      <c r="C19" s="277" t="s">
        <v>872</v>
      </c>
      <c r="D19" s="274"/>
      <c r="E19" s="282">
        <v>500000</v>
      </c>
      <c r="F19" s="282"/>
      <c r="G19" s="284">
        <v>0</v>
      </c>
      <c r="H19" s="282"/>
      <c r="I19" s="282">
        <f>56448-4000</f>
        <v>52448</v>
      </c>
      <c r="J19" s="283"/>
      <c r="K19" s="282">
        <f>SUM(G19:I19)</f>
        <v>52448</v>
      </c>
      <c r="L19" s="283"/>
      <c r="M19" s="282">
        <f>K19-E19</f>
        <v>-447552</v>
      </c>
      <c r="N19" s="404"/>
      <c r="O19" s="404"/>
    </row>
    <row r="20" spans="1:15" x14ac:dyDescent="0.25">
      <c r="A20" s="274"/>
      <c r="B20" s="277" t="s">
        <v>169</v>
      </c>
      <c r="C20" s="274"/>
      <c r="D20" s="274"/>
      <c r="E20" s="281">
        <v>50000</v>
      </c>
      <c r="F20" s="282"/>
      <c r="G20" s="251">
        <v>0</v>
      </c>
      <c r="H20" s="282"/>
      <c r="I20" s="281">
        <v>20146</v>
      </c>
      <c r="J20" s="282"/>
      <c r="K20" s="281">
        <f>SUM(G20:J20)</f>
        <v>20146</v>
      </c>
      <c r="L20" s="282"/>
      <c r="M20" s="281">
        <f>K20-E20</f>
        <v>-29854</v>
      </c>
      <c r="N20" s="404"/>
      <c r="O20" s="404"/>
    </row>
    <row r="21" spans="1:15" x14ac:dyDescent="0.25">
      <c r="A21" s="274"/>
      <c r="B21" s="274"/>
      <c r="C21" s="274"/>
      <c r="D21" s="277" t="s">
        <v>495</v>
      </c>
      <c r="E21" s="281">
        <f>SUM(E19:E20)</f>
        <v>550000</v>
      </c>
      <c r="F21" s="282"/>
      <c r="G21" s="281">
        <f>SUM(G19:G20)</f>
        <v>0</v>
      </c>
      <c r="H21" s="282"/>
      <c r="I21" s="281">
        <f>SUM(I19:I20)</f>
        <v>72594</v>
      </c>
      <c r="J21" s="282"/>
      <c r="K21" s="281">
        <f>SUM(K19:K20)</f>
        <v>72594</v>
      </c>
      <c r="L21" s="282"/>
      <c r="M21" s="281">
        <f>K21-E21</f>
        <v>-477406</v>
      </c>
      <c r="N21" s="404"/>
      <c r="O21" s="404"/>
    </row>
    <row r="22" spans="1:15" x14ac:dyDescent="0.25">
      <c r="A22" s="274"/>
      <c r="B22" s="274"/>
      <c r="C22" s="274"/>
      <c r="D22" s="277" t="s">
        <v>171</v>
      </c>
      <c r="E22" s="281">
        <f>E15+E21</f>
        <v>1290000</v>
      </c>
      <c r="F22" s="282"/>
      <c r="G22" s="281">
        <f>G15+G21</f>
        <v>659114</v>
      </c>
      <c r="H22" s="282"/>
      <c r="I22" s="281">
        <f>I15+I21</f>
        <v>153510</v>
      </c>
      <c r="J22" s="282"/>
      <c r="K22" s="281">
        <f>K15+K21</f>
        <v>812624</v>
      </c>
      <c r="L22" s="282"/>
      <c r="M22" s="281">
        <f>K22-E22</f>
        <v>-477376</v>
      </c>
      <c r="N22" s="404"/>
      <c r="O22" s="404"/>
    </row>
    <row r="23" spans="1:15" x14ac:dyDescent="0.25">
      <c r="A23" s="274"/>
      <c r="B23" s="274"/>
      <c r="C23" s="274"/>
      <c r="D23" s="274"/>
      <c r="E23" s="282"/>
      <c r="F23" s="282"/>
      <c r="G23" s="282"/>
      <c r="H23" s="282"/>
      <c r="I23" s="282"/>
      <c r="J23" s="282"/>
      <c r="K23" s="282"/>
      <c r="L23" s="282"/>
      <c r="M23" s="282"/>
      <c r="N23" s="404"/>
      <c r="O23" s="404"/>
    </row>
    <row r="24" spans="1:15" x14ac:dyDescent="0.25">
      <c r="A24" s="277" t="s">
        <v>874</v>
      </c>
      <c r="B24" s="274"/>
      <c r="C24" s="274"/>
      <c r="D24" s="274"/>
      <c r="E24" s="282"/>
      <c r="F24" s="282"/>
      <c r="G24" s="282"/>
      <c r="H24" s="282"/>
      <c r="I24" s="282"/>
      <c r="J24" s="282"/>
      <c r="K24" s="282"/>
      <c r="L24" s="282"/>
      <c r="M24" s="282"/>
      <c r="N24" s="404"/>
      <c r="O24" s="404"/>
    </row>
    <row r="25" spans="1:15" x14ac:dyDescent="0.25">
      <c r="A25" s="274"/>
      <c r="B25" s="277" t="s">
        <v>875</v>
      </c>
      <c r="C25" s="274"/>
      <c r="D25" s="274"/>
      <c r="E25" s="282">
        <v>135500</v>
      </c>
      <c r="F25" s="282"/>
      <c r="G25" s="282">
        <v>127500</v>
      </c>
      <c r="H25" s="282"/>
      <c r="I25" s="282">
        <v>8000</v>
      </c>
      <c r="J25" s="282"/>
      <c r="K25" s="282">
        <f>SUM(G25:I25)</f>
        <v>135500</v>
      </c>
      <c r="L25" s="282"/>
      <c r="M25" s="284">
        <f>E25-K25</f>
        <v>0</v>
      </c>
      <c r="N25" s="404"/>
      <c r="O25" s="404"/>
    </row>
    <row r="26" spans="1:15" x14ac:dyDescent="0.25">
      <c r="A26" s="274"/>
      <c r="B26" s="277" t="s">
        <v>876</v>
      </c>
      <c r="C26" s="274"/>
      <c r="D26" s="274"/>
      <c r="E26" s="281">
        <v>1604500</v>
      </c>
      <c r="F26" s="282"/>
      <c r="G26" s="281">
        <v>1176936</v>
      </c>
      <c r="H26" s="282"/>
      <c r="I26" s="281">
        <v>424064</v>
      </c>
      <c r="J26" s="282"/>
      <c r="K26" s="281">
        <f>SUM(G26:J26)</f>
        <v>1601000</v>
      </c>
      <c r="L26" s="282"/>
      <c r="M26" s="281">
        <f>E26-K26</f>
        <v>3500</v>
      </c>
      <c r="N26" s="404"/>
      <c r="O26" s="404"/>
    </row>
    <row r="27" spans="1:15" x14ac:dyDescent="0.25">
      <c r="A27" s="274"/>
      <c r="B27" s="274"/>
      <c r="C27" s="274"/>
      <c r="D27" s="277" t="s">
        <v>495</v>
      </c>
      <c r="E27" s="281">
        <f>SUM(E25:E26)</f>
        <v>1740000</v>
      </c>
      <c r="F27" s="282"/>
      <c r="G27" s="281">
        <f>SUM(G25:G26)</f>
        <v>1304436</v>
      </c>
      <c r="H27" s="282"/>
      <c r="I27" s="281">
        <f>SUM(I25:I26)</f>
        <v>432064</v>
      </c>
      <c r="J27" s="282"/>
      <c r="K27" s="281">
        <f>SUM(K25:K26)</f>
        <v>1736500</v>
      </c>
      <c r="L27" s="282"/>
      <c r="M27" s="281">
        <f>E27-K27</f>
        <v>3500</v>
      </c>
      <c r="N27" s="404"/>
      <c r="O27" s="404"/>
    </row>
    <row r="28" spans="1:15" x14ac:dyDescent="0.25">
      <c r="A28" s="274"/>
      <c r="B28" s="274"/>
      <c r="C28" s="274"/>
      <c r="D28" s="274"/>
      <c r="E28" s="282"/>
      <c r="F28" s="282"/>
      <c r="G28" s="282"/>
      <c r="H28" s="282"/>
      <c r="I28" s="282"/>
      <c r="J28" s="282"/>
      <c r="K28" s="282"/>
      <c r="L28" s="282"/>
      <c r="M28" s="282"/>
      <c r="N28" s="404"/>
      <c r="O28" s="404"/>
    </row>
    <row r="29" spans="1:15" x14ac:dyDescent="0.25">
      <c r="A29" s="277" t="s">
        <v>877</v>
      </c>
      <c r="B29" s="274"/>
      <c r="C29" s="274"/>
      <c r="D29" s="274"/>
      <c r="E29" s="282"/>
      <c r="F29" s="282"/>
      <c r="G29" s="282"/>
      <c r="H29" s="282"/>
      <c r="I29" s="282"/>
      <c r="J29" s="282"/>
      <c r="K29" s="282"/>
      <c r="L29" s="282"/>
      <c r="M29" s="282"/>
      <c r="N29" s="404"/>
      <c r="O29" s="404"/>
    </row>
    <row r="30" spans="1:15" x14ac:dyDescent="0.25">
      <c r="A30" s="274"/>
      <c r="B30" s="277" t="s">
        <v>875</v>
      </c>
      <c r="C30" s="274"/>
      <c r="D30" s="274"/>
      <c r="E30" s="282">
        <v>195000</v>
      </c>
      <c r="F30" s="282"/>
      <c r="G30" s="284">
        <v>0</v>
      </c>
      <c r="H30" s="282"/>
      <c r="I30" s="282">
        <v>87814</v>
      </c>
      <c r="J30" s="282"/>
      <c r="K30" s="282">
        <f>SUM(G30:I30)</f>
        <v>87814</v>
      </c>
      <c r="L30" s="282"/>
      <c r="M30" s="282">
        <f>E30-K30</f>
        <v>107186</v>
      </c>
      <c r="N30" s="404"/>
      <c r="O30" s="404"/>
    </row>
    <row r="31" spans="1:15" x14ac:dyDescent="0.25">
      <c r="A31" s="274"/>
      <c r="B31" s="277" t="s">
        <v>878</v>
      </c>
      <c r="C31" s="274"/>
      <c r="D31" s="274"/>
      <c r="E31" s="282">
        <v>90000</v>
      </c>
      <c r="F31" s="282"/>
      <c r="G31" s="284">
        <v>0</v>
      </c>
      <c r="H31" s="282"/>
      <c r="I31" s="282">
        <v>90000</v>
      </c>
      <c r="J31" s="282"/>
      <c r="K31" s="282">
        <f>SUM(G31:J31)</f>
        <v>90000</v>
      </c>
      <c r="L31" s="282"/>
      <c r="M31" s="284">
        <f>E31-K31</f>
        <v>0</v>
      </c>
      <c r="N31" s="404"/>
      <c r="O31" s="404"/>
    </row>
    <row r="32" spans="1:15" x14ac:dyDescent="0.25">
      <c r="A32" s="274"/>
      <c r="B32" s="277" t="s">
        <v>876</v>
      </c>
      <c r="C32" s="274"/>
      <c r="D32" s="274"/>
      <c r="E32" s="281">
        <v>2365000</v>
      </c>
      <c r="F32" s="282"/>
      <c r="G32" s="251">
        <v>224649</v>
      </c>
      <c r="H32" s="282"/>
      <c r="I32" s="281">
        <f>537735-224649</f>
        <v>313086</v>
      </c>
      <c r="J32" s="282"/>
      <c r="K32" s="285">
        <f>SUM(G32:J32)</f>
        <v>537735</v>
      </c>
      <c r="L32" s="282"/>
      <c r="M32" s="281">
        <f>E32-K32</f>
        <v>1827265</v>
      </c>
      <c r="N32" s="404"/>
      <c r="O32" s="404"/>
    </row>
    <row r="33" spans="1:15" x14ac:dyDescent="0.25">
      <c r="A33" s="274"/>
      <c r="B33" s="274"/>
      <c r="C33" s="274"/>
      <c r="D33" s="277" t="s">
        <v>495</v>
      </c>
      <c r="E33" s="281">
        <f>SUM(E30:E32)</f>
        <v>2650000</v>
      </c>
      <c r="F33" s="282"/>
      <c r="G33" s="281">
        <f>SUM(G30:G32)</f>
        <v>224649</v>
      </c>
      <c r="H33" s="282"/>
      <c r="I33" s="281">
        <f>SUM(I30:I32)</f>
        <v>490900</v>
      </c>
      <c r="J33" s="282"/>
      <c r="K33" s="281">
        <f>SUM(K30:K32)</f>
        <v>715549</v>
      </c>
      <c r="L33" s="282"/>
      <c r="M33" s="281">
        <f>E33-K33</f>
        <v>1934451</v>
      </c>
      <c r="N33" s="404"/>
      <c r="O33" s="404"/>
    </row>
    <row r="34" spans="1:15" x14ac:dyDescent="0.25">
      <c r="A34" s="274"/>
      <c r="B34" s="274"/>
      <c r="C34" s="274"/>
      <c r="D34" s="277" t="s">
        <v>183</v>
      </c>
      <c r="E34" s="281">
        <f>E27+E33</f>
        <v>4390000</v>
      </c>
      <c r="F34" s="282"/>
      <c r="G34" s="281">
        <f>G27+G33</f>
        <v>1529085</v>
      </c>
      <c r="H34" s="282"/>
      <c r="I34" s="281">
        <f>I27+I33</f>
        <v>922964</v>
      </c>
      <c r="J34" s="282"/>
      <c r="K34" s="281">
        <f>K27+K33</f>
        <v>2452049</v>
      </c>
      <c r="L34" s="282"/>
      <c r="M34" s="281">
        <f>E34-K34</f>
        <v>1937951</v>
      </c>
      <c r="N34" s="404"/>
      <c r="O34" s="404"/>
    </row>
    <row r="35" spans="1:15" x14ac:dyDescent="0.25">
      <c r="A35" s="274"/>
      <c r="B35" s="274"/>
      <c r="C35" s="274"/>
      <c r="D35" s="274"/>
      <c r="E35" s="282"/>
      <c r="F35" s="282"/>
      <c r="G35" s="282"/>
      <c r="H35" s="282"/>
      <c r="I35" s="282"/>
      <c r="J35" s="282"/>
      <c r="K35" s="282"/>
      <c r="L35" s="282"/>
      <c r="M35" s="282"/>
      <c r="N35" s="404"/>
      <c r="O35" s="404"/>
    </row>
    <row r="36" spans="1:15" x14ac:dyDescent="0.25">
      <c r="A36" s="277" t="s">
        <v>747</v>
      </c>
      <c r="B36" s="274"/>
      <c r="C36" s="274"/>
      <c r="D36" s="274"/>
      <c r="E36" s="281">
        <f>E22-E34</f>
        <v>-3100000</v>
      </c>
      <c r="F36" s="283"/>
      <c r="G36" s="281">
        <f>G22-G34</f>
        <v>-869971</v>
      </c>
      <c r="H36" s="283"/>
      <c r="I36" s="281">
        <f>I22-I34</f>
        <v>-769454</v>
      </c>
      <c r="J36" s="283"/>
      <c r="K36" s="281">
        <f>K22-K34</f>
        <v>-1639425</v>
      </c>
      <c r="L36" s="283"/>
      <c r="M36" s="281">
        <f>M22+M34</f>
        <v>1460575</v>
      </c>
      <c r="N36" s="419"/>
      <c r="O36" s="404"/>
    </row>
    <row r="37" spans="1:15" x14ac:dyDescent="0.25">
      <c r="A37" s="274"/>
      <c r="B37" s="274"/>
      <c r="C37" s="274"/>
      <c r="D37" s="274"/>
      <c r="E37" s="283"/>
      <c r="F37" s="283"/>
      <c r="G37" s="282"/>
      <c r="H37" s="282"/>
      <c r="I37" s="282"/>
      <c r="J37" s="282"/>
      <c r="K37" s="282"/>
      <c r="L37" s="282"/>
      <c r="M37" s="282"/>
      <c r="N37" s="404"/>
      <c r="O37" s="404"/>
    </row>
    <row r="38" spans="1:15" x14ac:dyDescent="0.25">
      <c r="A38" s="277" t="s">
        <v>879</v>
      </c>
      <c r="B38" s="274"/>
      <c r="C38" s="274"/>
      <c r="D38" s="274"/>
      <c r="E38" s="282"/>
      <c r="F38" s="282"/>
      <c r="G38" s="282"/>
      <c r="H38" s="282"/>
      <c r="I38" s="282"/>
      <c r="J38" s="282"/>
      <c r="K38" s="282"/>
      <c r="L38" s="282"/>
      <c r="M38" s="282"/>
      <c r="N38" s="404"/>
      <c r="O38" s="404"/>
    </row>
    <row r="39" spans="1:15" x14ac:dyDescent="0.25">
      <c r="A39" s="277"/>
      <c r="B39" s="277" t="s">
        <v>880</v>
      </c>
      <c r="C39" s="274"/>
      <c r="D39" s="274"/>
      <c r="E39" s="282">
        <f>3100000-375000</f>
        <v>2725000</v>
      </c>
      <c r="F39" s="282"/>
      <c r="G39" s="282">
        <v>1915000</v>
      </c>
      <c r="H39" s="282"/>
      <c r="I39" s="282">
        <v>0</v>
      </c>
      <c r="J39" s="282"/>
      <c r="K39" s="286">
        <f>SUM(G39:J39)</f>
        <v>1915000</v>
      </c>
      <c r="L39" s="286"/>
      <c r="M39" s="286">
        <f>K39-E39</f>
        <v>-810000</v>
      </c>
      <c r="N39" s="404"/>
      <c r="O39" s="404"/>
    </row>
    <row r="40" spans="1:15" x14ac:dyDescent="0.25">
      <c r="A40" s="274"/>
      <c r="B40" s="277" t="s">
        <v>881</v>
      </c>
      <c r="C40" s="274"/>
      <c r="D40" s="274"/>
      <c r="E40" s="281">
        <v>375000</v>
      </c>
      <c r="F40" s="282"/>
      <c r="G40" s="281">
        <v>0</v>
      </c>
      <c r="H40" s="282"/>
      <c r="I40" s="251">
        <v>375000</v>
      </c>
      <c r="J40" s="282"/>
      <c r="K40" s="281">
        <f>SUM(G40:J40)</f>
        <v>375000</v>
      </c>
      <c r="L40" s="282"/>
      <c r="M40" s="281">
        <f>K40-E40</f>
        <v>0</v>
      </c>
      <c r="N40" s="404"/>
      <c r="O40" s="404"/>
    </row>
    <row r="41" spans="1:15" x14ac:dyDescent="0.25">
      <c r="A41" s="274"/>
      <c r="B41" s="274"/>
      <c r="C41" s="274"/>
      <c r="D41" s="277" t="s">
        <v>632</v>
      </c>
      <c r="E41" s="283"/>
      <c r="F41" s="283"/>
      <c r="G41" s="283"/>
      <c r="H41" s="283"/>
      <c r="I41" s="283"/>
      <c r="J41" s="283"/>
      <c r="K41" s="283"/>
      <c r="L41" s="283"/>
      <c r="M41" s="283"/>
      <c r="N41" s="404"/>
      <c r="O41" s="404"/>
    </row>
    <row r="42" spans="1:15" x14ac:dyDescent="0.25">
      <c r="A42" s="274"/>
      <c r="B42" s="274"/>
      <c r="C42" s="274"/>
      <c r="D42" s="274" t="s">
        <v>882</v>
      </c>
      <c r="E42" s="287">
        <f>SUM(E39:E40)</f>
        <v>3100000</v>
      </c>
      <c r="F42" s="283"/>
      <c r="G42" s="287">
        <f>SUM(G39:G40)</f>
        <v>1915000</v>
      </c>
      <c r="H42" s="283"/>
      <c r="I42" s="287">
        <f>SUM(I39:I40)</f>
        <v>375000</v>
      </c>
      <c r="J42" s="283"/>
      <c r="K42" s="287">
        <f>SUM(K39:K40)</f>
        <v>2290000</v>
      </c>
      <c r="L42" s="283"/>
      <c r="M42" s="287">
        <f>SUM(M39:M40)</f>
        <v>-810000</v>
      </c>
      <c r="N42" s="404"/>
      <c r="O42" s="404"/>
    </row>
    <row r="43" spans="1:15" x14ac:dyDescent="0.25">
      <c r="A43" s="277" t="s">
        <v>824</v>
      </c>
      <c r="B43" s="274"/>
      <c r="C43" s="274"/>
      <c r="D43" s="274"/>
      <c r="E43" s="404"/>
      <c r="F43" s="404"/>
      <c r="G43" s="404"/>
      <c r="H43" s="404"/>
      <c r="I43" s="404"/>
      <c r="J43" s="404"/>
      <c r="K43" s="404"/>
      <c r="L43" s="404"/>
      <c r="M43" s="404"/>
      <c r="N43" s="404"/>
      <c r="O43" s="404"/>
    </row>
    <row r="44" spans="1:15" ht="13.8" thickBot="1" x14ac:dyDescent="0.3">
      <c r="A44" s="277" t="s">
        <v>883</v>
      </c>
      <c r="B44" s="274"/>
      <c r="C44" s="274"/>
      <c r="D44" s="274"/>
      <c r="E44" s="288">
        <f>E36+E42</f>
        <v>0</v>
      </c>
      <c r="F44" s="280" t="s">
        <v>884</v>
      </c>
      <c r="G44" s="288">
        <f>G36+G42</f>
        <v>1045029</v>
      </c>
      <c r="H44" s="280"/>
      <c r="I44" s="288">
        <f>I36+I42</f>
        <v>-394454</v>
      </c>
      <c r="J44" s="280"/>
      <c r="K44" s="288">
        <f>K36+K42</f>
        <v>650575</v>
      </c>
      <c r="L44" s="280"/>
      <c r="M44" s="288">
        <f>M36+M42</f>
        <v>650575</v>
      </c>
      <c r="N44" s="404"/>
      <c r="O44" s="404"/>
    </row>
    <row r="45" spans="1:15" ht="13.8" thickTop="1" x14ac:dyDescent="0.25">
      <c r="A45" s="404"/>
      <c r="B45" s="404"/>
      <c r="C45" s="404"/>
      <c r="D45" s="404"/>
      <c r="E45" s="404"/>
      <c r="F45" s="404"/>
      <c r="G45" s="404"/>
      <c r="H45" s="404"/>
      <c r="I45" s="404"/>
      <c r="J45" s="404"/>
      <c r="K45" s="404"/>
      <c r="L45" s="404"/>
      <c r="M45" s="404"/>
      <c r="N45" s="404"/>
      <c r="O45" s="404"/>
    </row>
  </sheetData>
  <customSheetViews>
    <customSheetView guid="{A8748736-0722-49EB-85B6-C9B52DDCFE0E}">
      <selection activeCell="M45" sqref="M45"/>
      <pageMargins left="0.75" right="0.75" top="1" bottom="1" header="0.5" footer="0.5"/>
      <printOptions horizontalCentered="1"/>
      <pageSetup scale="86" firstPageNumber="127" fitToHeight="0" orientation="portrait" useFirstPageNumber="1" r:id="rId1"/>
      <headerFooter alignWithMargins="0"/>
    </customSheetView>
    <customSheetView guid="{E0C60316-4586-4AAF-92CB-FA82BB1EB755}" topLeftCell="A4">
      <selection activeCell="B41" sqref="B41"/>
      <pageMargins left="0" right="0" top="0" bottom="0" header="0" footer="0"/>
      <printOptions horizontalCentered="1"/>
      <pageSetup scale="86" firstPageNumber="127" fitToHeight="0" orientation="portrait" useFirstPageNumber="1" r:id="rId2"/>
      <headerFooter alignWithMargins="0"/>
    </customSheetView>
  </customSheetViews>
  <phoneticPr fontId="0" type="noConversion"/>
  <printOptions horizontalCentered="1"/>
  <pageMargins left="0.75" right="0.75" top="1" bottom="1" header="0.5" footer="0.5"/>
  <pageSetup scale="86" firstPageNumber="127" fitToHeight="0" orientation="portrait" useFirstPageNumber="1" r:id="rId3"/>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K71"/>
  <sheetViews>
    <sheetView workbookViewId="0"/>
  </sheetViews>
  <sheetFormatPr defaultColWidth="9.109375" defaultRowHeight="13.2" x14ac:dyDescent="0.25"/>
  <cols>
    <col min="1" max="3" width="2.44140625" style="404" customWidth="1"/>
    <col min="4" max="4" width="30.6640625" style="404" customWidth="1"/>
    <col min="5" max="5" width="9.33203125" style="404" customWidth="1"/>
    <col min="6" max="6" width="1.5546875" style="404" customWidth="1"/>
    <col min="7" max="7" width="9.6640625" style="404" customWidth="1"/>
    <col min="8" max="8" width="1.5546875" style="404" customWidth="1"/>
    <col min="9" max="9" width="10.109375" style="404" customWidth="1"/>
    <col min="10" max="10" width="10.33203125" style="404" bestFit="1" customWidth="1"/>
    <col min="11" max="16384" width="9.109375" style="404"/>
  </cols>
  <sheetData>
    <row r="1" spans="1:9" x14ac:dyDescent="0.25">
      <c r="A1" s="244" t="s">
        <v>1</v>
      </c>
      <c r="B1" s="245"/>
      <c r="C1" s="245"/>
      <c r="D1" s="245"/>
      <c r="E1" s="245"/>
      <c r="F1" s="245"/>
      <c r="G1" s="245"/>
      <c r="H1" s="245"/>
      <c r="I1" s="245"/>
    </row>
    <row r="2" spans="1:9" x14ac:dyDescent="0.25">
      <c r="A2" s="244" t="s">
        <v>885</v>
      </c>
      <c r="B2" s="245"/>
      <c r="C2" s="245"/>
      <c r="D2" s="245"/>
      <c r="E2" s="245"/>
      <c r="F2" s="245"/>
      <c r="G2" s="245"/>
      <c r="H2" s="245"/>
      <c r="I2" s="245"/>
    </row>
    <row r="3" spans="1:9" x14ac:dyDescent="0.25">
      <c r="A3" s="244" t="s">
        <v>786</v>
      </c>
      <c r="B3" s="245"/>
      <c r="C3" s="245"/>
      <c r="D3" s="245"/>
      <c r="E3" s="245"/>
      <c r="F3" s="245"/>
      <c r="G3" s="245"/>
      <c r="H3" s="245"/>
      <c r="I3" s="245"/>
    </row>
    <row r="4" spans="1:9" x14ac:dyDescent="0.25">
      <c r="A4" s="244" t="s">
        <v>826</v>
      </c>
      <c r="B4" s="245"/>
      <c r="C4" s="245"/>
      <c r="D4" s="245"/>
      <c r="E4" s="245"/>
      <c r="F4" s="245"/>
      <c r="G4" s="245"/>
      <c r="H4" s="245"/>
      <c r="I4" s="245"/>
    </row>
    <row r="5" spans="1:9" x14ac:dyDescent="0.25">
      <c r="A5" s="244" t="str">
        <f>GFIS_BA!A5</f>
        <v>For the Year Ended June 30, 2022</v>
      </c>
      <c r="B5" s="245"/>
      <c r="C5" s="245"/>
      <c r="D5" s="245"/>
      <c r="E5" s="245"/>
      <c r="F5" s="245"/>
      <c r="G5" s="245"/>
      <c r="H5" s="245"/>
      <c r="I5" s="245"/>
    </row>
    <row r="6" spans="1:9" ht="13.8" thickBot="1" x14ac:dyDescent="0.3">
      <c r="A6" s="246"/>
      <c r="B6" s="246"/>
      <c r="C6" s="246"/>
      <c r="D6" s="246"/>
      <c r="E6" s="246"/>
      <c r="F6" s="246"/>
      <c r="G6" s="246"/>
      <c r="H6" s="246"/>
      <c r="I6" s="246"/>
    </row>
    <row r="7" spans="1:9" x14ac:dyDescent="0.25">
      <c r="A7" s="226"/>
      <c r="B7" s="226"/>
      <c r="C7" s="226"/>
      <c r="D7" s="226"/>
      <c r="E7" s="226"/>
      <c r="F7" s="226"/>
      <c r="G7" s="226"/>
      <c r="H7" s="226"/>
      <c r="I7" s="131" t="s">
        <v>215</v>
      </c>
    </row>
    <row r="8" spans="1:9" x14ac:dyDescent="0.25">
      <c r="A8" s="226"/>
      <c r="B8" s="226"/>
      <c r="C8" s="226"/>
      <c r="D8" s="226"/>
      <c r="E8" s="247" t="s">
        <v>218</v>
      </c>
      <c r="F8" s="226"/>
      <c r="G8" s="226"/>
      <c r="H8" s="226"/>
      <c r="I8" s="131" t="s">
        <v>219</v>
      </c>
    </row>
    <row r="9" spans="1:9" x14ac:dyDescent="0.25">
      <c r="A9" s="226"/>
      <c r="B9" s="247" t="s">
        <v>122</v>
      </c>
      <c r="C9" s="226"/>
      <c r="D9" s="226"/>
      <c r="E9" s="248" t="s">
        <v>220</v>
      </c>
      <c r="F9" s="226"/>
      <c r="G9" s="248" t="s">
        <v>221</v>
      </c>
      <c r="H9" s="226"/>
      <c r="I9" s="136" t="s">
        <v>222</v>
      </c>
    </row>
    <row r="10" spans="1:9" x14ac:dyDescent="0.25">
      <c r="A10" s="228" t="s">
        <v>223</v>
      </c>
      <c r="B10" s="226"/>
      <c r="C10" s="226"/>
      <c r="D10" s="226"/>
      <c r="E10" s="226"/>
      <c r="F10" s="226"/>
      <c r="G10" s="226"/>
      <c r="H10" s="226"/>
      <c r="I10" s="226"/>
    </row>
    <row r="11" spans="1:9" x14ac:dyDescent="0.25">
      <c r="A11" s="226"/>
      <c r="B11" s="228" t="s">
        <v>789</v>
      </c>
      <c r="C11" s="226"/>
      <c r="D11" s="226"/>
      <c r="E11" s="226"/>
      <c r="F11" s="226"/>
      <c r="G11" s="226"/>
      <c r="H11" s="226"/>
      <c r="I11" s="226"/>
    </row>
    <row r="12" spans="1:9" x14ac:dyDescent="0.25">
      <c r="A12" s="226"/>
      <c r="B12" s="228" t="s">
        <v>827</v>
      </c>
      <c r="C12" s="226"/>
      <c r="D12" s="226"/>
      <c r="E12" s="226"/>
      <c r="F12" s="226"/>
      <c r="G12" s="226"/>
      <c r="H12" s="226"/>
      <c r="I12" s="226"/>
    </row>
    <row r="13" spans="1:9" x14ac:dyDescent="0.25">
      <c r="A13" s="226"/>
      <c r="B13" s="226"/>
      <c r="C13" s="228" t="s">
        <v>828</v>
      </c>
      <c r="D13" s="226"/>
      <c r="E13" s="249"/>
      <c r="F13" s="250"/>
      <c r="G13" s="250">
        <v>1000</v>
      </c>
      <c r="H13" s="250"/>
      <c r="I13" s="249"/>
    </row>
    <row r="14" spans="1:9" x14ac:dyDescent="0.25">
      <c r="A14" s="226"/>
      <c r="B14" s="226"/>
      <c r="C14" s="228" t="s">
        <v>829</v>
      </c>
      <c r="D14" s="226"/>
      <c r="E14" s="251"/>
      <c r="F14" s="252"/>
      <c r="G14" s="253">
        <v>0</v>
      </c>
      <c r="H14" s="252"/>
      <c r="I14" s="251"/>
    </row>
    <row r="15" spans="1:9" x14ac:dyDescent="0.25">
      <c r="A15" s="226"/>
      <c r="B15" s="226"/>
      <c r="C15" s="226"/>
      <c r="D15" s="228" t="s">
        <v>8</v>
      </c>
      <c r="E15" s="254">
        <v>900</v>
      </c>
      <c r="F15" s="252"/>
      <c r="G15" s="253">
        <f>SUM(G13:G14)</f>
        <v>1000</v>
      </c>
      <c r="H15" s="252"/>
      <c r="I15" s="254">
        <f>G15-E15</f>
        <v>100</v>
      </c>
    </row>
    <row r="16" spans="1:9" x14ac:dyDescent="0.25">
      <c r="A16" s="226"/>
      <c r="B16" s="226"/>
      <c r="C16" s="226"/>
      <c r="D16" s="226"/>
      <c r="E16" s="252"/>
      <c r="F16" s="252"/>
      <c r="G16" s="252"/>
      <c r="H16" s="252"/>
      <c r="I16" s="252"/>
    </row>
    <row r="17" spans="1:9" x14ac:dyDescent="0.25">
      <c r="A17" s="226"/>
      <c r="B17" s="228" t="s">
        <v>830</v>
      </c>
      <c r="C17" s="226"/>
      <c r="D17" s="226"/>
      <c r="E17" s="255"/>
      <c r="F17" s="255"/>
      <c r="G17" s="252"/>
      <c r="H17" s="255"/>
      <c r="I17" s="255"/>
    </row>
    <row r="18" spans="1:9" x14ac:dyDescent="0.25">
      <c r="A18" s="226"/>
      <c r="B18" s="226"/>
      <c r="C18" s="228" t="s">
        <v>828</v>
      </c>
      <c r="D18" s="226"/>
      <c r="E18" s="256"/>
      <c r="F18" s="252"/>
      <c r="G18" s="252">
        <v>0</v>
      </c>
      <c r="H18" s="252"/>
      <c r="I18" s="256"/>
    </row>
    <row r="19" spans="1:9" x14ac:dyDescent="0.25">
      <c r="A19" s="226"/>
      <c r="B19" s="226"/>
      <c r="C19" s="228" t="s">
        <v>829</v>
      </c>
      <c r="D19" s="226"/>
      <c r="E19" s="257"/>
      <c r="F19" s="252"/>
      <c r="G19" s="253">
        <v>0</v>
      </c>
      <c r="H19" s="252"/>
      <c r="I19" s="257"/>
    </row>
    <row r="20" spans="1:9" x14ac:dyDescent="0.25">
      <c r="A20" s="226"/>
      <c r="B20" s="226"/>
      <c r="C20" s="226"/>
      <c r="D20" s="228" t="s">
        <v>8</v>
      </c>
      <c r="E20" s="253">
        <v>0</v>
      </c>
      <c r="F20" s="252"/>
      <c r="G20" s="253">
        <f>SUM(G18:G19)</f>
        <v>0</v>
      </c>
      <c r="H20" s="252"/>
      <c r="I20" s="253">
        <f>G20-E20</f>
        <v>0</v>
      </c>
    </row>
    <row r="21" spans="1:9" x14ac:dyDescent="0.25">
      <c r="A21" s="226"/>
      <c r="B21" s="226"/>
      <c r="C21" s="226"/>
      <c r="D21" s="226"/>
      <c r="E21" s="252"/>
      <c r="F21" s="252"/>
      <c r="G21" s="252"/>
      <c r="H21" s="252"/>
      <c r="I21" s="252"/>
    </row>
    <row r="22" spans="1:9" x14ac:dyDescent="0.25">
      <c r="A22" s="226"/>
      <c r="B22" s="228" t="s">
        <v>831</v>
      </c>
      <c r="C22" s="226"/>
      <c r="D22" s="226"/>
      <c r="E22" s="253">
        <v>5000</v>
      </c>
      <c r="F22" s="252"/>
      <c r="G22" s="253">
        <v>5000</v>
      </c>
      <c r="H22" s="252"/>
      <c r="I22" s="253">
        <f>G22-E22</f>
        <v>0</v>
      </c>
    </row>
    <row r="23" spans="1:9" x14ac:dyDescent="0.25">
      <c r="A23" s="226"/>
      <c r="B23" s="226"/>
      <c r="C23" s="226"/>
      <c r="D23" s="226"/>
      <c r="E23" s="255"/>
      <c r="F23" s="255"/>
      <c r="G23" s="252"/>
      <c r="H23" s="255"/>
      <c r="I23" s="255"/>
    </row>
    <row r="24" spans="1:9" x14ac:dyDescent="0.25">
      <c r="A24" s="226"/>
      <c r="B24" s="228" t="s">
        <v>832</v>
      </c>
      <c r="C24" s="226"/>
      <c r="D24" s="226"/>
      <c r="E24" s="253">
        <v>0</v>
      </c>
      <c r="F24" s="252"/>
      <c r="G24" s="253">
        <v>100</v>
      </c>
      <c r="H24" s="252"/>
      <c r="I24" s="253">
        <f>G24-E24</f>
        <v>100</v>
      </c>
    </row>
    <row r="25" spans="1:9" x14ac:dyDescent="0.25">
      <c r="A25" s="226"/>
      <c r="B25" s="226"/>
      <c r="C25" s="226"/>
      <c r="D25" s="228" t="s">
        <v>268</v>
      </c>
      <c r="E25" s="253">
        <f>E15+E20+E22+E24</f>
        <v>5900</v>
      </c>
      <c r="F25" s="252"/>
      <c r="G25" s="253">
        <f>G15+G20+G22+G24</f>
        <v>6100</v>
      </c>
      <c r="H25" s="252"/>
      <c r="I25" s="253">
        <f>G25-E25</f>
        <v>200</v>
      </c>
    </row>
    <row r="26" spans="1:9" x14ac:dyDescent="0.25">
      <c r="A26" s="226"/>
      <c r="B26" s="226"/>
      <c r="C26" s="226"/>
      <c r="D26" s="226"/>
      <c r="E26" s="252"/>
      <c r="F26" s="252"/>
      <c r="G26" s="252"/>
      <c r="H26" s="252"/>
      <c r="I26" s="252"/>
    </row>
    <row r="27" spans="1:9" x14ac:dyDescent="0.25">
      <c r="A27" s="226"/>
      <c r="B27" s="228" t="s">
        <v>794</v>
      </c>
      <c r="C27" s="226"/>
      <c r="D27" s="226"/>
      <c r="E27" s="252"/>
      <c r="F27" s="255"/>
      <c r="G27" s="252"/>
      <c r="H27" s="255"/>
      <c r="I27" s="252"/>
    </row>
    <row r="28" spans="1:9" x14ac:dyDescent="0.25">
      <c r="A28" s="226"/>
      <c r="B28" s="226"/>
      <c r="C28" s="228" t="s">
        <v>833</v>
      </c>
      <c r="D28" s="226"/>
      <c r="E28" s="257">
        <v>0</v>
      </c>
      <c r="F28" s="252"/>
      <c r="G28" s="253">
        <v>10</v>
      </c>
      <c r="H28" s="252"/>
      <c r="I28" s="253">
        <f>G28-E28</f>
        <v>10</v>
      </c>
    </row>
    <row r="29" spans="1:9" x14ac:dyDescent="0.25">
      <c r="A29" s="226"/>
      <c r="B29" s="226"/>
      <c r="C29" s="226"/>
      <c r="D29" s="228" t="s">
        <v>171</v>
      </c>
      <c r="E29" s="253">
        <f>E25+E28</f>
        <v>5900</v>
      </c>
      <c r="F29" s="252"/>
      <c r="G29" s="253">
        <f>G25+G28</f>
        <v>6110</v>
      </c>
      <c r="H29" s="252"/>
      <c r="I29" s="253">
        <f>G29-E29</f>
        <v>210</v>
      </c>
    </row>
    <row r="30" spans="1:9" x14ac:dyDescent="0.25">
      <c r="A30" s="226"/>
      <c r="B30" s="226"/>
      <c r="C30" s="226"/>
      <c r="D30" s="226"/>
      <c r="E30" s="255"/>
      <c r="F30" s="255"/>
      <c r="G30" s="252"/>
      <c r="H30" s="255"/>
      <c r="I30" s="255"/>
    </row>
    <row r="31" spans="1:9" x14ac:dyDescent="0.25">
      <c r="A31" s="228" t="s">
        <v>637</v>
      </c>
      <c r="B31" s="226"/>
      <c r="C31" s="226"/>
      <c r="D31" s="226"/>
      <c r="E31" s="255"/>
      <c r="F31" s="255"/>
      <c r="G31" s="252"/>
      <c r="H31" s="255"/>
      <c r="I31" s="255"/>
    </row>
    <row r="32" spans="1:9" x14ac:dyDescent="0.25">
      <c r="A32" s="226"/>
      <c r="B32" s="228" t="s">
        <v>625</v>
      </c>
      <c r="C32" s="228"/>
      <c r="D32" s="226"/>
      <c r="E32" s="253">
        <v>0</v>
      </c>
      <c r="F32" s="252"/>
      <c r="G32" s="253">
        <v>0</v>
      </c>
      <c r="H32" s="252"/>
      <c r="I32" s="257">
        <f>G32-E32</f>
        <v>0</v>
      </c>
    </row>
    <row r="33" spans="1:10" x14ac:dyDescent="0.25">
      <c r="A33" s="226"/>
      <c r="B33" s="226"/>
      <c r="C33" s="226"/>
      <c r="D33" s="228" t="s">
        <v>834</v>
      </c>
      <c r="E33" s="252"/>
      <c r="F33" s="252"/>
      <c r="G33" s="252"/>
      <c r="H33" s="252"/>
      <c r="I33" s="252"/>
    </row>
    <row r="34" spans="1:10" x14ac:dyDescent="0.25">
      <c r="A34" s="226"/>
      <c r="B34" s="226"/>
      <c r="C34" s="226"/>
      <c r="D34" s="228" t="s">
        <v>835</v>
      </c>
      <c r="E34" s="253">
        <f>E29+E32</f>
        <v>5900</v>
      </c>
      <c r="F34" s="252"/>
      <c r="G34" s="253">
        <f>G29+G32</f>
        <v>6110</v>
      </c>
      <c r="H34" s="252"/>
      <c r="I34" s="253">
        <f>G34-E34</f>
        <v>210</v>
      </c>
    </row>
    <row r="35" spans="1:10" x14ac:dyDescent="0.25">
      <c r="A35" s="226"/>
      <c r="B35" s="226"/>
      <c r="C35" s="226"/>
      <c r="D35" s="226"/>
      <c r="E35" s="252"/>
      <c r="F35" s="252"/>
      <c r="G35" s="252"/>
      <c r="H35" s="252"/>
      <c r="I35" s="252"/>
    </row>
    <row r="36" spans="1:10" x14ac:dyDescent="0.25">
      <c r="A36" s="228" t="s">
        <v>532</v>
      </c>
      <c r="B36" s="226"/>
      <c r="C36" s="226"/>
      <c r="D36" s="226"/>
      <c r="E36" s="252"/>
      <c r="F36" s="252"/>
      <c r="G36" s="252"/>
      <c r="H36" s="252"/>
      <c r="I36" s="252"/>
    </row>
    <row r="37" spans="1:10" x14ac:dyDescent="0.25">
      <c r="A37" s="226"/>
      <c r="B37" s="228" t="s">
        <v>538</v>
      </c>
      <c r="C37" s="226"/>
      <c r="D37" s="226"/>
      <c r="E37" s="252"/>
      <c r="F37" s="252"/>
      <c r="G37" s="252"/>
      <c r="H37" s="252"/>
      <c r="I37" s="252"/>
    </row>
    <row r="38" spans="1:10" x14ac:dyDescent="0.25">
      <c r="A38" s="226"/>
      <c r="B38" s="226"/>
      <c r="C38" s="228" t="s">
        <v>535</v>
      </c>
      <c r="D38" s="226"/>
      <c r="E38" s="256"/>
      <c r="F38" s="252"/>
      <c r="G38" s="252">
        <f>2110+1001000*0.05*0.01+(0.05*0.01*(64267))</f>
        <v>2642.6334999999999</v>
      </c>
      <c r="H38" s="252"/>
      <c r="I38" s="256"/>
    </row>
    <row r="39" spans="1:10" x14ac:dyDescent="0.25">
      <c r="A39" s="226"/>
      <c r="B39" s="226"/>
      <c r="C39" s="226"/>
      <c r="D39" s="228" t="s">
        <v>8</v>
      </c>
      <c r="E39" s="261">
        <v>4200</v>
      </c>
      <c r="F39" s="252"/>
      <c r="G39" s="261">
        <f>SUM(G38:G38)</f>
        <v>2642.6334999999999</v>
      </c>
      <c r="H39" s="252"/>
      <c r="I39" s="261">
        <f>E39-G39</f>
        <v>1557.3665000000001</v>
      </c>
    </row>
    <row r="40" spans="1:10" x14ac:dyDescent="0.25">
      <c r="A40" s="226"/>
      <c r="B40" s="226"/>
      <c r="C40" s="226"/>
      <c r="D40" s="226"/>
      <c r="E40" s="252"/>
      <c r="F40" s="252"/>
      <c r="G40" s="252"/>
      <c r="H40" s="252"/>
      <c r="I40" s="461"/>
    </row>
    <row r="41" spans="1:10" x14ac:dyDescent="0.25">
      <c r="A41" s="226"/>
      <c r="B41" s="228" t="s">
        <v>540</v>
      </c>
      <c r="C41" s="226"/>
      <c r="D41" s="226"/>
      <c r="E41" s="252"/>
      <c r="F41" s="252"/>
      <c r="G41" s="252"/>
      <c r="H41" s="252"/>
      <c r="I41" s="252"/>
    </row>
    <row r="42" spans="1:10" x14ac:dyDescent="0.25">
      <c r="A42" s="226"/>
      <c r="B42" s="226"/>
      <c r="C42" s="228" t="s">
        <v>535</v>
      </c>
      <c r="D42" s="226"/>
      <c r="E42" s="256"/>
      <c r="F42" s="259"/>
      <c r="G42" s="252">
        <f>500+112</f>
        <v>612</v>
      </c>
      <c r="H42" s="259"/>
      <c r="I42" s="256"/>
    </row>
    <row r="43" spans="1:10" x14ac:dyDescent="0.25">
      <c r="A43" s="226"/>
      <c r="B43" s="226"/>
      <c r="C43" s="226"/>
      <c r="D43" s="228" t="s">
        <v>8</v>
      </c>
      <c r="E43" s="261">
        <v>1700</v>
      </c>
      <c r="F43" s="259"/>
      <c r="G43" s="261">
        <f>SUM(G42:G42)</f>
        <v>612</v>
      </c>
      <c r="H43" s="259"/>
      <c r="I43" s="261">
        <f>E43-G43</f>
        <v>1088</v>
      </c>
    </row>
    <row r="44" spans="1:10" x14ac:dyDescent="0.25">
      <c r="A44" s="226"/>
      <c r="B44" s="226"/>
      <c r="C44" s="226"/>
      <c r="D44" s="226"/>
      <c r="E44" s="255"/>
      <c r="F44" s="255"/>
      <c r="G44" s="255"/>
      <c r="H44" s="268"/>
      <c r="I44" s="255"/>
    </row>
    <row r="45" spans="1:10" x14ac:dyDescent="0.25">
      <c r="A45" s="226"/>
      <c r="B45" s="226"/>
      <c r="C45" s="226"/>
      <c r="D45" s="228" t="s">
        <v>183</v>
      </c>
      <c r="E45" s="253">
        <f>E43+E39</f>
        <v>5900</v>
      </c>
      <c r="F45" s="252"/>
      <c r="G45" s="253">
        <f>G43+G39</f>
        <v>3254.6334999999999</v>
      </c>
      <c r="H45" s="252"/>
      <c r="I45" s="253">
        <f>E45-G45</f>
        <v>2645.3665000000001</v>
      </c>
    </row>
    <row r="46" spans="1:10" x14ac:dyDescent="0.25">
      <c r="A46" s="226"/>
      <c r="B46" s="226"/>
      <c r="C46" s="226"/>
      <c r="D46" s="226"/>
      <c r="E46" s="255"/>
      <c r="F46" s="255"/>
      <c r="G46" s="255"/>
      <c r="H46" s="255"/>
      <c r="I46" s="255"/>
    </row>
    <row r="47" spans="1:10" x14ac:dyDescent="0.25">
      <c r="A47" s="228" t="s">
        <v>824</v>
      </c>
      <c r="B47" s="226"/>
      <c r="C47" s="226"/>
      <c r="D47" s="226"/>
      <c r="E47" s="255"/>
      <c r="F47" s="252"/>
      <c r="G47" s="255"/>
      <c r="H47" s="252"/>
      <c r="I47" s="252"/>
    </row>
    <row r="48" spans="1:10" ht="13.8" thickBot="1" x14ac:dyDescent="0.3">
      <c r="A48" s="228" t="s">
        <v>856</v>
      </c>
      <c r="B48" s="226"/>
      <c r="C48" s="226"/>
      <c r="D48" s="226"/>
      <c r="E48" s="265">
        <f>E34-E45</f>
        <v>0</v>
      </c>
      <c r="F48" s="252"/>
      <c r="G48" s="266">
        <f>G34-G45</f>
        <v>2855.3665000000001</v>
      </c>
      <c r="H48" s="252"/>
      <c r="I48" s="267">
        <f>G48-E48</f>
        <v>2855.3665000000001</v>
      </c>
      <c r="J48" s="419"/>
    </row>
    <row r="49" spans="1:9" ht="13.8" thickTop="1" x14ac:dyDescent="0.25">
      <c r="A49" s="226"/>
      <c r="B49" s="226"/>
      <c r="C49" s="226"/>
      <c r="D49" s="226"/>
      <c r="E49" s="255"/>
      <c r="F49" s="255"/>
      <c r="G49" s="255"/>
      <c r="H49" s="255"/>
      <c r="I49" s="255"/>
    </row>
    <row r="50" spans="1:9" x14ac:dyDescent="0.25">
      <c r="A50" s="226"/>
      <c r="B50" s="226"/>
      <c r="C50" s="226"/>
      <c r="D50" s="226"/>
      <c r="E50" s="252"/>
      <c r="F50" s="252"/>
      <c r="G50" s="252"/>
      <c r="H50" s="252"/>
      <c r="I50" s="461" t="s">
        <v>329</v>
      </c>
    </row>
    <row r="51" spans="1:9" x14ac:dyDescent="0.25">
      <c r="A51" s="226"/>
      <c r="B51" s="226"/>
      <c r="C51" s="226"/>
      <c r="D51" s="226"/>
      <c r="E51" s="252"/>
      <c r="F51" s="252"/>
      <c r="G51" s="252"/>
      <c r="H51" s="252"/>
      <c r="I51" s="461" t="s">
        <v>329</v>
      </c>
    </row>
    <row r="52" spans="1:9" x14ac:dyDescent="0.25">
      <c r="A52" s="226"/>
      <c r="B52" s="226"/>
      <c r="C52" s="226"/>
      <c r="D52" s="226"/>
      <c r="E52" s="252"/>
      <c r="F52" s="252"/>
      <c r="G52" s="252"/>
      <c r="H52" s="252"/>
      <c r="I52" s="461"/>
    </row>
    <row r="53" spans="1:9" ht="13.8" thickBot="1" x14ac:dyDescent="0.3">
      <c r="A53" s="246"/>
      <c r="B53" s="246"/>
      <c r="C53" s="246"/>
      <c r="D53" s="246"/>
      <c r="E53" s="246"/>
      <c r="F53" s="246"/>
      <c r="G53" s="246"/>
      <c r="H53" s="246"/>
      <c r="I53" s="246"/>
    </row>
    <row r="54" spans="1:9" x14ac:dyDescent="0.25">
      <c r="A54" s="226"/>
      <c r="B54" s="226"/>
      <c r="C54" s="226"/>
      <c r="D54" s="226"/>
      <c r="E54" s="226"/>
      <c r="F54" s="226"/>
      <c r="G54" s="226"/>
      <c r="H54" s="226"/>
      <c r="I54" s="131" t="s">
        <v>215</v>
      </c>
    </row>
    <row r="55" spans="1:9" x14ac:dyDescent="0.25">
      <c r="A55" s="226"/>
      <c r="B55" s="226"/>
      <c r="C55" s="226"/>
      <c r="D55" s="226"/>
      <c r="E55" s="247" t="s">
        <v>218</v>
      </c>
      <c r="F55" s="226"/>
      <c r="G55" s="226"/>
      <c r="H55" s="226"/>
      <c r="I55" s="131" t="s">
        <v>219</v>
      </c>
    </row>
    <row r="56" spans="1:9" x14ac:dyDescent="0.25">
      <c r="A56" s="226"/>
      <c r="B56" s="247" t="s">
        <v>122</v>
      </c>
      <c r="C56" s="226"/>
      <c r="D56" s="226"/>
      <c r="E56" s="248" t="s">
        <v>220</v>
      </c>
      <c r="F56" s="226"/>
      <c r="G56" s="248" t="s">
        <v>221</v>
      </c>
      <c r="H56" s="226"/>
      <c r="I56" s="136" t="s">
        <v>222</v>
      </c>
    </row>
    <row r="57" spans="1:9" x14ac:dyDescent="0.25">
      <c r="A57" s="225" t="s">
        <v>806</v>
      </c>
      <c r="B57" s="226"/>
      <c r="C57" s="226"/>
      <c r="D57" s="226"/>
      <c r="E57" s="252"/>
      <c r="F57" s="252"/>
      <c r="G57" s="252"/>
      <c r="H57" s="252"/>
      <c r="I57" s="252"/>
    </row>
    <row r="58" spans="1:9" x14ac:dyDescent="0.25">
      <c r="A58" s="225" t="s">
        <v>807</v>
      </c>
      <c r="B58" s="226"/>
      <c r="C58" s="226"/>
      <c r="D58" s="226"/>
      <c r="E58" s="255"/>
      <c r="F58" s="255"/>
      <c r="G58" s="252"/>
      <c r="H58" s="255"/>
      <c r="I58" s="255"/>
    </row>
    <row r="59" spans="1:9" x14ac:dyDescent="0.25">
      <c r="A59" s="226"/>
      <c r="B59" s="226"/>
      <c r="C59" s="226"/>
      <c r="D59" s="226"/>
      <c r="E59" s="255"/>
      <c r="F59" s="255"/>
      <c r="G59" s="259"/>
      <c r="H59" s="255"/>
      <c r="I59" s="255"/>
    </row>
    <row r="60" spans="1:9" x14ac:dyDescent="0.25">
      <c r="A60" s="226"/>
      <c r="B60" s="228" t="s">
        <v>824</v>
      </c>
      <c r="C60" s="226"/>
      <c r="D60" s="226"/>
      <c r="E60" s="255"/>
      <c r="F60" s="255"/>
      <c r="G60" s="268"/>
      <c r="H60" s="255"/>
      <c r="I60" s="255"/>
    </row>
    <row r="61" spans="1:9" x14ac:dyDescent="0.25">
      <c r="A61" s="226"/>
      <c r="B61" s="228" t="s">
        <v>886</v>
      </c>
      <c r="C61" s="226"/>
      <c r="D61" s="226"/>
      <c r="E61" s="255"/>
      <c r="F61" s="255"/>
      <c r="G61" s="269">
        <f>G48</f>
        <v>2855.3665000000001</v>
      </c>
      <c r="H61" s="255"/>
      <c r="I61" s="255"/>
    </row>
    <row r="62" spans="1:9" x14ac:dyDescent="0.25">
      <c r="A62" s="226"/>
      <c r="B62" s="226"/>
      <c r="C62" s="226"/>
      <c r="D62" s="226"/>
      <c r="E62" s="255"/>
      <c r="F62" s="255"/>
      <c r="G62" s="255"/>
      <c r="H62" s="255"/>
      <c r="I62" s="255"/>
    </row>
    <row r="63" spans="1:9" x14ac:dyDescent="0.25">
      <c r="A63" s="226"/>
      <c r="B63" s="228" t="s">
        <v>887</v>
      </c>
      <c r="C63" s="226"/>
      <c r="D63" s="226"/>
      <c r="E63" s="255"/>
      <c r="F63" s="255"/>
      <c r="G63" s="252"/>
      <c r="H63" s="255"/>
      <c r="I63" s="255"/>
    </row>
    <row r="64" spans="1:9" x14ac:dyDescent="0.25">
      <c r="A64" s="226"/>
      <c r="B64" s="226"/>
      <c r="C64" s="228" t="s">
        <v>888</v>
      </c>
      <c r="D64" s="226"/>
      <c r="E64" s="252"/>
      <c r="F64" s="252"/>
      <c r="G64" s="252">
        <f>-'EFCF Exh 9'!H73</f>
        <v>-1092.5305000000001</v>
      </c>
      <c r="H64" s="252"/>
      <c r="I64" s="252"/>
    </row>
    <row r="65" spans="1:11" x14ac:dyDescent="0.25">
      <c r="A65" s="226"/>
      <c r="B65" s="226"/>
      <c r="C65" s="228" t="s">
        <v>889</v>
      </c>
      <c r="D65" s="226"/>
      <c r="E65" s="252"/>
      <c r="F65" s="252"/>
      <c r="G65" s="252">
        <f>-'EFCF Exh 9'!H71-1</f>
        <v>1945.4014999999999</v>
      </c>
      <c r="H65" s="252"/>
      <c r="I65" s="252"/>
    </row>
    <row r="66" spans="1:11" x14ac:dyDescent="0.25">
      <c r="A66" s="226"/>
      <c r="B66" s="226"/>
      <c r="C66" s="387" t="s">
        <v>890</v>
      </c>
      <c r="D66" s="226"/>
      <c r="E66" s="252"/>
      <c r="F66" s="252"/>
      <c r="G66" s="252">
        <f>-'EFCF Exh 9'!H75</f>
        <v>-342.72199999999998</v>
      </c>
      <c r="H66" s="252"/>
      <c r="I66" s="252"/>
    </row>
    <row r="67" spans="1:11" x14ac:dyDescent="0.25">
      <c r="A67" s="226"/>
      <c r="B67" s="226"/>
      <c r="C67" s="228" t="s">
        <v>891</v>
      </c>
      <c r="D67" s="226"/>
      <c r="E67" s="252"/>
      <c r="F67" s="252"/>
      <c r="G67" s="252"/>
      <c r="H67" s="252"/>
      <c r="I67" s="252"/>
    </row>
    <row r="68" spans="1:11" x14ac:dyDescent="0.25">
      <c r="A68" s="226"/>
      <c r="B68" s="226"/>
      <c r="C68" s="228"/>
      <c r="D68" s="226" t="s">
        <v>892</v>
      </c>
      <c r="E68" s="252"/>
      <c r="F68" s="252"/>
      <c r="G68" s="252">
        <v>4000</v>
      </c>
      <c r="H68" s="252"/>
      <c r="I68" s="252"/>
    </row>
    <row r="69" spans="1:11" x14ac:dyDescent="0.25">
      <c r="A69" s="226"/>
      <c r="B69" s="226"/>
      <c r="C69" s="226"/>
      <c r="D69" s="228" t="s">
        <v>495</v>
      </c>
      <c r="E69" s="252"/>
      <c r="F69" s="252"/>
      <c r="G69" s="261">
        <f>SUM(G63:G68)</f>
        <v>4510.1489999999994</v>
      </c>
      <c r="H69" s="252"/>
      <c r="I69" s="252"/>
    </row>
    <row r="70" spans="1:11" ht="13.8" thickBot="1" x14ac:dyDescent="0.3">
      <c r="A70" s="228" t="s">
        <v>99</v>
      </c>
      <c r="C70" s="226"/>
      <c r="D70" s="226"/>
      <c r="E70" s="227"/>
      <c r="F70" s="227"/>
      <c r="G70" s="270">
        <f>G61+G69</f>
        <v>7365.5154999999995</v>
      </c>
      <c r="H70" s="227"/>
      <c r="I70" s="227"/>
      <c r="J70" s="439"/>
      <c r="K70" s="425"/>
    </row>
    <row r="71" spans="1:11" ht="13.8" thickTop="1" x14ac:dyDescent="0.25"/>
  </sheetData>
  <customSheetViews>
    <customSheetView guid="{A8748736-0722-49EB-85B6-C9B52DDCFE0E}" showPageBreaks="1">
      <selection activeCell="K35" sqref="K35"/>
      <rowBreaks count="1" manualBreakCount="1">
        <brk id="50" max="16383" man="1"/>
      </rowBreaks>
      <pageMargins left="0.75" right="0.75" top="1" bottom="1" header="0.5" footer="0.5"/>
      <printOptions horizontalCentered="1"/>
      <pageSetup scale="86" firstPageNumber="130" fitToHeight="0" orientation="portrait" useFirstPageNumber="1" r:id="rId1"/>
      <headerFooter alignWithMargins="0"/>
    </customSheetView>
    <customSheetView guid="{E0C60316-4586-4AAF-92CB-FA82BB1EB755}">
      <rowBreaks count="1" manualBreakCount="1">
        <brk id="50" max="16383" man="1"/>
      </rowBreaks>
      <pageMargins left="0" right="0" top="0" bottom="0" header="0" footer="0"/>
      <printOptions horizontalCentered="1"/>
      <pageSetup scale="86" firstPageNumber="130" fitToHeight="0" orientation="portrait" useFirstPageNumber="1" r:id="rId2"/>
      <headerFooter alignWithMargins="0"/>
    </customSheetView>
  </customSheetViews>
  <phoneticPr fontId="0" type="noConversion"/>
  <printOptions horizontalCentered="1"/>
  <pageMargins left="0.75" right="0.75" top="1" bottom="1" header="0.5" footer="0.5"/>
  <pageSetup scale="86" firstPageNumber="130" fitToHeight="0" orientation="portrait" useFirstPageNumber="1" r:id="rId3"/>
  <headerFooter alignWithMargins="0"/>
  <rowBreaks count="1" manualBreakCount="1">
    <brk id="50" max="16383" man="1"/>
  </row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P30"/>
  <sheetViews>
    <sheetView workbookViewId="0"/>
  </sheetViews>
  <sheetFormatPr defaultColWidth="9.109375" defaultRowHeight="13.2" x14ac:dyDescent="0.25"/>
  <cols>
    <col min="1" max="3" width="2.44140625" style="35" customWidth="1"/>
    <col min="4" max="4" width="19.5546875" style="35" customWidth="1"/>
    <col min="5" max="5" width="10.6640625" style="35" customWidth="1"/>
    <col min="6" max="6" width="0.5546875" style="35" customWidth="1"/>
    <col min="7" max="7" width="11" style="35" customWidth="1"/>
    <col min="8" max="8" width="0.6640625" style="35" customWidth="1"/>
    <col min="9" max="9" width="10.6640625" style="35" customWidth="1"/>
    <col min="10" max="10" width="0.44140625" style="35" customWidth="1"/>
    <col min="11" max="11" width="10.33203125" style="35" customWidth="1"/>
    <col min="12" max="12" width="0.6640625" style="35" customWidth="1"/>
    <col min="13" max="13" width="11" style="35" customWidth="1"/>
    <col min="14" max="16384" width="9.109375" style="35"/>
  </cols>
  <sheetData>
    <row r="1" spans="1:16" x14ac:dyDescent="0.25">
      <c r="A1" s="271" t="s">
        <v>1</v>
      </c>
      <c r="B1" s="272"/>
      <c r="C1" s="272"/>
      <c r="D1" s="272"/>
      <c r="E1" s="272"/>
      <c r="F1" s="272"/>
      <c r="G1" s="272"/>
      <c r="H1" s="272"/>
      <c r="I1" s="272"/>
      <c r="J1" s="272"/>
      <c r="K1" s="272"/>
      <c r="L1" s="272"/>
      <c r="M1" s="272"/>
      <c r="N1" s="404"/>
      <c r="O1" s="404"/>
      <c r="P1" s="404"/>
    </row>
    <row r="2" spans="1:16" x14ac:dyDescent="0.25">
      <c r="A2" s="271" t="s">
        <v>893</v>
      </c>
      <c r="B2" s="272"/>
      <c r="C2" s="272"/>
      <c r="D2" s="272"/>
      <c r="E2" s="272"/>
      <c r="F2" s="272"/>
      <c r="G2" s="272"/>
      <c r="H2" s="272"/>
      <c r="I2" s="272"/>
      <c r="J2" s="272"/>
      <c r="K2" s="272"/>
      <c r="L2" s="272"/>
      <c r="M2" s="272"/>
      <c r="N2" s="404"/>
      <c r="O2" s="404"/>
      <c r="P2" s="404"/>
    </row>
    <row r="3" spans="1:16" x14ac:dyDescent="0.25">
      <c r="A3" s="271" t="s">
        <v>870</v>
      </c>
      <c r="B3" s="272"/>
      <c r="C3" s="272"/>
      <c r="D3" s="272"/>
      <c r="E3" s="272"/>
      <c r="F3" s="272"/>
      <c r="G3" s="272"/>
      <c r="H3" s="272"/>
      <c r="I3" s="272"/>
      <c r="J3" s="272"/>
      <c r="K3" s="272"/>
      <c r="L3" s="272"/>
      <c r="M3" s="272"/>
      <c r="N3" s="404"/>
      <c r="O3" s="404"/>
      <c r="P3" s="404"/>
    </row>
    <row r="4" spans="1:16" x14ac:dyDescent="0.25">
      <c r="A4" s="271" t="str">
        <f>'CPBA-1'!A5</f>
        <v>From Inception and for the Fiscal Year Ended June 30, 2022</v>
      </c>
      <c r="B4" s="272"/>
      <c r="C4" s="272"/>
      <c r="D4" s="272"/>
      <c r="E4" s="272"/>
      <c r="F4" s="272"/>
      <c r="G4" s="272"/>
      <c r="H4" s="272"/>
      <c r="I4" s="272"/>
      <c r="J4" s="272"/>
      <c r="K4" s="272"/>
      <c r="L4" s="272"/>
      <c r="M4" s="272"/>
      <c r="N4" s="404"/>
      <c r="O4" s="404"/>
      <c r="P4" s="404"/>
    </row>
    <row r="5" spans="1:16" ht="13.8" thickBot="1" x14ac:dyDescent="0.3">
      <c r="A5" s="273"/>
      <c r="B5" s="273"/>
      <c r="C5" s="273"/>
      <c r="D5" s="273"/>
      <c r="E5" s="273"/>
      <c r="F5" s="273"/>
      <c r="G5" s="273"/>
      <c r="H5" s="273"/>
      <c r="I5" s="273"/>
      <c r="J5" s="273"/>
      <c r="K5" s="273"/>
      <c r="L5" s="273"/>
      <c r="M5" s="273"/>
      <c r="N5" s="404"/>
      <c r="O5" s="404"/>
      <c r="P5" s="404"/>
    </row>
    <row r="6" spans="1:16" x14ac:dyDescent="0.25">
      <c r="A6" s="274"/>
      <c r="B6" s="274"/>
      <c r="C6" s="274"/>
      <c r="D6" s="274"/>
      <c r="E6" s="274"/>
      <c r="F6" s="274"/>
      <c r="G6" s="274"/>
      <c r="H6" s="274"/>
      <c r="I6" s="274"/>
      <c r="J6" s="274"/>
      <c r="K6" s="274"/>
      <c r="L6" s="274"/>
      <c r="M6" s="274"/>
      <c r="N6" s="404"/>
      <c r="O6" s="404"/>
      <c r="P6" s="404"/>
    </row>
    <row r="7" spans="1:16" x14ac:dyDescent="0.25">
      <c r="A7" s="274"/>
      <c r="B7" s="274"/>
      <c r="C7" s="274"/>
      <c r="D7" s="274"/>
      <c r="E7" s="275" t="s">
        <v>754</v>
      </c>
      <c r="F7" s="274"/>
      <c r="G7" s="276" t="s">
        <v>221</v>
      </c>
      <c r="H7" s="276"/>
      <c r="I7" s="276"/>
      <c r="J7" s="276"/>
      <c r="K7" s="276"/>
      <c r="L7" s="274"/>
      <c r="M7" s="131" t="s">
        <v>215</v>
      </c>
      <c r="N7" s="404"/>
      <c r="O7" s="404"/>
      <c r="P7" s="404"/>
    </row>
    <row r="8" spans="1:16" x14ac:dyDescent="0.25">
      <c r="A8" s="274"/>
      <c r="B8" s="274"/>
      <c r="C8" s="274"/>
      <c r="D8" s="274"/>
      <c r="E8" s="275" t="s">
        <v>821</v>
      </c>
      <c r="F8" s="274"/>
      <c r="G8" s="275" t="s">
        <v>730</v>
      </c>
      <c r="H8" s="274"/>
      <c r="I8" s="275" t="s">
        <v>822</v>
      </c>
      <c r="J8" s="274"/>
      <c r="K8" s="275" t="s">
        <v>732</v>
      </c>
      <c r="L8" s="274"/>
      <c r="M8" s="131" t="s">
        <v>219</v>
      </c>
      <c r="N8" s="404"/>
      <c r="O8" s="404"/>
      <c r="P8" s="404"/>
    </row>
    <row r="9" spans="1:16" x14ac:dyDescent="0.25">
      <c r="A9" s="274"/>
      <c r="B9" s="277" t="s">
        <v>122</v>
      </c>
      <c r="C9" s="274"/>
      <c r="D9" s="274"/>
      <c r="E9" s="278" t="s">
        <v>756</v>
      </c>
      <c r="F9" s="274"/>
      <c r="G9" s="278" t="s">
        <v>734</v>
      </c>
      <c r="H9" s="274"/>
      <c r="I9" s="278" t="s">
        <v>734</v>
      </c>
      <c r="J9" s="274"/>
      <c r="K9" s="278" t="s">
        <v>735</v>
      </c>
      <c r="L9" s="274"/>
      <c r="M9" s="136" t="s">
        <v>222</v>
      </c>
      <c r="N9" s="404"/>
      <c r="O9" s="404"/>
      <c r="P9" s="404"/>
    </row>
    <row r="10" spans="1:16" x14ac:dyDescent="0.25">
      <c r="A10" s="274"/>
      <c r="B10" s="274"/>
      <c r="C10" s="274"/>
      <c r="D10" s="274"/>
      <c r="E10" s="274"/>
      <c r="F10" s="274"/>
      <c r="G10" s="274"/>
      <c r="H10" s="274"/>
      <c r="I10" s="274"/>
      <c r="J10" s="274"/>
      <c r="K10" s="274"/>
      <c r="L10" s="274"/>
      <c r="M10" s="274"/>
      <c r="N10" s="404"/>
      <c r="O10" s="404"/>
      <c r="P10" s="404"/>
    </row>
    <row r="11" spans="1:16" x14ac:dyDescent="0.25">
      <c r="A11" s="277" t="s">
        <v>874</v>
      </c>
      <c r="B11" s="274"/>
      <c r="C11" s="274"/>
      <c r="D11" s="274"/>
      <c r="E11" s="282"/>
      <c r="F11" s="282"/>
      <c r="G11" s="282"/>
      <c r="H11" s="282"/>
      <c r="I11" s="282"/>
      <c r="J11" s="282"/>
      <c r="K11" s="282"/>
      <c r="L11" s="282"/>
      <c r="M11" s="282"/>
      <c r="N11" s="404"/>
      <c r="O11" s="404"/>
      <c r="P11" s="404"/>
    </row>
    <row r="12" spans="1:16" x14ac:dyDescent="0.25">
      <c r="A12" s="274"/>
      <c r="B12" s="277" t="s">
        <v>875</v>
      </c>
      <c r="C12" s="274"/>
      <c r="D12" s="274"/>
      <c r="E12" s="289">
        <v>300000</v>
      </c>
      <c r="F12" s="289"/>
      <c r="G12" s="289">
        <v>0</v>
      </c>
      <c r="H12" s="289"/>
      <c r="I12" s="289">
        <v>145321</v>
      </c>
      <c r="J12" s="289"/>
      <c r="K12" s="289">
        <f>SUM(G12:I12)</f>
        <v>145321</v>
      </c>
      <c r="L12" s="289"/>
      <c r="M12" s="290">
        <f>E12-K12</f>
        <v>154679</v>
      </c>
      <c r="N12" s="404"/>
      <c r="O12" s="404"/>
      <c r="P12" s="404"/>
    </row>
    <row r="13" spans="1:16" x14ac:dyDescent="0.25">
      <c r="A13" s="274"/>
      <c r="B13" s="277" t="s">
        <v>876</v>
      </c>
      <c r="C13" s="274"/>
      <c r="D13" s="274"/>
      <c r="E13" s="281">
        <v>200000</v>
      </c>
      <c r="F13" s="282"/>
      <c r="G13" s="281">
        <v>0</v>
      </c>
      <c r="H13" s="282"/>
      <c r="I13" s="281">
        <v>78312</v>
      </c>
      <c r="J13" s="282"/>
      <c r="K13" s="281">
        <f>SUM(G13:J13)</f>
        <v>78312</v>
      </c>
      <c r="L13" s="282"/>
      <c r="M13" s="281">
        <f>E13-K13</f>
        <v>121688</v>
      </c>
      <c r="N13" s="404"/>
      <c r="O13" s="404"/>
      <c r="P13" s="404"/>
    </row>
    <row r="14" spans="1:16" x14ac:dyDescent="0.25">
      <c r="A14" s="274"/>
      <c r="B14" s="274"/>
      <c r="C14" s="274"/>
      <c r="D14" s="277" t="s">
        <v>495</v>
      </c>
      <c r="E14" s="281">
        <f>SUM(E12:E13)</f>
        <v>500000</v>
      </c>
      <c r="F14" s="282"/>
      <c r="G14" s="281">
        <f>SUM(G12:G13)</f>
        <v>0</v>
      </c>
      <c r="H14" s="282"/>
      <c r="I14" s="281">
        <f>SUM(I12:I13)</f>
        <v>223633</v>
      </c>
      <c r="J14" s="282"/>
      <c r="K14" s="281">
        <f>SUM(K12:K13)</f>
        <v>223633</v>
      </c>
      <c r="L14" s="282"/>
      <c r="M14" s="281">
        <f>E14-K14</f>
        <v>276367</v>
      </c>
      <c r="N14" s="404"/>
      <c r="O14" s="404"/>
      <c r="P14" s="404"/>
    </row>
    <row r="15" spans="1:16" x14ac:dyDescent="0.25">
      <c r="A15" s="274"/>
      <c r="B15" s="274"/>
      <c r="C15" s="274"/>
      <c r="D15" s="274"/>
      <c r="E15" s="282"/>
      <c r="F15" s="282"/>
      <c r="G15" s="282"/>
      <c r="H15" s="282"/>
      <c r="I15" s="282"/>
      <c r="J15" s="282"/>
      <c r="K15" s="282"/>
      <c r="L15" s="282"/>
      <c r="M15" s="282"/>
      <c r="N15" s="404"/>
      <c r="O15" s="404"/>
      <c r="P15" s="404"/>
    </row>
    <row r="16" spans="1:16" x14ac:dyDescent="0.25">
      <c r="A16" s="277" t="s">
        <v>877</v>
      </c>
      <c r="B16" s="274"/>
      <c r="C16" s="274"/>
      <c r="D16" s="274"/>
      <c r="E16" s="282"/>
      <c r="F16" s="282"/>
      <c r="G16" s="282"/>
      <c r="H16" s="282"/>
      <c r="I16" s="282"/>
      <c r="J16" s="282"/>
      <c r="K16" s="282"/>
      <c r="L16" s="282"/>
      <c r="M16" s="282"/>
      <c r="N16" s="404"/>
      <c r="O16" s="404"/>
      <c r="P16" s="404"/>
    </row>
    <row r="17" spans="1:15" x14ac:dyDescent="0.25">
      <c r="A17" s="274"/>
      <c r="B17" s="277" t="s">
        <v>875</v>
      </c>
      <c r="C17" s="274"/>
      <c r="D17" s="274"/>
      <c r="E17" s="282">
        <v>200000</v>
      </c>
      <c r="F17" s="282"/>
      <c r="G17" s="284">
        <v>0</v>
      </c>
      <c r="H17" s="282"/>
      <c r="I17" s="282">
        <f>-100000+(123633+12545-295896)*-1</f>
        <v>59718</v>
      </c>
      <c r="J17" s="282"/>
      <c r="K17" s="282">
        <f>SUM(G17:I17)</f>
        <v>59718</v>
      </c>
      <c r="L17" s="282"/>
      <c r="M17" s="282">
        <f>E17-K17</f>
        <v>140282</v>
      </c>
      <c r="N17" s="404"/>
      <c r="O17" s="404"/>
    </row>
    <row r="18" spans="1:15" x14ac:dyDescent="0.25">
      <c r="A18" s="274"/>
      <c r="B18" s="277" t="s">
        <v>878</v>
      </c>
      <c r="C18" s="274"/>
      <c r="D18" s="274"/>
      <c r="E18" s="282">
        <v>0</v>
      </c>
      <c r="F18" s="282"/>
      <c r="G18" s="284">
        <v>0</v>
      </c>
      <c r="H18" s="282"/>
      <c r="I18" s="282">
        <v>0</v>
      </c>
      <c r="J18" s="282"/>
      <c r="K18" s="282">
        <f>SUM(G18:J18)</f>
        <v>0</v>
      </c>
      <c r="L18" s="282"/>
      <c r="M18" s="284">
        <f>E18-K18</f>
        <v>0</v>
      </c>
      <c r="N18" s="404"/>
      <c r="O18" s="404"/>
    </row>
    <row r="19" spans="1:15" x14ac:dyDescent="0.25">
      <c r="A19" s="274"/>
      <c r="B19" s="277" t="s">
        <v>876</v>
      </c>
      <c r="C19" s="274"/>
      <c r="D19" s="274"/>
      <c r="E19" s="281">
        <v>200000</v>
      </c>
      <c r="F19" s="282"/>
      <c r="G19" s="251">
        <v>0</v>
      </c>
      <c r="H19" s="282"/>
      <c r="I19" s="281">
        <v>12545</v>
      </c>
      <c r="J19" s="282"/>
      <c r="K19" s="285">
        <f>SUM(G19:J19)</f>
        <v>12545</v>
      </c>
      <c r="L19" s="282"/>
      <c r="M19" s="281">
        <f>E19-K19</f>
        <v>187455</v>
      </c>
      <c r="N19" s="404"/>
      <c r="O19" s="404"/>
    </row>
    <row r="20" spans="1:15" x14ac:dyDescent="0.25">
      <c r="A20" s="274"/>
      <c r="B20" s="274"/>
      <c r="C20" s="274"/>
      <c r="D20" s="277" t="s">
        <v>495</v>
      </c>
      <c r="E20" s="281">
        <f>SUM(E17:E19)</f>
        <v>400000</v>
      </c>
      <c r="F20" s="282"/>
      <c r="G20" s="281">
        <f>SUM(G17:G19)</f>
        <v>0</v>
      </c>
      <c r="H20" s="282"/>
      <c r="I20" s="281">
        <f>SUM(I17:I19)</f>
        <v>72263</v>
      </c>
      <c r="J20" s="282"/>
      <c r="K20" s="281">
        <f>SUM(K17:K19)</f>
        <v>72263</v>
      </c>
      <c r="L20" s="282"/>
      <c r="M20" s="281">
        <f>E20-K20</f>
        <v>327737</v>
      </c>
      <c r="N20" s="404"/>
      <c r="O20" s="404"/>
    </row>
    <row r="21" spans="1:15" x14ac:dyDescent="0.25">
      <c r="A21" s="274"/>
      <c r="B21" s="274"/>
      <c r="C21" s="274"/>
      <c r="D21" s="277" t="s">
        <v>183</v>
      </c>
      <c r="E21" s="281">
        <f>E14+E20</f>
        <v>900000</v>
      </c>
      <c r="F21" s="282"/>
      <c r="G21" s="281">
        <f>G14+G20</f>
        <v>0</v>
      </c>
      <c r="H21" s="282"/>
      <c r="I21" s="281">
        <f>I14+I20</f>
        <v>295896</v>
      </c>
      <c r="J21" s="282"/>
      <c r="K21" s="281">
        <f>K14+K20</f>
        <v>295896</v>
      </c>
      <c r="L21" s="282"/>
      <c r="M21" s="281">
        <f>E21-K21</f>
        <v>604104</v>
      </c>
      <c r="N21" s="404"/>
      <c r="O21" s="404"/>
    </row>
    <row r="22" spans="1:15" x14ac:dyDescent="0.25">
      <c r="A22" s="274"/>
      <c r="B22" s="274"/>
      <c r="C22" s="274"/>
      <c r="D22" s="274"/>
      <c r="E22" s="282"/>
      <c r="F22" s="282"/>
      <c r="G22" s="282"/>
      <c r="H22" s="282"/>
      <c r="I22" s="282"/>
      <c r="J22" s="282"/>
      <c r="K22" s="282"/>
      <c r="L22" s="282"/>
      <c r="M22" s="282"/>
      <c r="N22" s="404"/>
      <c r="O22" s="404"/>
    </row>
    <row r="23" spans="1:15" x14ac:dyDescent="0.25">
      <c r="A23" s="277" t="s">
        <v>879</v>
      </c>
      <c r="B23" s="274"/>
      <c r="C23" s="274"/>
      <c r="D23" s="274"/>
      <c r="E23" s="282"/>
      <c r="F23" s="282"/>
      <c r="G23" s="282"/>
      <c r="H23" s="282"/>
      <c r="I23" s="282"/>
      <c r="J23" s="282"/>
      <c r="K23" s="282"/>
      <c r="L23" s="282"/>
      <c r="M23" s="282"/>
      <c r="N23" s="404"/>
      <c r="O23" s="404"/>
    </row>
    <row r="24" spans="1:15" x14ac:dyDescent="0.25">
      <c r="A24" s="277"/>
      <c r="B24" s="274" t="s">
        <v>894</v>
      </c>
      <c r="C24" s="274"/>
      <c r="D24" s="274"/>
      <c r="E24" s="282">
        <v>0</v>
      </c>
      <c r="F24" s="282"/>
      <c r="G24" s="282">
        <v>0</v>
      </c>
      <c r="H24" s="282"/>
      <c r="I24" s="282">
        <v>4000</v>
      </c>
      <c r="J24" s="282"/>
      <c r="K24" s="282">
        <f>SUM(G24:J24)</f>
        <v>4000</v>
      </c>
      <c r="L24" s="282"/>
      <c r="M24" s="284">
        <f>E24+K24</f>
        <v>4000</v>
      </c>
      <c r="N24" s="404"/>
      <c r="O24" s="404"/>
    </row>
    <row r="25" spans="1:15" x14ac:dyDescent="0.25">
      <c r="A25" s="274"/>
      <c r="B25" s="277" t="s">
        <v>880</v>
      </c>
      <c r="C25" s="274"/>
      <c r="D25" s="274"/>
      <c r="E25" s="281">
        <v>900000</v>
      </c>
      <c r="F25" s="282"/>
      <c r="G25" s="281">
        <v>0</v>
      </c>
      <c r="H25" s="282"/>
      <c r="I25" s="251">
        <v>300000</v>
      </c>
      <c r="J25" s="282"/>
      <c r="K25" s="281">
        <f>SUM(G25:J25)</f>
        <v>300000</v>
      </c>
      <c r="L25" s="282"/>
      <c r="M25" s="281">
        <f>K25-E25</f>
        <v>-600000</v>
      </c>
      <c r="N25" s="404"/>
      <c r="O25" s="404"/>
    </row>
    <row r="26" spans="1:15" x14ac:dyDescent="0.25">
      <c r="A26" s="274"/>
      <c r="B26" s="274"/>
      <c r="C26" s="274"/>
      <c r="D26" s="274" t="s">
        <v>8</v>
      </c>
      <c r="E26" s="283">
        <f>SUM(E24:E25)</f>
        <v>900000</v>
      </c>
      <c r="F26" s="283"/>
      <c r="G26" s="283">
        <f>SUM(G24:G25)</f>
        <v>0</v>
      </c>
      <c r="H26" s="283"/>
      <c r="I26" s="283">
        <f>SUM(I24:I25)</f>
        <v>304000</v>
      </c>
      <c r="J26" s="283"/>
      <c r="K26" s="283">
        <f>SUM(K24:K25)</f>
        <v>304000</v>
      </c>
      <c r="L26" s="283"/>
      <c r="M26" s="283">
        <f>SUM(M24:M25)</f>
        <v>-596000</v>
      </c>
      <c r="N26" s="404"/>
      <c r="O26" s="404"/>
    </row>
    <row r="27" spans="1:15" x14ac:dyDescent="0.25">
      <c r="A27" s="274"/>
      <c r="B27" s="274"/>
      <c r="C27" s="274"/>
      <c r="D27" s="274"/>
      <c r="E27" s="283"/>
      <c r="F27" s="283"/>
      <c r="G27" s="283"/>
      <c r="H27" s="283"/>
      <c r="I27" s="283"/>
      <c r="J27" s="283"/>
      <c r="K27" s="283"/>
      <c r="L27" s="283"/>
      <c r="M27" s="283"/>
      <c r="N27" s="404"/>
      <c r="O27" s="404"/>
    </row>
    <row r="28" spans="1:15" x14ac:dyDescent="0.25">
      <c r="A28" s="277" t="s">
        <v>895</v>
      </c>
      <c r="B28" s="274"/>
      <c r="C28" s="274"/>
      <c r="D28" s="274"/>
      <c r="E28" s="283"/>
      <c r="F28" s="283"/>
      <c r="G28" s="283"/>
      <c r="H28" s="283"/>
      <c r="I28" s="283"/>
      <c r="J28" s="283"/>
      <c r="K28" s="283"/>
      <c r="L28" s="283"/>
      <c r="M28" s="283"/>
      <c r="N28" s="404"/>
      <c r="O28" s="404"/>
    </row>
    <row r="29" spans="1:15" ht="13.8" thickBot="1" x14ac:dyDescent="0.3">
      <c r="A29" s="277" t="s">
        <v>896</v>
      </c>
      <c r="B29" s="274"/>
      <c r="C29" s="274"/>
      <c r="D29" s="274"/>
      <c r="E29" s="288">
        <f>E26-E21</f>
        <v>0</v>
      </c>
      <c r="F29" s="280" t="s">
        <v>884</v>
      </c>
      <c r="G29" s="288">
        <f>G26-G21</f>
        <v>0</v>
      </c>
      <c r="H29" s="280"/>
      <c r="I29" s="288">
        <f>I26-I21</f>
        <v>8104</v>
      </c>
      <c r="J29" s="280"/>
      <c r="K29" s="288">
        <f>K26-K21</f>
        <v>8104</v>
      </c>
      <c r="L29" s="280"/>
      <c r="M29" s="288">
        <f>M26+M21</f>
        <v>8104</v>
      </c>
      <c r="N29" s="404"/>
      <c r="O29" s="404"/>
    </row>
    <row r="30" spans="1:15" ht="13.8" thickTop="1" x14ac:dyDescent="0.25">
      <c r="A30" s="404"/>
      <c r="B30" s="404"/>
      <c r="C30" s="404"/>
      <c r="D30" s="404"/>
      <c r="E30" s="404"/>
      <c r="F30" s="404"/>
      <c r="G30" s="404"/>
      <c r="H30" s="404"/>
      <c r="I30" s="404"/>
      <c r="J30" s="404"/>
      <c r="K30" s="404"/>
      <c r="L30" s="404"/>
      <c r="M30" s="404"/>
      <c r="N30" s="404"/>
      <c r="O30" s="404"/>
    </row>
  </sheetData>
  <customSheetViews>
    <customSheetView guid="{A8748736-0722-49EB-85B6-C9B52DDCFE0E}">
      <selection activeCell="G13" sqref="G13"/>
      <pageMargins left="0.75" right="0.75" top="1" bottom="1" header="0.5" footer="0.5"/>
      <printOptions horizontalCentered="1"/>
      <pageSetup scale="86" firstPageNumber="130" fitToHeight="0" orientation="portrait" useFirstPageNumber="1" r:id="rId1"/>
      <headerFooter alignWithMargins="0"/>
    </customSheetView>
    <customSheetView guid="{E0C60316-4586-4AAF-92CB-FA82BB1EB755}">
      <pageMargins left="0" right="0" top="0" bottom="0" header="0" footer="0"/>
      <printOptions horizontalCentered="1"/>
      <pageSetup scale="86" firstPageNumber="130" fitToHeight="0" orientation="portrait" useFirstPageNumber="1" r:id="rId2"/>
      <headerFooter alignWithMargins="0"/>
    </customSheetView>
  </customSheetViews>
  <phoneticPr fontId="0" type="noConversion"/>
  <printOptions horizontalCentered="1"/>
  <pageMargins left="0.75" right="0.75" top="1" bottom="1" header="0.5" footer="0.5"/>
  <pageSetup scale="86" firstPageNumber="130" fitToHeight="0" orientation="portrait" useFirstPageNumber="1" r:id="rId3"/>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27"/>
  <sheetViews>
    <sheetView workbookViewId="0"/>
  </sheetViews>
  <sheetFormatPr defaultColWidth="9.109375" defaultRowHeight="13.2" x14ac:dyDescent="0.25"/>
  <cols>
    <col min="1" max="3" width="2.6640625" style="7" customWidth="1"/>
    <col min="4" max="4" width="41.33203125" style="7" customWidth="1"/>
    <col min="5" max="5" width="12.6640625" style="7" customWidth="1"/>
    <col min="6" max="6" width="2" style="7" customWidth="1"/>
    <col min="7" max="7" width="13" style="7" customWidth="1"/>
    <col min="8" max="8" width="2.109375" style="7" customWidth="1"/>
    <col min="9" max="9" width="11.33203125" style="7" customWidth="1"/>
    <col min="10" max="16384" width="9.109375" style="7"/>
  </cols>
  <sheetData>
    <row r="1" spans="1:9" x14ac:dyDescent="0.25">
      <c r="I1" s="635"/>
    </row>
    <row r="2" spans="1:9" x14ac:dyDescent="0.25">
      <c r="A2" s="34" t="s">
        <v>1</v>
      </c>
      <c r="B2" s="34"/>
      <c r="C2" s="34"/>
      <c r="D2" s="34"/>
      <c r="E2" s="37"/>
      <c r="F2" s="37"/>
      <c r="G2" s="37"/>
      <c r="H2" s="37"/>
      <c r="I2" s="37"/>
    </row>
    <row r="3" spans="1:9" x14ac:dyDescent="0.25">
      <c r="A3" s="34" t="s">
        <v>897</v>
      </c>
      <c r="B3" s="34"/>
      <c r="C3" s="34"/>
      <c r="D3" s="34"/>
      <c r="E3" s="37"/>
      <c r="F3" s="37"/>
      <c r="G3" s="37"/>
      <c r="H3" s="37"/>
      <c r="I3" s="37"/>
    </row>
    <row r="4" spans="1:9" x14ac:dyDescent="0.25">
      <c r="A4" s="34" t="s">
        <v>898</v>
      </c>
      <c r="B4" s="34"/>
      <c r="C4" s="34"/>
      <c r="D4" s="34"/>
      <c r="E4" s="37"/>
      <c r="F4" s="37"/>
      <c r="G4" s="37"/>
      <c r="H4" s="37"/>
      <c r="I4" s="37"/>
    </row>
    <row r="5" spans="1:9" x14ac:dyDescent="0.25">
      <c r="A5" s="34" t="str">
        <f>'GWStmtAct 68 Exh 2'!A4</f>
        <v>For the Year Ended June 30, 2022</v>
      </c>
      <c r="B5" s="34"/>
      <c r="C5" s="34"/>
      <c r="D5" s="34"/>
      <c r="E5" s="37"/>
      <c r="F5" s="37"/>
      <c r="G5" s="37"/>
      <c r="H5" s="37"/>
      <c r="I5" s="37"/>
    </row>
    <row r="6" spans="1:9" x14ac:dyDescent="0.25">
      <c r="A6" s="34"/>
      <c r="B6" s="34"/>
      <c r="C6" s="34"/>
      <c r="D6" s="34"/>
      <c r="E6" s="37"/>
      <c r="F6" s="37"/>
      <c r="G6" s="37"/>
      <c r="H6" s="37"/>
      <c r="I6" s="37"/>
    </row>
    <row r="7" spans="1:9" ht="13.8" thickBot="1" x14ac:dyDescent="0.3">
      <c r="A7" s="74"/>
      <c r="B7" s="74"/>
      <c r="C7" s="74"/>
      <c r="D7" s="74"/>
      <c r="E7" s="74"/>
      <c r="F7" s="74"/>
      <c r="G7" s="74"/>
      <c r="H7" s="74"/>
      <c r="I7" s="74"/>
    </row>
    <row r="8" spans="1:9" ht="13.2" customHeight="1" x14ac:dyDescent="0.25">
      <c r="E8" s="1046" t="s">
        <v>132</v>
      </c>
      <c r="G8" s="935" t="s">
        <v>899</v>
      </c>
      <c r="I8" s="935" t="s">
        <v>8</v>
      </c>
    </row>
    <row r="9" spans="1:9" x14ac:dyDescent="0.25">
      <c r="E9" s="1047"/>
      <c r="F9" s="636"/>
      <c r="G9" s="1044"/>
      <c r="H9" s="636"/>
      <c r="I9" s="1044"/>
    </row>
    <row r="10" spans="1:9" x14ac:dyDescent="0.25">
      <c r="E10" s="1047"/>
      <c r="F10" s="636"/>
      <c r="G10" s="1044"/>
      <c r="H10" s="636"/>
      <c r="I10" s="1044"/>
    </row>
    <row r="11" spans="1:9" x14ac:dyDescent="0.25">
      <c r="E11" s="1048"/>
      <c r="F11" s="636"/>
      <c r="G11" s="1045"/>
      <c r="H11" s="636"/>
      <c r="I11" s="1045"/>
    </row>
    <row r="12" spans="1:9" x14ac:dyDescent="0.25">
      <c r="D12" s="38" t="s">
        <v>900</v>
      </c>
    </row>
    <row r="14" spans="1:9" ht="13.8" thickBot="1" x14ac:dyDescent="0.3">
      <c r="A14" s="7" t="s">
        <v>13</v>
      </c>
      <c r="E14" s="13">
        <v>1029567</v>
      </c>
      <c r="F14" s="14"/>
      <c r="G14" s="13">
        <f>430201</f>
        <v>430201</v>
      </c>
      <c r="H14" s="14"/>
      <c r="I14" s="13">
        <f>E14+G14</f>
        <v>1459768</v>
      </c>
    </row>
    <row r="15" spans="1:9" ht="13.8" thickTop="1" x14ac:dyDescent="0.25"/>
    <row r="17" spans="1:9" x14ac:dyDescent="0.25">
      <c r="D17" s="38"/>
    </row>
    <row r="19" spans="1:9" x14ac:dyDescent="0.25">
      <c r="A19" s="7" t="s">
        <v>118</v>
      </c>
    </row>
    <row r="20" spans="1:9" x14ac:dyDescent="0.25">
      <c r="B20" s="7" t="s">
        <v>119</v>
      </c>
      <c r="E20" s="61">
        <v>1300</v>
      </c>
      <c r="F20" s="14"/>
      <c r="G20" s="61">
        <v>0</v>
      </c>
      <c r="H20" s="14"/>
      <c r="I20" s="61">
        <f>E20+G20</f>
        <v>1300</v>
      </c>
    </row>
    <row r="21" spans="1:9" x14ac:dyDescent="0.25">
      <c r="E21" s="15"/>
      <c r="F21" s="15"/>
      <c r="G21" s="15"/>
      <c r="H21" s="15"/>
      <c r="I21" s="15"/>
    </row>
    <row r="22" spans="1:9" x14ac:dyDescent="0.25">
      <c r="C22" s="7" t="s">
        <v>39</v>
      </c>
      <c r="E22" s="17">
        <v>1300</v>
      </c>
      <c r="F22" s="15"/>
      <c r="G22" s="17">
        <v>0</v>
      </c>
      <c r="H22" s="15"/>
      <c r="I22" s="17">
        <f>E22+G22</f>
        <v>1300</v>
      </c>
    </row>
    <row r="23" spans="1:9" x14ac:dyDescent="0.25">
      <c r="E23" s="15"/>
      <c r="F23" s="15"/>
      <c r="G23" s="15"/>
      <c r="H23" s="15"/>
      <c r="I23" s="15"/>
    </row>
    <row r="24" spans="1:9" x14ac:dyDescent="0.25">
      <c r="A24" s="404" t="s">
        <v>901</v>
      </c>
      <c r="E24" s="15"/>
      <c r="F24" s="15"/>
      <c r="G24" s="15"/>
      <c r="H24" s="15"/>
      <c r="I24" s="15"/>
    </row>
    <row r="25" spans="1:9" ht="13.8" thickBot="1" x14ac:dyDescent="0.3">
      <c r="B25" s="7" t="s">
        <v>902</v>
      </c>
      <c r="E25" s="13">
        <f>E14-E22</f>
        <v>1028267</v>
      </c>
      <c r="F25" s="15"/>
      <c r="G25" s="13">
        <f>G14-G22</f>
        <v>430201</v>
      </c>
      <c r="H25" s="14"/>
      <c r="I25" s="13">
        <f>I14-I22</f>
        <v>1458468</v>
      </c>
    </row>
    <row r="26" spans="1:9" ht="13.8" thickTop="1" x14ac:dyDescent="0.25">
      <c r="E26" s="14"/>
      <c r="F26" s="15"/>
    </row>
    <row r="27" spans="1:9" x14ac:dyDescent="0.25">
      <c r="F27" s="15"/>
    </row>
  </sheetData>
  <customSheetViews>
    <customSheetView guid="{A8748736-0722-49EB-85B6-C9B52DDCFE0E}" showPageBreaks="1" printArea="1" state="hidden">
      <pageMargins left="0.75" right="0.75" top="1" bottom="1" header="0.5" footer="0.5"/>
      <printOptions horizontalCentered="1"/>
      <pageSetup scale="86" firstPageNumber="133" fitToHeight="0" orientation="portrait" useFirstPageNumber="1" r:id="rId1"/>
      <headerFooter alignWithMargins="0"/>
    </customSheetView>
    <customSheetView guid="{E0C60316-4586-4AAF-92CB-FA82BB1EB755}" state="hidden">
      <selection activeCell="G37" sqref="G37"/>
      <pageMargins left="0" right="0" top="0" bottom="0" header="0" footer="0"/>
      <printOptions horizontalCentered="1"/>
      <pageSetup scale="86" firstPageNumber="133" fitToHeight="0" orientation="portrait" useFirstPageNumber="1" r:id="rId2"/>
      <headerFooter alignWithMargins="0"/>
    </customSheetView>
  </customSheetViews>
  <mergeCells count="3">
    <mergeCell ref="I8:I11"/>
    <mergeCell ref="G8:G11"/>
    <mergeCell ref="E8:E11"/>
  </mergeCells>
  <phoneticPr fontId="0" type="noConversion"/>
  <printOptions horizontalCentered="1"/>
  <pageMargins left="0.75" right="0.75" top="1" bottom="1" header="0.5" footer="0.5"/>
  <pageSetup scale="86" firstPageNumber="133" fitToHeight="0" orientation="portrait" useFirstPageNumber="1" r:id="rId3"/>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J71"/>
  <sheetViews>
    <sheetView workbookViewId="0"/>
  </sheetViews>
  <sheetFormatPr defaultColWidth="9.109375" defaultRowHeight="13.2" x14ac:dyDescent="0.25"/>
  <cols>
    <col min="1" max="1" width="2.6640625" style="7" customWidth="1"/>
    <col min="2" max="2" width="1.6640625" style="7" customWidth="1"/>
    <col min="3" max="3" width="9.109375" style="7"/>
    <col min="4" max="4" width="23.5546875" style="7" customWidth="1"/>
    <col min="5" max="5" width="1.6640625" style="7" customWidth="1"/>
    <col min="6" max="6" width="11.33203125" style="7" customWidth="1"/>
    <col min="7" max="7" width="2.109375" style="7" customWidth="1"/>
    <col min="8" max="8" width="12.6640625" style="7" customWidth="1"/>
    <col min="9" max="9" width="1.88671875" style="7" customWidth="1"/>
    <col min="10" max="10" width="11.88671875" style="7" customWidth="1"/>
    <col min="11" max="16384" width="9.109375" style="7"/>
  </cols>
  <sheetData>
    <row r="1" spans="1:10" x14ac:dyDescent="0.25">
      <c r="J1" s="635"/>
    </row>
    <row r="2" spans="1:10" x14ac:dyDescent="0.25">
      <c r="A2" s="34" t="s">
        <v>1</v>
      </c>
      <c r="B2" s="34"/>
      <c r="C2" s="34"/>
      <c r="D2" s="34"/>
      <c r="E2" s="34"/>
      <c r="F2" s="34"/>
      <c r="G2" s="34"/>
      <c r="H2" s="34"/>
      <c r="I2" s="34"/>
      <c r="J2" s="34"/>
    </row>
    <row r="3" spans="1:10" x14ac:dyDescent="0.25">
      <c r="A3" s="34" t="s">
        <v>903</v>
      </c>
      <c r="B3" s="445"/>
      <c r="C3" s="445"/>
      <c r="D3" s="445"/>
      <c r="E3" s="445"/>
      <c r="F3" s="445"/>
      <c r="G3" s="445"/>
      <c r="H3" s="445"/>
      <c r="I3" s="445"/>
      <c r="J3" s="445"/>
    </row>
    <row r="4" spans="1:10" x14ac:dyDescent="0.25">
      <c r="A4" s="34" t="s">
        <v>898</v>
      </c>
      <c r="B4" s="445"/>
      <c r="C4" s="445"/>
      <c r="D4" s="445"/>
      <c r="E4" s="445"/>
      <c r="F4" s="445"/>
      <c r="G4" s="445"/>
      <c r="H4" s="445"/>
      <c r="I4" s="445"/>
      <c r="J4" s="445"/>
    </row>
    <row r="5" spans="1:10" x14ac:dyDescent="0.25">
      <c r="A5" s="34" t="str">
        <f>'GWStmtAct 68 Exh 2'!A4</f>
        <v>For the Year Ended June 30, 2022</v>
      </c>
      <c r="B5" s="445"/>
      <c r="C5" s="445"/>
      <c r="D5" s="445"/>
      <c r="E5" s="445"/>
      <c r="F5" s="445"/>
      <c r="G5" s="445"/>
      <c r="H5" s="445"/>
      <c r="I5" s="445"/>
      <c r="J5" s="445"/>
    </row>
    <row r="6" spans="1:10" ht="13.8" thickBot="1" x14ac:dyDescent="0.3">
      <c r="A6" s="730"/>
      <c r="B6" s="730"/>
      <c r="C6" s="730"/>
      <c r="D6" s="730"/>
      <c r="E6" s="730"/>
      <c r="F6" s="730"/>
      <c r="G6" s="730"/>
      <c r="H6" s="730"/>
      <c r="I6" s="730"/>
      <c r="J6" s="730"/>
    </row>
    <row r="7" spans="1:10" x14ac:dyDescent="0.25">
      <c r="A7" s="404"/>
      <c r="B7" s="404"/>
      <c r="C7" s="404"/>
      <c r="D7" s="404"/>
      <c r="E7" s="404"/>
      <c r="F7" s="404"/>
      <c r="G7" s="404"/>
      <c r="H7" s="404"/>
      <c r="I7" s="404"/>
      <c r="J7" s="404"/>
    </row>
    <row r="8" spans="1:10" ht="52.8" x14ac:dyDescent="0.25">
      <c r="A8" s="404"/>
      <c r="B8" s="404"/>
      <c r="C8" s="404"/>
      <c r="D8" s="404"/>
      <c r="E8" s="404"/>
      <c r="F8" s="655" t="s">
        <v>132</v>
      </c>
      <c r="G8" s="404"/>
      <c r="H8" s="655" t="s">
        <v>899</v>
      </c>
      <c r="I8" s="404"/>
      <c r="J8" s="655" t="s">
        <v>8</v>
      </c>
    </row>
    <row r="9" spans="1:10" x14ac:dyDescent="0.25">
      <c r="A9" s="404"/>
      <c r="B9" s="404"/>
      <c r="C9" s="404"/>
      <c r="D9" s="404"/>
      <c r="E9" s="404"/>
      <c r="F9" s="633"/>
      <c r="G9" s="404"/>
      <c r="H9" s="633"/>
      <c r="I9" s="404"/>
      <c r="J9" s="633"/>
    </row>
    <row r="10" spans="1:10" x14ac:dyDescent="0.25">
      <c r="A10" s="637" t="s">
        <v>904</v>
      </c>
      <c r="B10" s="404"/>
      <c r="C10" s="404"/>
      <c r="D10" s="404"/>
      <c r="E10" s="404"/>
      <c r="F10" s="404"/>
      <c r="G10" s="404"/>
      <c r="H10" s="404"/>
      <c r="I10" s="404"/>
      <c r="J10" s="404"/>
    </row>
    <row r="11" spans="1:10" x14ac:dyDescent="0.25">
      <c r="A11" s="404"/>
      <c r="B11" s="637" t="s">
        <v>373</v>
      </c>
      <c r="C11" s="404"/>
      <c r="D11" s="404"/>
      <c r="E11" s="404"/>
      <c r="F11" s="731">
        <v>101424</v>
      </c>
      <c r="G11" s="404"/>
      <c r="H11" s="731">
        <v>976068</v>
      </c>
      <c r="I11" s="637"/>
      <c r="J11" s="731">
        <f>H11+F11</f>
        <v>1077492</v>
      </c>
    </row>
    <row r="12" spans="1:10" x14ac:dyDescent="0.25">
      <c r="A12" s="404"/>
      <c r="B12" s="637"/>
      <c r="C12" s="404"/>
      <c r="D12" s="404"/>
      <c r="E12" s="404"/>
      <c r="F12" s="393"/>
      <c r="G12" s="404"/>
      <c r="H12" s="393"/>
      <c r="I12" s="637"/>
      <c r="J12" s="393"/>
    </row>
    <row r="13" spans="1:10" x14ac:dyDescent="0.25">
      <c r="A13" s="404"/>
      <c r="B13" s="637" t="s">
        <v>374</v>
      </c>
      <c r="C13" s="404"/>
      <c r="D13" s="404"/>
      <c r="E13" s="404"/>
      <c r="F13" s="404"/>
      <c r="G13" s="435"/>
      <c r="H13" s="404"/>
      <c r="I13" s="404"/>
      <c r="J13" s="404"/>
    </row>
    <row r="14" spans="1:10" x14ac:dyDescent="0.25">
      <c r="A14" s="404"/>
      <c r="B14" s="637"/>
      <c r="C14" s="404" t="s">
        <v>905</v>
      </c>
      <c r="D14" s="404"/>
      <c r="E14" s="404"/>
      <c r="F14" s="394"/>
      <c r="G14" s="435"/>
      <c r="H14" s="394"/>
      <c r="I14" s="404"/>
      <c r="J14" s="394"/>
    </row>
    <row r="15" spans="1:10" x14ac:dyDescent="0.25">
      <c r="A15" s="404"/>
      <c r="B15" s="637"/>
      <c r="C15" s="404" t="s">
        <v>906</v>
      </c>
      <c r="D15" s="404"/>
      <c r="E15" s="404"/>
      <c r="F15" s="394">
        <v>12147</v>
      </c>
      <c r="G15" s="435"/>
      <c r="H15" s="394">
        <v>81989</v>
      </c>
      <c r="I15" s="404"/>
      <c r="J15" s="394">
        <f>SUM(F15:H15)</f>
        <v>94136</v>
      </c>
    </row>
    <row r="16" spans="1:10" x14ac:dyDescent="0.25">
      <c r="A16" s="404"/>
      <c r="B16" s="637"/>
      <c r="C16" s="404" t="s">
        <v>180</v>
      </c>
      <c r="D16" s="404"/>
      <c r="E16" s="404"/>
      <c r="F16" s="421">
        <v>38984</v>
      </c>
      <c r="G16" s="435"/>
      <c r="H16" s="421">
        <v>0</v>
      </c>
      <c r="I16" s="404"/>
      <c r="J16" s="394">
        <f>SUM(F16:H16)</f>
        <v>38984</v>
      </c>
    </row>
    <row r="17" spans="1:10" x14ac:dyDescent="0.25">
      <c r="A17" s="404"/>
      <c r="B17" s="637"/>
      <c r="C17" s="404"/>
      <c r="D17" s="404"/>
      <c r="E17" s="404"/>
      <c r="F17" s="394">
        <v>51131</v>
      </c>
      <c r="G17" s="404"/>
      <c r="H17" s="394">
        <f>SUM(H15:H16)</f>
        <v>81989</v>
      </c>
      <c r="I17" s="404"/>
      <c r="J17" s="416">
        <f>SUM(F17:H17)</f>
        <v>133120</v>
      </c>
    </row>
    <row r="18" spans="1:10" x14ac:dyDescent="0.25">
      <c r="A18" s="404"/>
      <c r="B18" s="637"/>
      <c r="C18" s="404" t="s">
        <v>377</v>
      </c>
      <c r="D18" s="404"/>
      <c r="E18" s="404"/>
      <c r="F18" s="421">
        <v>438</v>
      </c>
      <c r="G18" s="404"/>
      <c r="H18" s="421">
        <v>0</v>
      </c>
      <c r="I18" s="404"/>
      <c r="J18" s="394">
        <f>SUM(F18:H18)</f>
        <v>438</v>
      </c>
    </row>
    <row r="19" spans="1:10" x14ac:dyDescent="0.25">
      <c r="A19" s="404"/>
      <c r="B19" s="637"/>
      <c r="C19" s="404" t="s">
        <v>907</v>
      </c>
      <c r="D19" s="404"/>
      <c r="E19" s="404"/>
      <c r="F19" s="453">
        <f>F17-F18</f>
        <v>50693</v>
      </c>
      <c r="G19" s="404"/>
      <c r="H19" s="453">
        <f>H17-H18</f>
        <v>81989</v>
      </c>
      <c r="I19" s="404"/>
      <c r="J19" s="732">
        <f>J17-J18</f>
        <v>132682</v>
      </c>
    </row>
    <row r="20" spans="1:10" x14ac:dyDescent="0.25">
      <c r="A20" s="404"/>
      <c r="B20" s="404"/>
      <c r="C20" s="637" t="s">
        <v>908</v>
      </c>
      <c r="D20" s="404"/>
      <c r="E20" s="404"/>
      <c r="F20" s="453">
        <f>F11+F19</f>
        <v>152117</v>
      </c>
      <c r="G20" s="404"/>
      <c r="H20" s="453">
        <f>H11+H19</f>
        <v>1058057</v>
      </c>
      <c r="I20" s="404"/>
      <c r="J20" s="453">
        <f>F20+H20</f>
        <v>1210174</v>
      </c>
    </row>
    <row r="21" spans="1:10" x14ac:dyDescent="0.25">
      <c r="A21" s="404"/>
      <c r="B21" s="404"/>
      <c r="C21" s="404"/>
      <c r="D21" s="404"/>
      <c r="E21" s="404"/>
      <c r="F21" s="393"/>
      <c r="G21" s="404"/>
      <c r="H21" s="393"/>
      <c r="I21" s="404"/>
      <c r="J21" s="393"/>
    </row>
    <row r="22" spans="1:10" x14ac:dyDescent="0.25">
      <c r="A22" s="637" t="s">
        <v>909</v>
      </c>
      <c r="B22" s="404"/>
      <c r="C22" s="404"/>
      <c r="D22" s="404"/>
      <c r="E22" s="404"/>
      <c r="F22" s="393"/>
      <c r="G22" s="404"/>
      <c r="H22" s="393"/>
      <c r="I22" s="404"/>
      <c r="J22" s="393"/>
    </row>
    <row r="23" spans="1:10" x14ac:dyDescent="0.25">
      <c r="A23" s="637"/>
      <c r="B23" s="637" t="s">
        <v>910</v>
      </c>
      <c r="C23" s="404"/>
      <c r="D23" s="404"/>
      <c r="E23" s="404"/>
      <c r="F23" s="394">
        <v>16585</v>
      </c>
      <c r="G23" s="404"/>
      <c r="H23" s="394">
        <v>805603</v>
      </c>
      <c r="I23" s="404"/>
      <c r="J23" s="394">
        <f>H23+F23</f>
        <v>822188</v>
      </c>
    </row>
    <row r="24" spans="1:10" x14ac:dyDescent="0.25">
      <c r="A24" s="404"/>
      <c r="B24" s="637" t="s">
        <v>384</v>
      </c>
      <c r="C24" s="404"/>
      <c r="D24" s="404"/>
      <c r="E24" s="404"/>
      <c r="F24" s="421">
        <v>941</v>
      </c>
      <c r="G24" s="404"/>
      <c r="H24" s="421">
        <v>0</v>
      </c>
      <c r="I24" s="404"/>
      <c r="J24" s="394">
        <f>H24+F24</f>
        <v>941</v>
      </c>
    </row>
    <row r="25" spans="1:10" x14ac:dyDescent="0.25">
      <c r="A25" s="404"/>
      <c r="B25" s="404"/>
      <c r="C25" s="637" t="s">
        <v>387</v>
      </c>
      <c r="D25" s="404"/>
      <c r="E25" s="404"/>
      <c r="F25" s="453">
        <f>SUM(F23:F24)</f>
        <v>17526</v>
      </c>
      <c r="G25" s="404"/>
      <c r="H25" s="453">
        <f>SUM(H23:H24)</f>
        <v>805603</v>
      </c>
      <c r="I25" s="404"/>
      <c r="J25" s="415">
        <f>SUM(J23:J24)</f>
        <v>823129</v>
      </c>
    </row>
    <row r="26" spans="1:10" x14ac:dyDescent="0.25">
      <c r="A26" s="404"/>
      <c r="B26" s="404"/>
      <c r="C26" s="404"/>
      <c r="D26" s="404"/>
      <c r="E26" s="404"/>
      <c r="F26" s="393"/>
      <c r="G26" s="404"/>
      <c r="H26" s="393"/>
      <c r="I26" s="404"/>
      <c r="J26" s="393"/>
    </row>
    <row r="27" spans="1:10" x14ac:dyDescent="0.25">
      <c r="A27" s="404"/>
      <c r="B27" s="404"/>
      <c r="C27" s="637" t="s">
        <v>99</v>
      </c>
      <c r="D27" s="404"/>
      <c r="E27" s="404"/>
      <c r="F27" s="393">
        <f>F20-F25</f>
        <v>134591</v>
      </c>
      <c r="G27" s="404"/>
      <c r="H27" s="393">
        <f>H20-H25</f>
        <v>252454</v>
      </c>
      <c r="I27" s="404"/>
      <c r="J27" s="393">
        <f>J20-J25</f>
        <v>387045</v>
      </c>
    </row>
    <row r="28" spans="1:10" x14ac:dyDescent="0.25">
      <c r="A28" s="404"/>
      <c r="B28" s="404"/>
      <c r="C28" s="404"/>
      <c r="D28" s="404"/>
      <c r="E28" s="404"/>
      <c r="F28" s="393"/>
      <c r="G28" s="404"/>
      <c r="H28" s="393"/>
      <c r="I28" s="404"/>
      <c r="J28" s="393"/>
    </row>
    <row r="29" spans="1:10" x14ac:dyDescent="0.25">
      <c r="A29" s="404"/>
      <c r="B29" s="404"/>
      <c r="C29" s="404"/>
      <c r="D29" s="404"/>
      <c r="E29" s="404"/>
      <c r="F29" s="393"/>
      <c r="G29" s="404"/>
      <c r="H29" s="393"/>
      <c r="I29" s="404"/>
      <c r="J29" s="393"/>
    </row>
    <row r="30" spans="1:10" x14ac:dyDescent="0.25">
      <c r="A30" s="404" t="s">
        <v>107</v>
      </c>
      <c r="B30" s="404"/>
      <c r="C30" s="637"/>
      <c r="D30" s="404"/>
      <c r="E30" s="404"/>
      <c r="F30" s="453">
        <v>893676</v>
      </c>
      <c r="G30" s="404"/>
      <c r="H30" s="453">
        <v>177747</v>
      </c>
      <c r="I30" s="404"/>
      <c r="J30" s="453">
        <f>F30+H30</f>
        <v>1071423</v>
      </c>
    </row>
    <row r="31" spans="1:10" ht="13.8" thickBot="1" x14ac:dyDescent="0.3">
      <c r="A31" s="404" t="s">
        <v>101</v>
      </c>
      <c r="B31" s="404"/>
      <c r="C31" s="637"/>
      <c r="D31" s="404"/>
      <c r="E31" s="404"/>
      <c r="F31" s="733">
        <f>F30+F27</f>
        <v>1028267</v>
      </c>
      <c r="G31" s="404"/>
      <c r="H31" s="733">
        <f>H30+H27</f>
        <v>430201</v>
      </c>
      <c r="I31" s="637"/>
      <c r="J31" s="733">
        <f>J30+J27</f>
        <v>1458468</v>
      </c>
    </row>
    <row r="32" spans="1:10" ht="13.8" thickTop="1" x14ac:dyDescent="0.25"/>
    <row r="50" spans="8:8" x14ac:dyDescent="0.25">
      <c r="H50" s="404"/>
    </row>
    <row r="51" spans="8:8" x14ac:dyDescent="0.25">
      <c r="H51" s="404"/>
    </row>
    <row r="52" spans="8:8" x14ac:dyDescent="0.25">
      <c r="H52" s="404"/>
    </row>
    <row r="53" spans="8:8" x14ac:dyDescent="0.25">
      <c r="H53" s="404"/>
    </row>
    <row r="54" spans="8:8" x14ac:dyDescent="0.25">
      <c r="H54" s="404"/>
    </row>
    <row r="55" spans="8:8" x14ac:dyDescent="0.25">
      <c r="H55" s="404"/>
    </row>
    <row r="71" spans="4:4" x14ac:dyDescent="0.25">
      <c r="D71" s="635"/>
    </row>
  </sheetData>
  <customSheetViews>
    <customSheetView guid="{A8748736-0722-49EB-85B6-C9B52DDCFE0E}" showPageBreaks="1" printArea="1" state="hidden">
      <pageMargins left="0.75" right="0.75" top="1" bottom="1" header="0.5" footer="0.5"/>
      <printOptions horizontalCentered="1"/>
      <pageSetup scale="86" firstPageNumber="134" fitToHeight="0" orientation="portrait" useFirstPageNumber="1" r:id="rId1"/>
      <headerFooter alignWithMargins="0"/>
    </customSheetView>
    <customSheetView guid="{E0C60316-4586-4AAF-92CB-FA82BB1EB755}" state="hidden">
      <selection activeCell="G37" sqref="G37"/>
      <pageMargins left="0" right="0" top="0" bottom="0" header="0" footer="0"/>
      <printOptions horizontalCentered="1"/>
      <pageSetup scale="86" firstPageNumber="134" fitToHeight="0" orientation="portrait" useFirstPageNumber="1" r:id="rId2"/>
      <headerFooter alignWithMargins="0"/>
    </customSheetView>
  </customSheetViews>
  <phoneticPr fontId="0" type="noConversion"/>
  <printOptions horizontalCentered="1"/>
  <pageMargins left="0.75" right="0.75" top="1" bottom="1" header="0.5" footer="0.5"/>
  <pageSetup scale="86" firstPageNumber="134" fitToHeight="0" orientation="portrait" useFirstPageNumber="1" r:id="rId3"/>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32"/>
  <sheetViews>
    <sheetView workbookViewId="0"/>
  </sheetViews>
  <sheetFormatPr defaultColWidth="9.109375" defaultRowHeight="13.2" x14ac:dyDescent="0.25"/>
  <cols>
    <col min="1" max="1" width="41.88671875" style="35" customWidth="1"/>
    <col min="2" max="2" width="15.44140625" style="35" customWidth="1"/>
    <col min="3" max="3" width="16.33203125" style="35" customWidth="1"/>
    <col min="4" max="4" width="15.6640625" style="35" customWidth="1"/>
    <col min="5" max="5" width="11.33203125" style="83" bestFit="1" customWidth="1"/>
    <col min="6" max="16384" width="9.109375" style="35"/>
  </cols>
  <sheetData>
    <row r="1" spans="1:5" x14ac:dyDescent="0.25">
      <c r="A1" s="104"/>
      <c r="B1" s="29"/>
      <c r="C1" s="29"/>
      <c r="D1" s="29"/>
      <c r="E1" s="476"/>
    </row>
    <row r="2" spans="1:5" x14ac:dyDescent="0.25">
      <c r="A2" s="977" t="s">
        <v>1</v>
      </c>
      <c r="B2" s="977"/>
      <c r="C2" s="977"/>
      <c r="D2" s="977"/>
      <c r="E2" s="476"/>
    </row>
    <row r="3" spans="1:5" x14ac:dyDescent="0.25">
      <c r="A3" s="977" t="s">
        <v>897</v>
      </c>
      <c r="B3" s="977"/>
      <c r="C3" s="977"/>
      <c r="D3" s="977"/>
      <c r="E3" s="476"/>
    </row>
    <row r="4" spans="1:5" x14ac:dyDescent="0.25">
      <c r="A4" s="977" t="s">
        <v>362</v>
      </c>
      <c r="B4" s="977"/>
      <c r="C4" s="977"/>
      <c r="D4" s="977"/>
      <c r="E4" s="476"/>
    </row>
    <row r="5" spans="1:5" x14ac:dyDescent="0.25">
      <c r="A5" s="978" t="str">
        <f>'GWNetPos 68 Exh 1'!A4:F4</f>
        <v>June 30, 2022</v>
      </c>
      <c r="B5" s="978"/>
      <c r="C5" s="978"/>
      <c r="D5" s="978"/>
      <c r="E5" s="476"/>
    </row>
    <row r="6" spans="1:5" x14ac:dyDescent="0.25">
      <c r="A6" s="29"/>
      <c r="B6" s="29"/>
      <c r="C6" s="29"/>
      <c r="D6" s="29"/>
      <c r="E6" s="476"/>
    </row>
    <row r="7" spans="1:5" x14ac:dyDescent="0.25">
      <c r="A7" s="29"/>
      <c r="B7" s="505"/>
      <c r="C7" s="550"/>
      <c r="D7" s="505"/>
      <c r="E7" s="476"/>
    </row>
    <row r="8" spans="1:5" ht="24" x14ac:dyDescent="0.25">
      <c r="A8" s="29"/>
      <c r="B8" s="108" t="s">
        <v>911</v>
      </c>
      <c r="C8" s="108" t="s">
        <v>912</v>
      </c>
      <c r="D8" s="108" t="s">
        <v>913</v>
      </c>
      <c r="E8" s="109"/>
    </row>
    <row r="9" spans="1:5" x14ac:dyDescent="0.25">
      <c r="A9" s="110" t="s">
        <v>12</v>
      </c>
      <c r="B9" s="29"/>
      <c r="C9" s="29"/>
      <c r="D9" s="29"/>
      <c r="E9" s="476"/>
    </row>
    <row r="10" spans="1:5" x14ac:dyDescent="0.25">
      <c r="A10" s="29" t="s">
        <v>13</v>
      </c>
      <c r="B10" s="111">
        <v>19156</v>
      </c>
      <c r="C10" s="111">
        <v>49363</v>
      </c>
      <c r="D10" s="111">
        <f>SUM(B10:C10)</f>
        <v>68519</v>
      </c>
      <c r="E10" s="476"/>
    </row>
    <row r="11" spans="1:5" x14ac:dyDescent="0.25">
      <c r="A11" s="29" t="s">
        <v>363</v>
      </c>
      <c r="B11" s="112">
        <v>4254001</v>
      </c>
      <c r="C11" s="112">
        <v>0</v>
      </c>
      <c r="D11" s="112">
        <f>SUM(B11:C11)</f>
        <v>4254001</v>
      </c>
      <c r="E11" s="476" t="s">
        <v>122</v>
      </c>
    </row>
    <row r="12" spans="1:5" x14ac:dyDescent="0.25">
      <c r="A12" s="118" t="s">
        <v>27</v>
      </c>
      <c r="B12" s="552">
        <f>SUM(B10:B11)</f>
        <v>4273157</v>
      </c>
      <c r="C12" s="552">
        <f>SUM(C10:C11)</f>
        <v>49363</v>
      </c>
      <c r="D12" s="552">
        <f>SUM(D10:D11)</f>
        <v>4322520</v>
      </c>
      <c r="E12" s="476"/>
    </row>
    <row r="13" spans="1:5" ht="7.35" customHeight="1" x14ac:dyDescent="0.25">
      <c r="A13" s="29"/>
      <c r="B13" s="29"/>
      <c r="C13" s="29"/>
      <c r="D13" s="29"/>
      <c r="E13" s="476"/>
    </row>
    <row r="14" spans="1:5" x14ac:dyDescent="0.25">
      <c r="A14" s="110" t="s">
        <v>29</v>
      </c>
      <c r="B14" s="29"/>
      <c r="C14" s="29"/>
      <c r="D14" s="29"/>
      <c r="E14" s="476"/>
    </row>
    <row r="15" spans="1:5" ht="27.9" customHeight="1" x14ac:dyDescent="0.25">
      <c r="A15" s="29" t="s">
        <v>663</v>
      </c>
      <c r="B15" s="112">
        <v>0</v>
      </c>
      <c r="C15" s="112">
        <v>6298</v>
      </c>
      <c r="D15" s="112">
        <f>SUM(B15:C15)</f>
        <v>6298</v>
      </c>
      <c r="E15" s="476"/>
    </row>
    <row r="16" spans="1:5" x14ac:dyDescent="0.25">
      <c r="A16" s="29" t="s">
        <v>32</v>
      </c>
      <c r="B16" s="112">
        <v>19156</v>
      </c>
      <c r="C16" s="112">
        <v>0</v>
      </c>
      <c r="D16" s="112">
        <f>SUM(B16:C16)</f>
        <v>19156</v>
      </c>
      <c r="E16" s="476"/>
    </row>
    <row r="17" spans="1:9" x14ac:dyDescent="0.25">
      <c r="A17" s="118" t="s">
        <v>39</v>
      </c>
      <c r="B17" s="119">
        <f>SUM(B15:B16)</f>
        <v>19156</v>
      </c>
      <c r="C17" s="119">
        <f>SUM(C15:C16)</f>
        <v>6298</v>
      </c>
      <c r="D17" s="119">
        <f>SUM(D15:D16)</f>
        <v>25454</v>
      </c>
      <c r="E17" s="476"/>
      <c r="F17" s="404"/>
      <c r="G17" s="404"/>
      <c r="H17" s="404"/>
      <c r="I17" s="404"/>
    </row>
    <row r="18" spans="1:9" ht="7.35" customHeight="1" x14ac:dyDescent="0.25">
      <c r="A18" s="118"/>
      <c r="B18" s="113"/>
      <c r="C18" s="113"/>
      <c r="D18" s="113"/>
      <c r="E18" s="476"/>
      <c r="F18" s="404"/>
      <c r="G18" s="404"/>
      <c r="H18" s="404"/>
      <c r="I18" s="404"/>
    </row>
    <row r="19" spans="1:9" x14ac:dyDescent="0.25">
      <c r="A19" s="110" t="s">
        <v>41</v>
      </c>
      <c r="B19" s="113"/>
      <c r="C19" s="113"/>
      <c r="D19" s="113"/>
      <c r="E19" s="476"/>
      <c r="F19" s="404"/>
      <c r="G19" s="404"/>
      <c r="H19" s="404"/>
      <c r="I19" s="404"/>
    </row>
    <row r="20" spans="1:9" x14ac:dyDescent="0.25">
      <c r="A20" s="29" t="s">
        <v>43</v>
      </c>
      <c r="B20" s="113"/>
      <c r="C20" s="113"/>
      <c r="D20" s="113"/>
      <c r="E20" s="476"/>
      <c r="F20" s="404"/>
      <c r="G20" s="404"/>
      <c r="H20" s="404"/>
      <c r="I20" s="404"/>
    </row>
    <row r="21" spans="1:9" x14ac:dyDescent="0.25">
      <c r="A21" s="117" t="s">
        <v>368</v>
      </c>
      <c r="B21" s="114">
        <f>B12-B17</f>
        <v>4254001</v>
      </c>
      <c r="C21" s="114">
        <f>C12-C17</f>
        <v>43065</v>
      </c>
      <c r="D21" s="114">
        <f>SUM(B21:C21)</f>
        <v>4297066</v>
      </c>
      <c r="E21" s="476"/>
      <c r="F21" s="404"/>
      <c r="G21" s="404"/>
      <c r="H21" s="404"/>
      <c r="I21" s="404"/>
    </row>
    <row r="22" spans="1:9" ht="13.8" thickBot="1" x14ac:dyDescent="0.3">
      <c r="A22" s="29" t="s">
        <v>52</v>
      </c>
      <c r="B22" s="121">
        <f>SUM(B21)</f>
        <v>4254001</v>
      </c>
      <c r="C22" s="121">
        <f>SUM(C21)</f>
        <v>43065</v>
      </c>
      <c r="D22" s="121">
        <f>SUM(D21)</f>
        <v>4297066</v>
      </c>
      <c r="E22" s="476"/>
      <c r="F22" s="404"/>
      <c r="G22" s="404"/>
      <c r="H22" s="404"/>
      <c r="I22" s="404"/>
    </row>
    <row r="23" spans="1:9" ht="7.35" customHeight="1" thickTop="1" x14ac:dyDescent="0.25">
      <c r="A23" s="29"/>
      <c r="B23" s="29"/>
      <c r="C23" s="29"/>
      <c r="D23" s="29"/>
      <c r="E23" s="476"/>
      <c r="F23" s="404"/>
      <c r="G23" s="404"/>
      <c r="H23" s="404"/>
      <c r="I23" s="404"/>
    </row>
    <row r="25" spans="1:9" ht="13.2" customHeight="1" x14ac:dyDescent="0.25">
      <c r="A25" s="404"/>
      <c r="B25" s="404"/>
      <c r="C25" s="404"/>
      <c r="D25" s="404"/>
      <c r="E25" s="476"/>
      <c r="F25" s="404"/>
      <c r="G25" s="404"/>
      <c r="H25" s="404"/>
      <c r="I25" s="404"/>
    </row>
    <row r="26" spans="1:9" ht="56.25" customHeight="1" x14ac:dyDescent="0.25">
      <c r="A26" s="1049" t="s">
        <v>914</v>
      </c>
      <c r="B26" s="1050"/>
      <c r="C26" s="1050"/>
      <c r="D26" s="1051"/>
      <c r="E26" s="476"/>
      <c r="F26" s="404"/>
      <c r="G26" s="404"/>
      <c r="H26" s="404"/>
      <c r="I26" s="404"/>
    </row>
    <row r="27" spans="1:9" ht="13.2" customHeight="1" x14ac:dyDescent="0.25">
      <c r="A27" s="404"/>
      <c r="B27" s="404"/>
      <c r="C27" s="404"/>
      <c r="D27" s="404"/>
      <c r="E27" s="476"/>
      <c r="F27" s="404"/>
      <c r="G27" s="404"/>
      <c r="H27" s="404"/>
      <c r="I27" s="404"/>
    </row>
    <row r="28" spans="1:9" ht="13.2" customHeight="1" x14ac:dyDescent="0.25">
      <c r="A28" s="404"/>
      <c r="B28" s="404"/>
      <c r="C28" s="404"/>
      <c r="D28" s="404"/>
      <c r="E28" s="476"/>
      <c r="F28" s="404"/>
      <c r="G28" s="404"/>
      <c r="H28" s="404"/>
      <c r="I28" s="404"/>
    </row>
    <row r="29" spans="1:9" ht="113.25" customHeight="1" x14ac:dyDescent="0.25">
      <c r="A29" s="1049" t="s">
        <v>915</v>
      </c>
      <c r="B29" s="1050"/>
      <c r="C29" s="1050"/>
      <c r="D29" s="1051"/>
      <c r="E29" s="476"/>
      <c r="F29" s="404"/>
      <c r="G29" s="404"/>
      <c r="H29" s="404"/>
      <c r="I29" s="404"/>
    </row>
    <row r="30" spans="1:9" ht="14.25" customHeight="1" x14ac:dyDescent="0.25">
      <c r="A30" s="569"/>
      <c r="B30" s="570"/>
      <c r="C30" s="570"/>
      <c r="D30" s="570"/>
      <c r="E30" s="570"/>
      <c r="F30" s="570"/>
      <c r="G30" s="570"/>
      <c r="H30" s="570"/>
      <c r="I30" s="570"/>
    </row>
    <row r="31" spans="1:9" ht="118.5" customHeight="1" x14ac:dyDescent="0.25">
      <c r="A31" s="404"/>
      <c r="B31" s="404"/>
      <c r="C31" s="404"/>
      <c r="D31" s="404"/>
      <c r="E31" s="570"/>
      <c r="F31" s="570"/>
      <c r="G31" s="570"/>
      <c r="H31" s="570"/>
      <c r="I31" s="570"/>
    </row>
    <row r="32" spans="1:9" ht="49.5" customHeight="1" x14ac:dyDescent="0.25">
      <c r="A32" s="404"/>
      <c r="B32" s="404"/>
      <c r="C32" s="404"/>
      <c r="D32" s="706"/>
      <c r="E32" s="476"/>
      <c r="F32" s="404"/>
      <c r="G32" s="404"/>
      <c r="H32" s="404"/>
      <c r="I32" s="404"/>
    </row>
  </sheetData>
  <customSheetViews>
    <customSheetView guid="{A8748736-0722-49EB-85B6-C9B52DDCFE0E}" showPageBreaks="1" printArea="1">
      <selection activeCell="H14" sqref="H14"/>
      <pageMargins left="0.7" right="0.7" top="0.75" bottom="0.75" header="0.3" footer="0.3"/>
      <pageSetup orientation="portrait" verticalDpi="1200" r:id="rId1"/>
    </customSheetView>
  </customSheetViews>
  <mergeCells count="6">
    <mergeCell ref="A29:D29"/>
    <mergeCell ref="A2:D2"/>
    <mergeCell ref="A3:D3"/>
    <mergeCell ref="A4:D4"/>
    <mergeCell ref="A5:D5"/>
    <mergeCell ref="A26:D26"/>
  </mergeCells>
  <pageMargins left="0.7" right="0.7" top="0.75" bottom="0.75" header="0.3" footer="0.3"/>
  <pageSetup orientation="portrait" verticalDpi="1200"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G29"/>
  <sheetViews>
    <sheetView workbookViewId="0"/>
  </sheetViews>
  <sheetFormatPr defaultColWidth="9.109375" defaultRowHeight="13.2" x14ac:dyDescent="0.25"/>
  <cols>
    <col min="1" max="1" width="40.109375" style="60" customWidth="1"/>
    <col min="2" max="2" width="14.109375" style="35" customWidth="1"/>
    <col min="3" max="3" width="2.44140625" style="35" customWidth="1"/>
    <col min="4" max="4" width="14.44140625" style="35" customWidth="1"/>
    <col min="5" max="5" width="2.33203125" style="35" customWidth="1"/>
    <col min="6" max="6" width="14.5546875" style="35" customWidth="1"/>
    <col min="7" max="7" width="10.33203125" style="83" bestFit="1" customWidth="1"/>
    <col min="8" max="16384" width="9.109375" style="35"/>
  </cols>
  <sheetData>
    <row r="1" spans="1:7" x14ac:dyDescent="0.25">
      <c r="A1" s="650"/>
      <c r="B1" s="29"/>
      <c r="C1" s="29"/>
      <c r="D1" s="29"/>
      <c r="E1" s="29"/>
      <c r="F1" s="29"/>
      <c r="G1" s="476"/>
    </row>
    <row r="2" spans="1:7" x14ac:dyDescent="0.25">
      <c r="A2" s="977" t="s">
        <v>1</v>
      </c>
      <c r="B2" s="977"/>
      <c r="C2" s="977"/>
      <c r="D2" s="977"/>
      <c r="E2" s="977"/>
      <c r="F2" s="977"/>
      <c r="G2" s="476"/>
    </row>
    <row r="3" spans="1:7" x14ac:dyDescent="0.25">
      <c r="A3" s="977" t="s">
        <v>903</v>
      </c>
      <c r="B3" s="977"/>
      <c r="C3" s="977"/>
      <c r="D3" s="977"/>
      <c r="E3" s="977"/>
      <c r="F3" s="977"/>
      <c r="G3" s="476"/>
    </row>
    <row r="4" spans="1:7" x14ac:dyDescent="0.25">
      <c r="A4" s="977" t="s">
        <v>362</v>
      </c>
      <c r="B4" s="977"/>
      <c r="C4" s="977"/>
      <c r="D4" s="977"/>
      <c r="E4" s="977"/>
      <c r="F4" s="977"/>
      <c r="G4" s="476"/>
    </row>
    <row r="5" spans="1:7" x14ac:dyDescent="0.25">
      <c r="A5" s="977" t="str">
        <f>'GWStmtAct 68 Exh 2'!A4</f>
        <v>For the Year Ended June 30, 2022</v>
      </c>
      <c r="B5" s="977"/>
      <c r="C5" s="977"/>
      <c r="D5" s="977"/>
      <c r="E5" s="977"/>
      <c r="F5" s="977"/>
      <c r="G5" s="476"/>
    </row>
    <row r="6" spans="1:7" x14ac:dyDescent="0.25">
      <c r="A6" s="650"/>
      <c r="B6" s="29"/>
      <c r="C6" s="29"/>
      <c r="D6" s="29"/>
      <c r="E6" s="29"/>
      <c r="F6" s="29"/>
      <c r="G6" s="476"/>
    </row>
    <row r="7" spans="1:7" x14ac:dyDescent="0.25">
      <c r="A7" s="650" t="s">
        <v>122</v>
      </c>
      <c r="B7" s="550"/>
      <c r="C7" s="550"/>
      <c r="D7" s="505"/>
      <c r="E7" s="505"/>
      <c r="F7" s="505"/>
      <c r="G7" s="476"/>
    </row>
    <row r="8" spans="1:7" ht="24" x14ac:dyDescent="0.25">
      <c r="A8" s="650"/>
      <c r="B8" s="108" t="s">
        <v>911</v>
      </c>
      <c r="C8" s="553"/>
      <c r="D8" s="108" t="s">
        <v>912</v>
      </c>
      <c r="E8" s="553"/>
      <c r="F8" s="108" t="s">
        <v>913</v>
      </c>
      <c r="G8" s="70"/>
    </row>
    <row r="9" spans="1:7" x14ac:dyDescent="0.25">
      <c r="A9" s="123" t="s">
        <v>372</v>
      </c>
      <c r="B9" s="29"/>
      <c r="C9" s="105"/>
      <c r="D9" s="29"/>
      <c r="E9" s="105"/>
      <c r="F9" s="29"/>
      <c r="G9" s="476"/>
    </row>
    <row r="10" spans="1:7" ht="15.6" customHeight="1" x14ac:dyDescent="0.25">
      <c r="A10" s="650" t="s">
        <v>916</v>
      </c>
      <c r="B10" s="111">
        <f>27854678-60578</f>
        <v>27794100</v>
      </c>
      <c r="C10" s="554"/>
      <c r="D10" s="111">
        <v>0</v>
      </c>
      <c r="E10" s="554"/>
      <c r="F10" s="111">
        <f>SUM(B10:D10)</f>
        <v>27794100</v>
      </c>
      <c r="G10" s="476"/>
    </row>
    <row r="11" spans="1:7" x14ac:dyDescent="0.25">
      <c r="A11" s="124" t="s">
        <v>380</v>
      </c>
      <c r="B11" s="113">
        <v>0</v>
      </c>
      <c r="C11" s="113"/>
      <c r="D11" s="113">
        <v>624369</v>
      </c>
      <c r="E11" s="113"/>
      <c r="F11" s="113">
        <f>SUM(B11:D11)</f>
        <v>624369</v>
      </c>
      <c r="G11" s="476"/>
    </row>
    <row r="12" spans="1:7" x14ac:dyDescent="0.25">
      <c r="A12" s="116" t="s">
        <v>381</v>
      </c>
      <c r="B12" s="119">
        <f>SUM(B10:B11)</f>
        <v>27794100</v>
      </c>
      <c r="C12" s="113"/>
      <c r="D12" s="119">
        <f>SUM(D10:D11)</f>
        <v>624369</v>
      </c>
      <c r="E12" s="113"/>
      <c r="F12" s="119">
        <f>SUM(F10:G11)</f>
        <v>28418469</v>
      </c>
      <c r="G12" s="476"/>
    </row>
    <row r="13" spans="1:7" x14ac:dyDescent="0.25">
      <c r="A13" s="650"/>
      <c r="B13" s="112"/>
      <c r="C13" s="113"/>
      <c r="D13" s="112"/>
      <c r="E13" s="113"/>
      <c r="F13" s="112"/>
      <c r="G13" s="476"/>
    </row>
    <row r="14" spans="1:7" x14ac:dyDescent="0.25">
      <c r="A14" s="123" t="s">
        <v>382</v>
      </c>
      <c r="B14" s="112"/>
      <c r="C14" s="113"/>
      <c r="D14" s="112"/>
      <c r="E14" s="113"/>
      <c r="F14" s="112"/>
      <c r="G14" s="404"/>
    </row>
    <row r="15" spans="1:7" ht="15.6" customHeight="1" x14ac:dyDescent="0.25">
      <c r="A15" s="650" t="s">
        <v>385</v>
      </c>
      <c r="B15" s="112">
        <f>27854678-69245</f>
        <v>27785433</v>
      </c>
      <c r="C15" s="113"/>
      <c r="D15" s="112">
        <v>0</v>
      </c>
      <c r="E15" s="113"/>
      <c r="F15" s="112">
        <f>SUM(B15:D15)</f>
        <v>27785433</v>
      </c>
      <c r="G15" s="404"/>
    </row>
    <row r="16" spans="1:7" x14ac:dyDescent="0.25">
      <c r="A16" s="650" t="s">
        <v>386</v>
      </c>
      <c r="B16" s="112">
        <v>0</v>
      </c>
      <c r="C16" s="113"/>
      <c r="D16" s="112">
        <v>617557</v>
      </c>
      <c r="E16" s="113"/>
      <c r="F16" s="112">
        <f>SUM(B16:D16)</f>
        <v>617557</v>
      </c>
      <c r="G16" s="404"/>
    </row>
    <row r="17" spans="1:7" x14ac:dyDescent="0.25">
      <c r="A17" s="116" t="s">
        <v>387</v>
      </c>
      <c r="B17" s="119">
        <f>SUM(B15:B16)</f>
        <v>27785433</v>
      </c>
      <c r="C17" s="113"/>
      <c r="D17" s="119">
        <f>SUM(D15:D16)</f>
        <v>617557</v>
      </c>
      <c r="E17" s="113"/>
      <c r="F17" s="119">
        <f>SUM(B17:D17)</f>
        <v>28402990</v>
      </c>
      <c r="G17" s="404"/>
    </row>
    <row r="18" spans="1:7" ht="7.2" customHeight="1" x14ac:dyDescent="0.25">
      <c r="A18" s="116"/>
      <c r="B18" s="113"/>
      <c r="C18" s="113"/>
      <c r="D18" s="113"/>
      <c r="E18" s="113"/>
      <c r="F18" s="113"/>
      <c r="G18" s="404"/>
    </row>
    <row r="19" spans="1:7" x14ac:dyDescent="0.25">
      <c r="A19" s="116" t="s">
        <v>388</v>
      </c>
      <c r="B19" s="113">
        <f>B12-B17</f>
        <v>8667</v>
      </c>
      <c r="C19" s="113"/>
      <c r="D19" s="113">
        <f>D12-D17</f>
        <v>6812</v>
      </c>
      <c r="E19" s="113"/>
      <c r="F19" s="113">
        <f>F12-F17</f>
        <v>15479</v>
      </c>
      <c r="G19" s="404"/>
    </row>
    <row r="20" spans="1:7" ht="9" customHeight="1" x14ac:dyDescent="0.25">
      <c r="A20" s="116"/>
      <c r="B20" s="113"/>
      <c r="C20" s="113"/>
      <c r="D20" s="113"/>
      <c r="E20" s="113"/>
      <c r="F20" s="113"/>
      <c r="G20" s="404"/>
    </row>
    <row r="21" spans="1:7" x14ac:dyDescent="0.25">
      <c r="A21" s="650" t="s">
        <v>105</v>
      </c>
      <c r="B21" s="112">
        <v>0</v>
      </c>
      <c r="C21" s="113"/>
      <c r="D21" s="112">
        <v>0</v>
      </c>
      <c r="E21" s="113"/>
      <c r="F21" s="112">
        <v>0</v>
      </c>
      <c r="G21" s="404"/>
    </row>
    <row r="22" spans="1:7" ht="23.4" x14ac:dyDescent="0.25">
      <c r="A22" s="116" t="s">
        <v>196</v>
      </c>
      <c r="B22" s="114">
        <v>4245334</v>
      </c>
      <c r="C22" s="113"/>
      <c r="D22" s="114">
        <v>36253</v>
      </c>
      <c r="E22" s="113"/>
      <c r="F22" s="114">
        <f>SUM(B22:D22)</f>
        <v>4281587</v>
      </c>
      <c r="G22" s="404"/>
    </row>
    <row r="23" spans="1:7" x14ac:dyDescent="0.25">
      <c r="A23" s="650" t="s">
        <v>917</v>
      </c>
      <c r="B23" s="113">
        <f>SUM(B21:B22)</f>
        <v>4245334</v>
      </c>
      <c r="C23" s="113"/>
      <c r="D23" s="113">
        <f>SUM(D21:D22)</f>
        <v>36253</v>
      </c>
      <c r="E23" s="113"/>
      <c r="F23" s="113">
        <f>SUM(F21:F22)</f>
        <v>4281587</v>
      </c>
      <c r="G23" s="404"/>
    </row>
    <row r="24" spans="1:7" ht="13.8" thickBot="1" x14ac:dyDescent="0.3">
      <c r="A24" s="650" t="s">
        <v>101</v>
      </c>
      <c r="B24" s="115">
        <f>SUM(B19:B22)</f>
        <v>4254001</v>
      </c>
      <c r="C24" s="554"/>
      <c r="D24" s="115">
        <f>SUM(D19:D22)</f>
        <v>43065</v>
      </c>
      <c r="E24" s="554"/>
      <c r="F24" s="115">
        <f>SUM(F19:F22)</f>
        <v>4297066</v>
      </c>
      <c r="G24" s="404"/>
    </row>
    <row r="25" spans="1:7" ht="13.8" thickTop="1" x14ac:dyDescent="0.25">
      <c r="A25" s="650"/>
      <c r="B25" s="29"/>
      <c r="C25" s="105"/>
      <c r="D25" s="29"/>
      <c r="E25" s="29"/>
      <c r="F25" s="29"/>
      <c r="G25" s="404"/>
    </row>
    <row r="26" spans="1:7" ht="13.8" thickBot="1" x14ac:dyDescent="0.3">
      <c r="A26" s="641"/>
      <c r="B26" s="404"/>
      <c r="C26" s="404"/>
      <c r="D26" s="404"/>
      <c r="E26" s="404"/>
      <c r="F26" s="404"/>
      <c r="G26" s="404"/>
    </row>
    <row r="27" spans="1:7" ht="53.25" customHeight="1" thickBot="1" x14ac:dyDescent="0.3">
      <c r="A27" s="1052" t="s">
        <v>914</v>
      </c>
      <c r="B27" s="1053"/>
      <c r="C27" s="1053"/>
      <c r="D27" s="1053"/>
      <c r="E27" s="1053"/>
      <c r="F27" s="1054"/>
      <c r="G27" s="476"/>
    </row>
    <row r="28" spans="1:7" ht="13.8" thickBot="1" x14ac:dyDescent="0.3">
      <c r="A28" s="641"/>
      <c r="B28" s="404"/>
      <c r="C28" s="404"/>
      <c r="D28" s="404"/>
      <c r="E28" s="404"/>
      <c r="F28" s="404"/>
      <c r="G28" s="476"/>
    </row>
    <row r="29" spans="1:7" ht="122.4" customHeight="1" thickBot="1" x14ac:dyDescent="0.3">
      <c r="A29" s="1052" t="s">
        <v>915</v>
      </c>
      <c r="B29" s="1053"/>
      <c r="C29" s="1053"/>
      <c r="D29" s="1053"/>
      <c r="E29" s="1053"/>
      <c r="F29" s="1054"/>
      <c r="G29" s="476"/>
    </row>
  </sheetData>
  <customSheetViews>
    <customSheetView guid="{A8748736-0722-49EB-85B6-C9B52DDCFE0E}">
      <selection activeCell="G52" sqref="G52"/>
      <pageMargins left="0.7" right="0.7" top="0.75" bottom="0.75" header="0.3" footer="0.3"/>
      <pageSetup orientation="portrait" verticalDpi="0" r:id="rId1"/>
    </customSheetView>
  </customSheetViews>
  <mergeCells count="6">
    <mergeCell ref="A29:F29"/>
    <mergeCell ref="A2:F2"/>
    <mergeCell ref="A3:F3"/>
    <mergeCell ref="A4:F4"/>
    <mergeCell ref="A5:F5"/>
    <mergeCell ref="A27:F27"/>
  </mergeCells>
  <pageMargins left="0.7" right="0.7" top="0.75" bottom="0.75" header="0.3" footer="0.3"/>
  <pageSetup orientation="portrait" verticalDpi="0"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2:L41"/>
  <sheetViews>
    <sheetView workbookViewId="0"/>
  </sheetViews>
  <sheetFormatPr defaultColWidth="9.109375" defaultRowHeight="13.2" x14ac:dyDescent="0.25"/>
  <cols>
    <col min="1" max="1" width="53.6640625" style="484" customWidth="1"/>
    <col min="2" max="2" width="18.88671875" style="484" customWidth="1"/>
    <col min="3" max="3" width="15.44140625" style="484" customWidth="1"/>
    <col min="4" max="4" width="14.5546875" style="484" customWidth="1"/>
    <col min="5" max="5" width="15.6640625" style="484" customWidth="1"/>
    <col min="6" max="6" width="10.6640625" style="484" hidden="1" customWidth="1"/>
    <col min="7" max="7" width="12.88671875" style="484" bestFit="1" customWidth="1"/>
    <col min="8" max="8" width="14.5546875" style="484" bestFit="1" customWidth="1"/>
    <col min="9" max="9" width="9.109375" style="484"/>
    <col min="10" max="10" width="11.88671875" style="484" bestFit="1" customWidth="1"/>
    <col min="11" max="11" width="40.33203125" style="484" customWidth="1"/>
    <col min="12" max="12" width="11.33203125" style="484" bestFit="1" customWidth="1"/>
    <col min="13" max="16384" width="9.109375" style="484"/>
  </cols>
  <sheetData>
    <row r="2" spans="1:12" x14ac:dyDescent="0.25">
      <c r="A2" s="859" t="s">
        <v>1</v>
      </c>
      <c r="B2" s="859"/>
      <c r="C2" s="859"/>
      <c r="D2" s="53"/>
      <c r="E2" s="53"/>
      <c r="F2" s="53"/>
      <c r="G2" s="53"/>
      <c r="H2" s="53"/>
      <c r="I2" s="53"/>
      <c r="J2" s="53"/>
      <c r="K2" s="53"/>
    </row>
    <row r="3" spans="1:12" x14ac:dyDescent="0.25">
      <c r="A3" s="859" t="s">
        <v>103</v>
      </c>
      <c r="B3" s="859"/>
      <c r="C3" s="859"/>
      <c r="D3" s="53"/>
      <c r="E3" s="53"/>
      <c r="F3" s="53"/>
      <c r="G3" s="53"/>
      <c r="H3" s="53"/>
      <c r="I3" s="53"/>
      <c r="J3" s="53"/>
      <c r="K3" s="53"/>
    </row>
    <row r="4" spans="1:12" x14ac:dyDescent="0.25">
      <c r="A4" s="859" t="s">
        <v>918</v>
      </c>
      <c r="B4" s="859"/>
      <c r="C4" s="859"/>
      <c r="D4" s="53"/>
      <c r="E4" s="53"/>
      <c r="F4" s="53"/>
      <c r="G4" s="53"/>
      <c r="H4" s="53"/>
      <c r="I4" s="53"/>
      <c r="J4" s="53"/>
      <c r="K4" s="53"/>
    </row>
    <row r="5" spans="1:12" x14ac:dyDescent="0.25">
      <c r="A5" s="942" t="s">
        <v>919</v>
      </c>
      <c r="B5" s="942"/>
      <c r="C5" s="942"/>
      <c r="D5" s="584"/>
      <c r="E5" s="584"/>
    </row>
    <row r="6" spans="1:12" x14ac:dyDescent="0.25">
      <c r="A6" s="1055" t="s">
        <v>3</v>
      </c>
      <c r="B6" s="1055"/>
      <c r="C6" s="1055"/>
      <c r="D6" s="584"/>
      <c r="E6" s="584"/>
    </row>
    <row r="7" spans="1:12" x14ac:dyDescent="0.25">
      <c r="A7" s="574"/>
      <c r="B7" s="574"/>
      <c r="C7" s="645"/>
      <c r="D7" s="645"/>
      <c r="E7" s="645"/>
    </row>
    <row r="8" spans="1:12" x14ac:dyDescent="0.25">
      <c r="C8" s="645"/>
      <c r="D8" s="645"/>
    </row>
    <row r="9" spans="1:12" x14ac:dyDescent="0.25">
      <c r="C9" s="582"/>
      <c r="D9" s="582"/>
      <c r="E9" s="582"/>
    </row>
    <row r="10" spans="1:12" x14ac:dyDescent="0.25">
      <c r="A10" s="381" t="s">
        <v>12</v>
      </c>
      <c r="B10" s="381"/>
    </row>
    <row r="11" spans="1:12" x14ac:dyDescent="0.25">
      <c r="A11" s="484" t="s">
        <v>13</v>
      </c>
      <c r="C11" s="412">
        <v>689522</v>
      </c>
      <c r="D11" s="413"/>
      <c r="E11" s="413"/>
      <c r="F11" s="575"/>
      <c r="H11" s="575"/>
    </row>
    <row r="12" spans="1:12" x14ac:dyDescent="0.25">
      <c r="A12" s="484" t="s">
        <v>920</v>
      </c>
      <c r="C12" s="583">
        <v>36524</v>
      </c>
      <c r="D12" s="576"/>
      <c r="E12" s="576"/>
    </row>
    <row r="13" spans="1:12" ht="13.8" thickBot="1" x14ac:dyDescent="0.3">
      <c r="A13" s="579" t="s">
        <v>27</v>
      </c>
      <c r="B13" s="579"/>
      <c r="C13" s="392">
        <f>SUM(C11:C12)</f>
        <v>726046</v>
      </c>
      <c r="D13" s="413"/>
      <c r="E13" s="413"/>
      <c r="I13" s="577"/>
      <c r="J13" s="578"/>
      <c r="K13" s="578"/>
      <c r="L13" s="52"/>
    </row>
    <row r="14" spans="1:12" ht="13.8" thickTop="1" x14ac:dyDescent="0.25">
      <c r="A14" s="579"/>
      <c r="B14" s="579"/>
      <c r="C14" s="413"/>
      <c r="D14" s="413"/>
      <c r="E14" s="413"/>
      <c r="I14" s="577"/>
      <c r="J14" s="578"/>
      <c r="K14" s="578"/>
      <c r="L14" s="52"/>
    </row>
    <row r="15" spans="1:12" x14ac:dyDescent="0.25">
      <c r="C15" s="413"/>
      <c r="D15" s="413"/>
      <c r="E15" s="413"/>
      <c r="I15" s="577"/>
      <c r="J15" s="578"/>
      <c r="K15" s="578"/>
      <c r="L15" s="52"/>
    </row>
    <row r="16" spans="1:12" x14ac:dyDescent="0.25">
      <c r="A16" s="381" t="s">
        <v>117</v>
      </c>
      <c r="B16" s="381"/>
      <c r="I16" s="577"/>
      <c r="J16" s="578"/>
      <c r="K16" s="578"/>
      <c r="L16" s="3"/>
    </row>
    <row r="17" spans="1:12" x14ac:dyDescent="0.25">
      <c r="A17" s="484" t="s">
        <v>118</v>
      </c>
      <c r="I17" s="577"/>
      <c r="J17" s="578"/>
      <c r="K17" s="578"/>
      <c r="L17" s="3"/>
    </row>
    <row r="18" spans="1:12" x14ac:dyDescent="0.25">
      <c r="A18" s="580" t="s">
        <v>119</v>
      </c>
      <c r="B18" s="580"/>
      <c r="C18" s="585">
        <v>9564</v>
      </c>
      <c r="D18" s="455"/>
      <c r="E18" s="455"/>
      <c r="I18" s="578"/>
      <c r="J18" s="577"/>
      <c r="K18" s="578"/>
      <c r="L18" s="3"/>
    </row>
    <row r="19" spans="1:12" x14ac:dyDescent="0.25">
      <c r="A19" s="581" t="s">
        <v>39</v>
      </c>
      <c r="B19" s="581"/>
      <c r="C19" s="415">
        <f>SUM(C18:C18)</f>
        <v>9564</v>
      </c>
      <c r="D19" s="394"/>
      <c r="E19" s="394"/>
      <c r="I19" s="576"/>
    </row>
    <row r="20" spans="1:12" x14ac:dyDescent="0.25">
      <c r="A20" s="484" t="s">
        <v>122</v>
      </c>
    </row>
    <row r="21" spans="1:12" x14ac:dyDescent="0.25">
      <c r="A21" s="484" t="s">
        <v>123</v>
      </c>
    </row>
    <row r="22" spans="1:12" x14ac:dyDescent="0.25">
      <c r="A22" s="579" t="s">
        <v>126</v>
      </c>
      <c r="B22" s="579"/>
      <c r="C22" s="393"/>
      <c r="D22" s="394"/>
      <c r="E22" s="394"/>
    </row>
    <row r="23" spans="1:12" x14ac:dyDescent="0.25">
      <c r="A23" s="579" t="s">
        <v>921</v>
      </c>
      <c r="B23" s="579"/>
      <c r="C23" s="393">
        <v>19958</v>
      </c>
      <c r="D23" s="394"/>
      <c r="E23" s="394"/>
    </row>
    <row r="24" spans="1:12" x14ac:dyDescent="0.25">
      <c r="A24" s="579" t="s">
        <v>674</v>
      </c>
      <c r="B24" s="579"/>
      <c r="C24" s="421">
        <v>696524</v>
      </c>
      <c r="D24" s="394"/>
      <c r="E24" s="394"/>
      <c r="G24" s="462"/>
      <c r="H24" s="575"/>
    </row>
    <row r="25" spans="1:12" x14ac:dyDescent="0.25">
      <c r="A25" s="581" t="s">
        <v>138</v>
      </c>
      <c r="B25" s="581"/>
      <c r="C25" s="415">
        <f>SUM(C22:C24)</f>
        <v>716482</v>
      </c>
      <c r="D25" s="394"/>
      <c r="E25" s="394"/>
      <c r="G25" s="576"/>
    </row>
    <row r="26" spans="1:12" ht="13.8" thickBot="1" x14ac:dyDescent="0.3">
      <c r="A26" s="561" t="s">
        <v>922</v>
      </c>
      <c r="B26" s="561"/>
      <c r="C26" s="392">
        <f>C19+C25</f>
        <v>726046</v>
      </c>
      <c r="D26" s="413"/>
    </row>
    <row r="27" spans="1:12" ht="13.8" thickTop="1" x14ac:dyDescent="0.25">
      <c r="C27" s="413"/>
      <c r="D27" s="413"/>
    </row>
    <row r="28" spans="1:12" ht="9" customHeight="1" x14ac:dyDescent="0.25"/>
    <row r="29" spans="1:12" ht="47.4" customHeight="1" x14ac:dyDescent="0.25">
      <c r="A29" s="643" t="s">
        <v>923</v>
      </c>
      <c r="B29" s="643"/>
      <c r="C29" s="641"/>
      <c r="D29" s="641"/>
    </row>
    <row r="30" spans="1:12" x14ac:dyDescent="0.25">
      <c r="A30" s="405" t="s">
        <v>924</v>
      </c>
      <c r="B30" s="405"/>
      <c r="C30" s="591">
        <f>C25</f>
        <v>716482</v>
      </c>
      <c r="D30" s="405"/>
    </row>
    <row r="32" spans="1:12" ht="43.95" customHeight="1" x14ac:dyDescent="0.25">
      <c r="A32" s="652" t="s">
        <v>925</v>
      </c>
      <c r="B32" s="652"/>
      <c r="C32" s="590">
        <v>-42565</v>
      </c>
      <c r="D32" s="646"/>
      <c r="E32" s="646"/>
    </row>
    <row r="33" spans="1:5" ht="30" customHeight="1" x14ac:dyDescent="0.25">
      <c r="A33" s="561" t="s">
        <v>926</v>
      </c>
      <c r="B33" s="561"/>
      <c r="C33" s="590">
        <v>23542</v>
      </c>
      <c r="D33" s="646"/>
    </row>
    <row r="34" spans="1:5" ht="33" customHeight="1" x14ac:dyDescent="0.25">
      <c r="A34" s="561" t="s">
        <v>927</v>
      </c>
      <c r="B34" s="561"/>
      <c r="C34" s="590">
        <v>-4572</v>
      </c>
      <c r="D34" s="646"/>
      <c r="E34" s="646"/>
    </row>
    <row r="35" spans="1:5" ht="44.4" customHeight="1" x14ac:dyDescent="0.25">
      <c r="A35" s="589" t="s">
        <v>928</v>
      </c>
      <c r="B35" s="589"/>
      <c r="C35" s="590">
        <v>-8986</v>
      </c>
      <c r="D35" s="646"/>
      <c r="E35" s="646"/>
    </row>
    <row r="36" spans="1:5" ht="6" customHeight="1" x14ac:dyDescent="0.25">
      <c r="C36" s="406"/>
    </row>
    <row r="37" spans="1:5" ht="13.8" thickBot="1" x14ac:dyDescent="0.3">
      <c r="A37" s="561" t="s">
        <v>929</v>
      </c>
      <c r="B37" s="561"/>
      <c r="C37" s="592">
        <f>SUM(C30:C36)</f>
        <v>683901</v>
      </c>
    </row>
    <row r="38" spans="1:5" ht="13.8" thickTop="1" x14ac:dyDescent="0.25">
      <c r="C38" s="406"/>
    </row>
    <row r="39" spans="1:5" x14ac:dyDescent="0.25">
      <c r="C39" s="406"/>
    </row>
    <row r="40" spans="1:5" x14ac:dyDescent="0.25">
      <c r="C40" s="406"/>
    </row>
    <row r="41" spans="1:5" x14ac:dyDescent="0.25">
      <c r="A41" s="484" t="s">
        <v>930</v>
      </c>
      <c r="C41" s="406"/>
    </row>
  </sheetData>
  <customSheetViews>
    <customSheetView guid="{A8748736-0722-49EB-85B6-C9B52DDCFE0E}" hiddenColumns="1">
      <selection activeCell="A7" sqref="A7"/>
      <pageMargins left="0.7" right="0.7" top="0.75" bottom="0.75" header="0.3" footer="0.3"/>
      <pageSetup orientation="portrait" verticalDpi="0" r:id="rId1"/>
    </customSheetView>
  </customSheetViews>
  <mergeCells count="5">
    <mergeCell ref="A2:C2"/>
    <mergeCell ref="A3:C3"/>
    <mergeCell ref="A4:C4"/>
    <mergeCell ref="A5:C5"/>
    <mergeCell ref="A6:C6"/>
  </mergeCells>
  <pageMargins left="0.7" right="0.7" top="0.75" bottom="0.75" header="0.3" footer="0.3"/>
  <pageSetup orientation="portrait" verticalDpi="0"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44"/>
  <sheetViews>
    <sheetView workbookViewId="0"/>
  </sheetViews>
  <sheetFormatPr defaultColWidth="9.109375" defaultRowHeight="13.2" x14ac:dyDescent="0.25"/>
  <cols>
    <col min="1" max="1" width="30.6640625" style="484" customWidth="1"/>
    <col min="2" max="2" width="13.44140625" style="484" customWidth="1"/>
    <col min="3" max="3" width="19.6640625" style="484" customWidth="1"/>
    <col min="4" max="4" width="18.33203125" style="484" customWidth="1"/>
    <col min="5" max="5" width="16.5546875" style="484" bestFit="1" customWidth="1"/>
    <col min="6" max="6" width="14.109375" style="484" bestFit="1" customWidth="1"/>
    <col min="7" max="16384" width="9.109375" style="484"/>
  </cols>
  <sheetData>
    <row r="1" spans="1:6" x14ac:dyDescent="0.25">
      <c r="D1" s="573"/>
    </row>
    <row r="2" spans="1:6" x14ac:dyDescent="0.25">
      <c r="A2" s="942" t="s">
        <v>1</v>
      </c>
      <c r="B2" s="942"/>
      <c r="C2" s="942"/>
      <c r="D2" s="942"/>
    </row>
    <row r="3" spans="1:6" x14ac:dyDescent="0.25">
      <c r="A3" s="942" t="s">
        <v>103</v>
      </c>
      <c r="B3" s="942"/>
      <c r="C3" s="942"/>
      <c r="D3" s="942"/>
    </row>
    <row r="4" spans="1:6" x14ac:dyDescent="0.25">
      <c r="A4" s="942" t="s">
        <v>918</v>
      </c>
      <c r="B4" s="942"/>
      <c r="C4" s="942"/>
      <c r="D4" s="942"/>
    </row>
    <row r="5" spans="1:6" x14ac:dyDescent="0.25">
      <c r="A5" s="942" t="s">
        <v>931</v>
      </c>
      <c r="B5" s="942"/>
      <c r="C5" s="942"/>
      <c r="D5" s="942"/>
    </row>
    <row r="6" spans="1:6" x14ac:dyDescent="0.25">
      <c r="A6" s="942" t="s">
        <v>102</v>
      </c>
      <c r="B6" s="942"/>
      <c r="C6" s="942"/>
      <c r="D6" s="942"/>
    </row>
    <row r="7" spans="1:6" ht="9" customHeight="1" x14ac:dyDescent="0.25">
      <c r="A7" s="645" t="s">
        <v>122</v>
      </c>
      <c r="B7" s="645"/>
      <c r="C7" s="645"/>
      <c r="D7" s="645"/>
    </row>
    <row r="8" spans="1:6" x14ac:dyDescent="0.25">
      <c r="B8" s="645"/>
      <c r="C8" s="645"/>
    </row>
    <row r="9" spans="1:6" x14ac:dyDescent="0.25">
      <c r="B9" s="582"/>
      <c r="C9" s="582"/>
      <c r="D9" s="588"/>
    </row>
    <row r="10" spans="1:6" x14ac:dyDescent="0.25">
      <c r="A10" s="381" t="s">
        <v>162</v>
      </c>
    </row>
    <row r="11" spans="1:6" x14ac:dyDescent="0.25">
      <c r="A11" s="580" t="s">
        <v>932</v>
      </c>
      <c r="B11" s="413"/>
      <c r="C11" s="413"/>
      <c r="D11" s="412">
        <v>229168</v>
      </c>
      <c r="E11" s="575"/>
    </row>
    <row r="12" spans="1:6" x14ac:dyDescent="0.25">
      <c r="A12" s="580" t="s">
        <v>169</v>
      </c>
      <c r="B12" s="394"/>
      <c r="C12" s="394"/>
      <c r="D12" s="421">
        <v>7268</v>
      </c>
    </row>
    <row r="13" spans="1:6" x14ac:dyDescent="0.25">
      <c r="A13" s="581" t="s">
        <v>171</v>
      </c>
      <c r="B13" s="394"/>
      <c r="C13" s="394"/>
      <c r="D13" s="415">
        <f>SUM(D11:D12)</f>
        <v>236436</v>
      </c>
      <c r="F13" s="576"/>
    </row>
    <row r="14" spans="1:6" x14ac:dyDescent="0.25">
      <c r="B14" s="394"/>
      <c r="C14" s="394"/>
      <c r="D14" s="393"/>
    </row>
    <row r="15" spans="1:6" x14ac:dyDescent="0.25">
      <c r="A15" s="381" t="s">
        <v>172</v>
      </c>
      <c r="B15" s="394"/>
      <c r="C15" s="394"/>
      <c r="D15" s="393"/>
    </row>
    <row r="16" spans="1:6" x14ac:dyDescent="0.25">
      <c r="A16" s="484" t="s">
        <v>173</v>
      </c>
      <c r="B16" s="394"/>
      <c r="C16" s="394"/>
      <c r="D16" s="393"/>
    </row>
    <row r="17" spans="1:8" x14ac:dyDescent="0.25">
      <c r="A17" s="580" t="s">
        <v>535</v>
      </c>
      <c r="B17" s="394"/>
      <c r="C17" s="394"/>
      <c r="D17" s="393">
        <v>96458</v>
      </c>
      <c r="E17" s="423"/>
    </row>
    <row r="18" spans="1:8" x14ac:dyDescent="0.25">
      <c r="A18" s="580" t="s">
        <v>933</v>
      </c>
      <c r="B18" s="394"/>
      <c r="C18" s="394"/>
      <c r="D18" s="393">
        <v>50000</v>
      </c>
      <c r="E18" s="423"/>
    </row>
    <row r="19" spans="1:8" x14ac:dyDescent="0.25">
      <c r="A19" s="580" t="s">
        <v>934</v>
      </c>
      <c r="B19" s="394"/>
      <c r="C19" s="394"/>
      <c r="D19" s="393">
        <f>148632-50000</f>
        <v>98632</v>
      </c>
    </row>
    <row r="20" spans="1:8" x14ac:dyDescent="0.25">
      <c r="A20" s="581" t="s">
        <v>183</v>
      </c>
      <c r="B20" s="394"/>
      <c r="C20" s="394"/>
      <c r="D20" s="415">
        <f>SUM(D17:D19)</f>
        <v>245090</v>
      </c>
      <c r="F20" s="586"/>
    </row>
    <row r="21" spans="1:8" x14ac:dyDescent="0.25">
      <c r="A21" s="587" t="s">
        <v>194</v>
      </c>
      <c r="B21" s="394"/>
      <c r="C21" s="394"/>
      <c r="D21" s="394">
        <f>+D13-D20</f>
        <v>-8654</v>
      </c>
    </row>
    <row r="22" spans="1:8" x14ac:dyDescent="0.25">
      <c r="B22" s="413"/>
      <c r="C22" s="413"/>
      <c r="D22" s="413"/>
    </row>
    <row r="23" spans="1:8" x14ac:dyDescent="0.25">
      <c r="A23" s="484" t="s">
        <v>197</v>
      </c>
      <c r="B23" s="394"/>
      <c r="C23" s="394"/>
      <c r="D23" s="394">
        <v>727136</v>
      </c>
      <c r="E23" s="462"/>
    </row>
    <row r="24" spans="1:8" ht="13.8" thickBot="1" x14ac:dyDescent="0.3">
      <c r="A24" s="484" t="s">
        <v>199</v>
      </c>
      <c r="B24" s="413"/>
      <c r="C24" s="413"/>
      <c r="D24" s="392">
        <f>D21+D23</f>
        <v>718482</v>
      </c>
      <c r="F24" s="575"/>
    </row>
    <row r="25" spans="1:8" ht="13.8" thickTop="1" x14ac:dyDescent="0.25">
      <c r="B25" s="413"/>
      <c r="C25" s="413"/>
      <c r="D25" s="444"/>
    </row>
    <row r="27" spans="1:8" x14ac:dyDescent="0.25">
      <c r="A27" s="572" t="s">
        <v>806</v>
      </c>
      <c r="B27" s="435"/>
      <c r="C27" s="435"/>
      <c r="D27" s="610"/>
      <c r="E27" s="394"/>
      <c r="F27" s="394"/>
      <c r="G27" s="394"/>
      <c r="H27" s="394"/>
    </row>
    <row r="28" spans="1:8" x14ac:dyDescent="0.25">
      <c r="A28" s="572" t="s">
        <v>807</v>
      </c>
      <c r="B28" s="404"/>
      <c r="C28" s="404"/>
      <c r="D28" s="405"/>
      <c r="E28" s="393"/>
      <c r="F28" s="393"/>
      <c r="G28" s="393"/>
      <c r="H28" s="394"/>
    </row>
    <row r="29" spans="1:8" x14ac:dyDescent="0.25">
      <c r="A29" s="404"/>
      <c r="B29" s="404"/>
      <c r="C29" s="404"/>
      <c r="D29" s="404"/>
      <c r="E29" s="404"/>
      <c r="F29" s="404"/>
      <c r="G29" s="404"/>
      <c r="H29" s="665"/>
    </row>
    <row r="30" spans="1:8" x14ac:dyDescent="0.25">
      <c r="A30" s="404" t="s">
        <v>194</v>
      </c>
      <c r="B30" s="404"/>
      <c r="C30" s="404"/>
      <c r="D30" s="412">
        <v>-8654</v>
      </c>
      <c r="E30" s="404"/>
      <c r="F30" s="404"/>
      <c r="G30" s="404"/>
      <c r="H30" s="665"/>
    </row>
    <row r="31" spans="1:8" x14ac:dyDescent="0.25">
      <c r="A31" s="404"/>
      <c r="B31" s="404"/>
      <c r="C31" s="404"/>
      <c r="D31" s="404"/>
      <c r="E31" s="404"/>
      <c r="F31" s="404"/>
      <c r="G31" s="404"/>
      <c r="H31" s="665"/>
    </row>
    <row r="32" spans="1:8" x14ac:dyDescent="0.25">
      <c r="A32" s="571" t="s">
        <v>808</v>
      </c>
      <c r="B32" s="404"/>
      <c r="C32" s="404"/>
      <c r="E32" s="404"/>
      <c r="F32" s="404"/>
      <c r="G32" s="404"/>
      <c r="H32" s="665"/>
    </row>
    <row r="33" spans="1:7" x14ac:dyDescent="0.25">
      <c r="A33" s="571" t="s">
        <v>809</v>
      </c>
      <c r="B33" s="404"/>
      <c r="D33" s="665">
        <v>16234</v>
      </c>
      <c r="E33" s="404"/>
      <c r="F33" s="404"/>
      <c r="G33" s="404"/>
    </row>
    <row r="34" spans="1:7" x14ac:dyDescent="0.25">
      <c r="A34" s="571" t="s">
        <v>810</v>
      </c>
      <c r="B34" s="404"/>
      <c r="D34" s="665">
        <v>-3459</v>
      </c>
      <c r="E34" s="404"/>
      <c r="F34" s="404"/>
      <c r="G34" s="404"/>
    </row>
    <row r="35" spans="1:7" x14ac:dyDescent="0.25">
      <c r="A35" s="571" t="s">
        <v>811</v>
      </c>
      <c r="B35" s="404"/>
      <c r="D35" s="665">
        <v>2637</v>
      </c>
      <c r="E35" s="404"/>
      <c r="F35" s="404"/>
      <c r="G35" s="404"/>
    </row>
    <row r="36" spans="1:7" x14ac:dyDescent="0.25">
      <c r="A36" s="571" t="s">
        <v>935</v>
      </c>
      <c r="B36" s="404"/>
      <c r="D36" s="665">
        <v>4489</v>
      </c>
      <c r="E36" s="404"/>
      <c r="F36" s="404"/>
      <c r="G36" s="404"/>
    </row>
    <row r="37" spans="1:7" x14ac:dyDescent="0.25">
      <c r="A37" s="571" t="s">
        <v>936</v>
      </c>
      <c r="D37" s="670">
        <f>SUM(D33:D36)</f>
        <v>19901</v>
      </c>
      <c r="E37" s="404"/>
      <c r="F37" s="404"/>
      <c r="G37" s="404"/>
    </row>
    <row r="38" spans="1:7" ht="13.8" thickBot="1" x14ac:dyDescent="0.3">
      <c r="A38" s="404" t="s">
        <v>99</v>
      </c>
      <c r="B38" s="404"/>
      <c r="C38" s="404"/>
      <c r="D38" s="673">
        <f>'TDA Budget Actual'!H33+D37</f>
        <v>11247</v>
      </c>
      <c r="E38" s="404"/>
      <c r="F38" s="404"/>
      <c r="G38" s="404"/>
    </row>
    <row r="39" spans="1:7" ht="13.8" thickTop="1" x14ac:dyDescent="0.25"/>
    <row r="44" spans="1:7" x14ac:dyDescent="0.25">
      <c r="A44" s="484" t="s">
        <v>930</v>
      </c>
    </row>
  </sheetData>
  <customSheetViews>
    <customSheetView guid="{A8748736-0722-49EB-85B6-C9B52DDCFE0E}">
      <selection activeCell="A7" sqref="A7"/>
      <pageMargins left="0.7" right="0.7" top="0.75" bottom="0.75" header="0.3" footer="0.3"/>
      <pageSetup orientation="portrait" verticalDpi="0" r:id="rId1"/>
    </customSheetView>
  </customSheetViews>
  <mergeCells count="5">
    <mergeCell ref="A2:D2"/>
    <mergeCell ref="A3:D3"/>
    <mergeCell ref="A4:D4"/>
    <mergeCell ref="A5:D5"/>
    <mergeCell ref="A6:D6"/>
  </mergeCells>
  <pageMargins left="0.7" right="0.7" top="0.75" bottom="0.75" header="0.3" footer="0.3"/>
  <pageSetup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H65"/>
  <sheetViews>
    <sheetView workbookViewId="0"/>
  </sheetViews>
  <sheetFormatPr defaultColWidth="9.109375" defaultRowHeight="13.2" x14ac:dyDescent="0.25"/>
  <cols>
    <col min="1" max="1" width="30.6640625" style="404" customWidth="1"/>
    <col min="2" max="3" width="13.44140625" style="404" customWidth="1"/>
    <col min="4" max="4" width="13.88671875" style="404" customWidth="1"/>
    <col min="5" max="5" width="14.109375" style="404" customWidth="1"/>
    <col min="6" max="6" width="16.5546875" style="404" bestFit="1" customWidth="1"/>
    <col min="7" max="7" width="16" style="423" bestFit="1" customWidth="1"/>
    <col min="8" max="16384" width="9.109375" style="404"/>
  </cols>
  <sheetData>
    <row r="1" spans="1:6" x14ac:dyDescent="0.25">
      <c r="E1" s="635" t="s">
        <v>159</v>
      </c>
    </row>
    <row r="2" spans="1:6" x14ac:dyDescent="0.25">
      <c r="A2" s="859" t="s">
        <v>1</v>
      </c>
      <c r="B2" s="859"/>
      <c r="C2" s="859"/>
      <c r="D2" s="859"/>
      <c r="E2" s="859"/>
    </row>
    <row r="3" spans="1:6" x14ac:dyDescent="0.25">
      <c r="A3" s="859" t="s">
        <v>160</v>
      </c>
      <c r="B3" s="859"/>
      <c r="C3" s="859"/>
      <c r="D3" s="859"/>
      <c r="E3" s="859"/>
    </row>
    <row r="4" spans="1:6" x14ac:dyDescent="0.25">
      <c r="A4" s="859" t="s">
        <v>111</v>
      </c>
      <c r="B4" s="859"/>
      <c r="C4" s="859"/>
      <c r="D4" s="859"/>
      <c r="E4" s="859"/>
    </row>
    <row r="5" spans="1:6" x14ac:dyDescent="0.25">
      <c r="A5" s="859" t="str">
        <f>'GWStmtAct 68 Exh 2'!A4</f>
        <v>For the Year Ended June 30, 2022</v>
      </c>
      <c r="B5" s="859"/>
      <c r="C5" s="859"/>
      <c r="D5" s="859"/>
      <c r="E5" s="859"/>
    </row>
    <row r="6" spans="1:6" ht="9" customHeight="1" x14ac:dyDescent="0.25">
      <c r="A6" s="636"/>
      <c r="B6" s="636"/>
      <c r="C6" s="836"/>
      <c r="D6" s="636"/>
      <c r="E6" s="636"/>
    </row>
    <row r="7" spans="1:6" x14ac:dyDescent="0.25">
      <c r="B7" s="857" t="s">
        <v>112</v>
      </c>
      <c r="C7" s="857"/>
      <c r="D7" s="634" t="s">
        <v>113</v>
      </c>
    </row>
    <row r="8" spans="1:6" ht="39.6" x14ac:dyDescent="0.25">
      <c r="B8" s="655" t="s">
        <v>161</v>
      </c>
      <c r="C8" s="839" t="str">
        <f>+'Balance Sheet Exh 3'!C8</f>
        <v>American Rescue Plan Fund</v>
      </c>
      <c r="D8" s="655" t="s">
        <v>115</v>
      </c>
      <c r="E8" s="655" t="s">
        <v>8</v>
      </c>
    </row>
    <row r="9" spans="1:6" x14ac:dyDescent="0.25">
      <c r="A9" s="38" t="s">
        <v>162</v>
      </c>
    </row>
    <row r="10" spans="1:6" x14ac:dyDescent="0.25">
      <c r="A10" s="404" t="s">
        <v>163</v>
      </c>
      <c r="B10" s="412">
        <f>55462297-329403</f>
        <v>55132894</v>
      </c>
      <c r="C10" s="412"/>
      <c r="D10" s="412">
        <v>20861</v>
      </c>
      <c r="E10" s="412">
        <f>SUM(B10:D10)</f>
        <v>55153755</v>
      </c>
      <c r="F10" s="430"/>
    </row>
    <row r="11" spans="1:6" x14ac:dyDescent="0.25">
      <c r="A11" s="404" t="s">
        <v>164</v>
      </c>
      <c r="B11" s="393">
        <v>12849824</v>
      </c>
      <c r="C11" s="393"/>
      <c r="D11" s="393">
        <v>376400</v>
      </c>
      <c r="E11" s="393">
        <f>SUM(B11:D11)</f>
        <v>13226224</v>
      </c>
    </row>
    <row r="12" spans="1:6" x14ac:dyDescent="0.25">
      <c r="A12" s="404" t="s">
        <v>90</v>
      </c>
      <c r="B12" s="393">
        <f>276471-46111</f>
        <v>230360</v>
      </c>
      <c r="C12" s="393"/>
      <c r="D12" s="393">
        <v>0</v>
      </c>
      <c r="E12" s="393">
        <f t="shared" ref="E12:E17" si="0">SUM(B12:D12)</f>
        <v>230360</v>
      </c>
      <c r="F12" s="430"/>
    </row>
    <row r="13" spans="1:6" x14ac:dyDescent="0.25">
      <c r="A13" s="404" t="s">
        <v>165</v>
      </c>
      <c r="B13" s="393">
        <v>145522</v>
      </c>
      <c r="C13" s="393"/>
      <c r="D13" s="393">
        <v>0</v>
      </c>
      <c r="E13" s="393">
        <f t="shared" si="0"/>
        <v>145522</v>
      </c>
    </row>
    <row r="14" spans="1:6" x14ac:dyDescent="0.25">
      <c r="A14" s="404" t="s">
        <v>166</v>
      </c>
      <c r="B14" s="393">
        <v>14057550</v>
      </c>
      <c r="C14" s="843">
        <v>440000</v>
      </c>
      <c r="D14" s="393">
        <v>1322861</v>
      </c>
      <c r="E14" s="393">
        <f t="shared" si="0"/>
        <v>15820411</v>
      </c>
      <c r="F14" s="430"/>
    </row>
    <row r="15" spans="1:6" x14ac:dyDescent="0.25">
      <c r="A15" s="404" t="s">
        <v>167</v>
      </c>
      <c r="B15" s="393">
        <f>398938+46111</f>
        <v>445049</v>
      </c>
      <c r="C15" s="393"/>
      <c r="D15" s="393">
        <v>12600</v>
      </c>
      <c r="E15" s="393">
        <f t="shared" si="0"/>
        <v>457649</v>
      </c>
    </row>
    <row r="16" spans="1:6" x14ac:dyDescent="0.25">
      <c r="A16" s="404" t="s">
        <v>168</v>
      </c>
      <c r="B16" s="615">
        <f>1144821+20605</f>
        <v>1165426</v>
      </c>
      <c r="C16" s="393"/>
      <c r="D16" s="393">
        <v>481900</v>
      </c>
      <c r="E16" s="393">
        <f t="shared" si="0"/>
        <v>1647326</v>
      </c>
    </row>
    <row r="17" spans="1:6" x14ac:dyDescent="0.25">
      <c r="A17" s="404" t="s">
        <v>169</v>
      </c>
      <c r="B17" s="393">
        <f>1511018+52679+51131</f>
        <v>1614828</v>
      </c>
      <c r="C17" s="393"/>
      <c r="D17" s="393">
        <v>52517</v>
      </c>
      <c r="E17" s="393">
        <f t="shared" si="0"/>
        <v>1667345</v>
      </c>
    </row>
    <row r="18" spans="1:6" x14ac:dyDescent="0.25">
      <c r="A18" s="404" t="s">
        <v>170</v>
      </c>
      <c r="B18" s="845">
        <f>116284+500000+16257</f>
        <v>632541</v>
      </c>
      <c r="C18" s="421"/>
      <c r="D18" s="617">
        <f>70000</f>
        <v>70000</v>
      </c>
      <c r="E18" s="421">
        <f>SUM(B18:D18)</f>
        <v>702541</v>
      </c>
    </row>
    <row r="19" spans="1:6" x14ac:dyDescent="0.25">
      <c r="A19" s="639" t="s">
        <v>171</v>
      </c>
      <c r="B19" s="415">
        <f>SUM(B10:B18)</f>
        <v>86273994</v>
      </c>
      <c r="C19" s="415">
        <f>SUM(C10:C18)</f>
        <v>440000</v>
      </c>
      <c r="D19" s="415">
        <f>SUM(D10:D18)</f>
        <v>2337139</v>
      </c>
      <c r="E19" s="415">
        <f>SUM(E10:E18)</f>
        <v>89051133</v>
      </c>
    </row>
    <row r="20" spans="1:6" x14ac:dyDescent="0.25">
      <c r="B20" s="393"/>
      <c r="C20" s="393"/>
      <c r="D20" s="393"/>
      <c r="E20" s="393"/>
    </row>
    <row r="21" spans="1:6" x14ac:dyDescent="0.25">
      <c r="A21" s="38" t="s">
        <v>172</v>
      </c>
      <c r="B21" s="393"/>
      <c r="C21" s="393"/>
      <c r="D21" s="393"/>
      <c r="E21" s="393"/>
    </row>
    <row r="22" spans="1:6" x14ac:dyDescent="0.25">
      <c r="A22" s="404" t="s">
        <v>173</v>
      </c>
      <c r="B22" s="393"/>
      <c r="C22" s="393"/>
      <c r="D22" s="393"/>
      <c r="E22" s="393"/>
    </row>
    <row r="23" spans="1:6" x14ac:dyDescent="0.25">
      <c r="A23" s="638" t="s">
        <v>70</v>
      </c>
      <c r="B23" s="615">
        <f>6264022+562674+(0.95*1001000)+3200+0.95*(43000)+(4000)+(1221075)-100000+100000+440000</f>
        <v>9486771</v>
      </c>
      <c r="C23" s="393"/>
      <c r="D23" s="393">
        <v>495177</v>
      </c>
      <c r="E23" s="393">
        <f>SUM(B23:D23)</f>
        <v>9981948</v>
      </c>
      <c r="F23" s="423"/>
    </row>
    <row r="24" spans="1:6" x14ac:dyDescent="0.25">
      <c r="A24" s="638" t="s">
        <v>44</v>
      </c>
      <c r="B24" s="615">
        <f>7032599+438+16585+941-101424+16500+300+16497+250+17279+179755</f>
        <v>7179720</v>
      </c>
      <c r="C24" s="393"/>
      <c r="D24" s="393">
        <f>76486+20177</f>
        <v>96663</v>
      </c>
      <c r="E24" s="393">
        <f t="shared" ref="E24:E31" si="1">SUM(B24:D24)</f>
        <v>7276383</v>
      </c>
    </row>
    <row r="25" spans="1:6" x14ac:dyDescent="0.25">
      <c r="A25" s="638" t="s">
        <v>71</v>
      </c>
      <c r="B25" s="393">
        <f>1138578</f>
        <v>1138578</v>
      </c>
      <c r="C25" s="393"/>
      <c r="D25" s="393">
        <v>0</v>
      </c>
      <c r="E25" s="393">
        <f t="shared" si="1"/>
        <v>1138578</v>
      </c>
    </row>
    <row r="26" spans="1:6" ht="26.4" x14ac:dyDescent="0.25">
      <c r="A26" s="638" t="s">
        <v>174</v>
      </c>
      <c r="B26" s="393">
        <v>1316929</v>
      </c>
      <c r="C26" s="393"/>
      <c r="D26" s="393">
        <v>0</v>
      </c>
      <c r="E26" s="393">
        <f t="shared" si="1"/>
        <v>1316929</v>
      </c>
    </row>
    <row r="27" spans="1:6" x14ac:dyDescent="0.25">
      <c r="A27" s="638" t="s">
        <v>73</v>
      </c>
      <c r="B27" s="393">
        <v>22419822</v>
      </c>
      <c r="C27" s="393"/>
      <c r="D27" s="393">
        <v>532637</v>
      </c>
      <c r="E27" s="393">
        <f t="shared" si="1"/>
        <v>22952459</v>
      </c>
    </row>
    <row r="28" spans="1:6" x14ac:dyDescent="0.25">
      <c r="A28" s="638" t="s">
        <v>175</v>
      </c>
      <c r="B28" s="393">
        <v>2308240</v>
      </c>
      <c r="C28" s="393"/>
      <c r="D28" s="393">
        <v>0</v>
      </c>
      <c r="E28" s="393">
        <f t="shared" si="1"/>
        <v>2308240</v>
      </c>
    </row>
    <row r="29" spans="1:6" x14ac:dyDescent="0.25">
      <c r="A29" s="638" t="s">
        <v>176</v>
      </c>
      <c r="B29" s="393"/>
      <c r="C29" s="393"/>
      <c r="D29" s="393"/>
      <c r="E29" s="393"/>
    </row>
    <row r="30" spans="1:6" x14ac:dyDescent="0.25">
      <c r="A30" s="442" t="s">
        <v>45</v>
      </c>
      <c r="B30" s="393">
        <v>41418016</v>
      </c>
      <c r="C30" s="393"/>
      <c r="D30" s="393">
        <v>0</v>
      </c>
      <c r="E30" s="393">
        <f t="shared" si="1"/>
        <v>41418016</v>
      </c>
    </row>
    <row r="31" spans="1:6" x14ac:dyDescent="0.25">
      <c r="A31" s="640" t="s">
        <v>177</v>
      </c>
      <c r="B31" s="393">
        <v>0</v>
      </c>
      <c r="C31" s="393"/>
      <c r="D31" s="393">
        <f>1846696-20177</f>
        <v>1826519</v>
      </c>
      <c r="E31" s="393">
        <f t="shared" si="1"/>
        <v>1826519</v>
      </c>
    </row>
    <row r="32" spans="1:6" x14ac:dyDescent="0.25">
      <c r="A32" s="404" t="s">
        <v>178</v>
      </c>
      <c r="B32" s="393"/>
      <c r="C32" s="393"/>
      <c r="D32" s="393"/>
      <c r="E32" s="393"/>
    </row>
    <row r="33" spans="1:8" x14ac:dyDescent="0.25">
      <c r="A33" s="639" t="s">
        <v>179</v>
      </c>
      <c r="B33" s="615">
        <f>618166-7166+18219</f>
        <v>629219</v>
      </c>
      <c r="C33" s="393"/>
      <c r="D33" s="393">
        <v>0</v>
      </c>
      <c r="E33" s="393">
        <f>SUM(B33:D33)</f>
        <v>629219</v>
      </c>
    </row>
    <row r="34" spans="1:8" x14ac:dyDescent="0.25">
      <c r="A34" s="639" t="s">
        <v>180</v>
      </c>
      <c r="B34" s="615">
        <f>692904+16360</f>
        <v>709264</v>
      </c>
      <c r="C34" s="393"/>
      <c r="D34" s="393">
        <v>0</v>
      </c>
      <c r="E34" s="393">
        <f>SUM(B34:D34)</f>
        <v>709264</v>
      </c>
    </row>
    <row r="35" spans="1:8" x14ac:dyDescent="0.25">
      <c r="A35" s="639" t="s">
        <v>181</v>
      </c>
      <c r="B35" s="393">
        <v>65000</v>
      </c>
      <c r="C35" s="393"/>
      <c r="D35" s="393">
        <v>0</v>
      </c>
      <c r="E35" s="393">
        <f>SUM(B35:D35)</f>
        <v>65000</v>
      </c>
    </row>
    <row r="36" spans="1:8" x14ac:dyDescent="0.25">
      <c r="A36" s="639" t="s">
        <v>182</v>
      </c>
      <c r="B36" s="393">
        <v>15000</v>
      </c>
      <c r="C36" s="393"/>
      <c r="D36" s="393">
        <v>0</v>
      </c>
      <c r="E36" s="393">
        <f>SUM(B36:D36)</f>
        <v>15000</v>
      </c>
      <c r="F36" s="463"/>
    </row>
    <row r="37" spans="1:8" x14ac:dyDescent="0.25">
      <c r="A37" s="428" t="s">
        <v>183</v>
      </c>
      <c r="B37" s="415">
        <f>SUM(B23:B36)</f>
        <v>86686559</v>
      </c>
      <c r="C37" s="415">
        <f>SUM(C23:C36)</f>
        <v>0</v>
      </c>
      <c r="D37" s="415">
        <f>SUM(D23:D36)</f>
        <v>2950996</v>
      </c>
      <c r="E37" s="415">
        <f>SUM(E23:E36)</f>
        <v>89637555</v>
      </c>
    </row>
    <row r="38" spans="1:8" ht="26.4" x14ac:dyDescent="0.25">
      <c r="A38" s="443" t="s">
        <v>184</v>
      </c>
      <c r="B38" s="415">
        <f>+B19-B37</f>
        <v>-412565</v>
      </c>
      <c r="C38" s="415">
        <f>+C19-C37</f>
        <v>440000</v>
      </c>
      <c r="D38" s="415">
        <f>+D19-D37</f>
        <v>-613857</v>
      </c>
      <c r="E38" s="415">
        <f>+E19-E37</f>
        <v>-586422</v>
      </c>
    </row>
    <row r="39" spans="1:8" ht="9.75" customHeight="1" x14ac:dyDescent="0.25">
      <c r="B39" s="393"/>
      <c r="C39" s="393"/>
      <c r="D39" s="393"/>
      <c r="E39" s="393"/>
    </row>
    <row r="40" spans="1:8" x14ac:dyDescent="0.25">
      <c r="A40" s="38" t="s">
        <v>185</v>
      </c>
      <c r="B40" s="393"/>
      <c r="C40" s="393"/>
      <c r="D40" s="393"/>
      <c r="E40" s="393"/>
    </row>
    <row r="41" spans="1:8" x14ac:dyDescent="0.25">
      <c r="A41" s="641" t="s">
        <v>186</v>
      </c>
      <c r="B41" s="615">
        <f>619059+440000</f>
        <v>1059059</v>
      </c>
      <c r="C41" s="393"/>
      <c r="D41" s="393">
        <f>450616+70000-250616+10000</f>
        <v>280000</v>
      </c>
      <c r="E41" s="393">
        <f t="shared" ref="E41:E47" si="2">SUM(B41:D41)</f>
        <v>1339059</v>
      </c>
    </row>
    <row r="42" spans="1:8" x14ac:dyDescent="0.25">
      <c r="A42" s="641" t="s">
        <v>187</v>
      </c>
      <c r="B42" s="843">
        <f>-520616-100000+250616</f>
        <v>-370000</v>
      </c>
      <c r="C42" s="843">
        <v>-440000</v>
      </c>
      <c r="D42" s="393">
        <f>-619059-10000</f>
        <v>-629059</v>
      </c>
      <c r="E42" s="393">
        <f t="shared" si="2"/>
        <v>-1439059</v>
      </c>
      <c r="F42" s="396"/>
      <c r="H42" s="462"/>
    </row>
    <row r="43" spans="1:8" x14ac:dyDescent="0.25">
      <c r="A43" s="641" t="s">
        <v>188</v>
      </c>
      <c r="B43" s="615">
        <v>279755</v>
      </c>
      <c r="C43" s="393"/>
      <c r="D43" s="393"/>
      <c r="E43" s="393">
        <f t="shared" si="2"/>
        <v>279755</v>
      </c>
    </row>
    <row r="44" spans="1:8" x14ac:dyDescent="0.25">
      <c r="A44" s="641" t="s">
        <v>189</v>
      </c>
      <c r="B44" s="393">
        <v>3365000</v>
      </c>
      <c r="C44" s="393"/>
      <c r="D44" s="393">
        <v>0</v>
      </c>
      <c r="E44" s="393">
        <f t="shared" si="2"/>
        <v>3365000</v>
      </c>
    </row>
    <row r="45" spans="1:8" ht="26.4" x14ac:dyDescent="0.25">
      <c r="A45" s="641" t="s">
        <v>190</v>
      </c>
      <c r="B45" s="393">
        <v>0</v>
      </c>
      <c r="C45" s="393"/>
      <c r="D45" s="393">
        <v>1200000</v>
      </c>
      <c r="E45" s="393">
        <f t="shared" si="2"/>
        <v>1200000</v>
      </c>
    </row>
    <row r="46" spans="1:8" ht="26.4" x14ac:dyDescent="0.25">
      <c r="A46" s="641" t="s">
        <v>191</v>
      </c>
      <c r="B46" s="393">
        <v>-3300000</v>
      </c>
      <c r="C46" s="393"/>
      <c r="D46" s="393">
        <v>0</v>
      </c>
      <c r="E46" s="393">
        <f t="shared" si="2"/>
        <v>-3300000</v>
      </c>
    </row>
    <row r="47" spans="1:8" x14ac:dyDescent="0.25">
      <c r="A47" s="641" t="s">
        <v>192</v>
      </c>
      <c r="B47" s="421">
        <f>28482</f>
        <v>28482</v>
      </c>
      <c r="C47" s="421"/>
      <c r="D47" s="421">
        <v>0</v>
      </c>
      <c r="E47" s="421">
        <f t="shared" si="2"/>
        <v>28482</v>
      </c>
    </row>
    <row r="48" spans="1:8" ht="26.4" x14ac:dyDescent="0.25">
      <c r="A48" s="638" t="s">
        <v>193</v>
      </c>
      <c r="B48" s="415">
        <f>SUM(B41:B47)</f>
        <v>1062296</v>
      </c>
      <c r="C48" s="415">
        <f>SUM(C41:C47)</f>
        <v>-440000</v>
      </c>
      <c r="D48" s="415">
        <f>SUM(D41:D47)</f>
        <v>850941</v>
      </c>
      <c r="E48" s="415">
        <f>SUM(E41:E47)</f>
        <v>1473237</v>
      </c>
    </row>
    <row r="49" spans="1:6" x14ac:dyDescent="0.25">
      <c r="B49" s="413"/>
      <c r="C49" s="413"/>
      <c r="D49" s="413"/>
      <c r="E49" s="413"/>
    </row>
    <row r="50" spans="1:6" x14ac:dyDescent="0.25">
      <c r="A50" s="638" t="s">
        <v>194</v>
      </c>
      <c r="B50" s="421">
        <f>+B38+B48</f>
        <v>649731</v>
      </c>
      <c r="C50" s="421">
        <f>+C38+C48</f>
        <v>0</v>
      </c>
      <c r="D50" s="421">
        <f>+D38+D48</f>
        <v>237084</v>
      </c>
      <c r="E50" s="421">
        <f>+E38+E48</f>
        <v>886815</v>
      </c>
      <c r="F50" s="433"/>
    </row>
    <row r="51" spans="1:6" ht="23.4" hidden="1" x14ac:dyDescent="0.25">
      <c r="A51" s="650" t="s">
        <v>195</v>
      </c>
      <c r="B51" s="394">
        <f>9969879-8383+731102+1500000+893676+803+25774</f>
        <v>13112851</v>
      </c>
      <c r="C51" s="394"/>
      <c r="D51" s="394">
        <f>1069725+37633+1000-731102</f>
        <v>377256</v>
      </c>
      <c r="E51" s="394">
        <f>SUM(B51:D51)</f>
        <v>13490107</v>
      </c>
      <c r="F51" s="462"/>
    </row>
    <row r="52" spans="1:6" ht="23.4" hidden="1" x14ac:dyDescent="0.25">
      <c r="A52" s="116" t="s">
        <v>196</v>
      </c>
      <c r="B52" s="421">
        <v>-36253</v>
      </c>
      <c r="C52" s="421"/>
      <c r="D52" s="421">
        <v>15715</v>
      </c>
      <c r="E52" s="421">
        <f>SUM(B52:D52)</f>
        <v>-20538</v>
      </c>
      <c r="F52" s="462"/>
    </row>
    <row r="53" spans="1:6" x14ac:dyDescent="0.25">
      <c r="A53" s="404" t="s">
        <v>197</v>
      </c>
      <c r="B53" s="618">
        <f>SUM(B51:B52)</f>
        <v>13076598</v>
      </c>
      <c r="C53" s="394">
        <v>0</v>
      </c>
      <c r="D53" s="394">
        <f>SUM(D51:D52)</f>
        <v>392971</v>
      </c>
      <c r="E53" s="394">
        <f>SUM(E51:E52)</f>
        <v>13469569</v>
      </c>
      <c r="F53" s="462"/>
    </row>
    <row r="54" spans="1:6" x14ac:dyDescent="0.25">
      <c r="A54" s="404" t="s">
        <v>198</v>
      </c>
      <c r="B54" s="394">
        <f>110558+12416</f>
        <v>122974</v>
      </c>
      <c r="C54" s="394">
        <v>0</v>
      </c>
      <c r="D54" s="394">
        <v>0</v>
      </c>
      <c r="E54" s="394">
        <f>SUM(B54:D54)</f>
        <v>122974</v>
      </c>
      <c r="F54" s="433"/>
    </row>
    <row r="55" spans="1:6" ht="13.8" thickBot="1" x14ac:dyDescent="0.3">
      <c r="A55" s="404" t="s">
        <v>199</v>
      </c>
      <c r="B55" s="392">
        <f>B50+B54+B53</f>
        <v>13849303</v>
      </c>
      <c r="C55" s="392">
        <f>C50+C54+C53</f>
        <v>0</v>
      </c>
      <c r="D55" s="392">
        <f>D50+D54+D53</f>
        <v>630055</v>
      </c>
      <c r="E55" s="392">
        <f>E50+E54+E53</f>
        <v>14479358</v>
      </c>
      <c r="F55" s="433"/>
    </row>
    <row r="56" spans="1:6" ht="13.8" thickTop="1" x14ac:dyDescent="0.25">
      <c r="B56" s="413"/>
      <c r="C56" s="413"/>
      <c r="D56" s="413"/>
      <c r="E56" s="444"/>
    </row>
    <row r="57" spans="1:6" x14ac:dyDescent="0.25">
      <c r="A57" s="404" t="str">
        <f>'GWNetPos 68 Exh 1'!A61</f>
        <v>The notes to the financial statements are an integral part of this statement.</v>
      </c>
    </row>
    <row r="58" spans="1:6" x14ac:dyDescent="0.25">
      <c r="B58" s="430">
        <f>B55-'Balance Sheet Exh 3'!B51</f>
        <v>0</v>
      </c>
      <c r="C58" s="430"/>
      <c r="D58" s="430">
        <f>D55-'Balance Sheet Exh 3'!D51</f>
        <v>0</v>
      </c>
      <c r="E58" s="430">
        <f>E55-'Balance Sheet Exh 3'!E51</f>
        <v>0</v>
      </c>
    </row>
    <row r="65" spans="2:3" x14ac:dyDescent="0.25">
      <c r="B65" s="430"/>
      <c r="C65" s="430"/>
    </row>
  </sheetData>
  <customSheetViews>
    <customSheetView guid="{A8748736-0722-49EB-85B6-C9B52DDCFE0E}" showPageBreaks="1" fitToPage="1" printArea="1" hiddenRows="1" topLeftCell="A37">
      <selection activeCell="E40" sqref="E40"/>
      <rowBreaks count="1" manualBreakCount="1">
        <brk id="56" max="16383" man="1"/>
      </rowBreaks>
      <pageMargins left="0.75" right="0.75" top="1" bottom="1" header="0.5" footer="0.5"/>
      <printOptions horizontalCentered="1"/>
      <pageSetup scale="84" firstPageNumber="33" orientation="portrait" useFirstPageNumber="1" r:id="rId1"/>
      <headerFooter alignWithMargins="0"/>
    </customSheetView>
    <customSheetView guid="{E0C60316-4586-4AAF-92CB-FA82BB1EB755}" fitToPage="1">
      <selection activeCell="B30" sqref="B30"/>
      <rowBreaks count="1" manualBreakCount="1">
        <brk id="54" max="16383" man="1"/>
      </rowBreaks>
      <pageMargins left="0" right="0" top="0" bottom="0" header="0" footer="0"/>
      <printOptions horizontalCentered="1"/>
      <pageSetup scale="83" firstPageNumber="33" orientation="portrait" useFirstPageNumber="1" r:id="rId2"/>
      <headerFooter alignWithMargins="0"/>
    </customSheetView>
  </customSheetViews>
  <mergeCells count="5">
    <mergeCell ref="A2:E2"/>
    <mergeCell ref="A3:E3"/>
    <mergeCell ref="A4:E4"/>
    <mergeCell ref="A5:E5"/>
    <mergeCell ref="B7:C7"/>
  </mergeCells>
  <phoneticPr fontId="0" type="noConversion"/>
  <printOptions horizontalCentered="1"/>
  <pageMargins left="0.75" right="0.75" top="1" bottom="1" header="0.5" footer="0.5"/>
  <pageSetup scale="84" firstPageNumber="33" orientation="portrait" useFirstPageNumber="1" r:id="rId3"/>
  <headerFooter alignWithMargins="0"/>
  <rowBreaks count="1" manualBreakCount="1">
    <brk id="56" max="16383" man="1"/>
  </row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42"/>
  <sheetViews>
    <sheetView workbookViewId="0"/>
  </sheetViews>
  <sheetFormatPr defaultColWidth="9.109375" defaultRowHeight="13.2" x14ac:dyDescent="0.25"/>
  <cols>
    <col min="1" max="1" width="1.6640625" style="35" customWidth="1"/>
    <col min="2" max="2" width="1.33203125" style="35" customWidth="1"/>
    <col min="3" max="3" width="1.88671875" style="35" customWidth="1"/>
    <col min="4" max="4" width="37.6640625" style="35" customWidth="1"/>
    <col min="5" max="5" width="13.6640625" style="35" customWidth="1"/>
    <col min="6" max="6" width="12.33203125" style="35" customWidth="1"/>
    <col min="7" max="7" width="1.88671875" style="35" customWidth="1"/>
    <col min="8" max="8" width="12.33203125" style="35" customWidth="1"/>
    <col min="9" max="9" width="1.6640625" style="35" customWidth="1"/>
    <col min="10" max="10" width="11.33203125" style="35" bestFit="1" customWidth="1"/>
    <col min="11" max="11" width="11" style="35" customWidth="1"/>
    <col min="12" max="12" width="12.88671875" style="35" bestFit="1" customWidth="1"/>
    <col min="13" max="16384" width="9.109375" style="35"/>
  </cols>
  <sheetData>
    <row r="1" spans="1:12" x14ac:dyDescent="0.25">
      <c r="A1" s="404"/>
      <c r="B1" s="404"/>
      <c r="C1" s="404"/>
      <c r="D1" s="404"/>
      <c r="E1" s="404"/>
      <c r="F1" s="404"/>
      <c r="G1" s="404"/>
      <c r="H1" s="404"/>
      <c r="I1" s="404"/>
      <c r="J1" s="370"/>
      <c r="K1" s="404"/>
      <c r="L1" s="404"/>
    </row>
    <row r="2" spans="1:12" x14ac:dyDescent="0.25">
      <c r="A2" s="859" t="s">
        <v>1</v>
      </c>
      <c r="B2" s="859"/>
      <c r="C2" s="859"/>
      <c r="D2" s="859"/>
      <c r="E2" s="859"/>
      <c r="F2" s="859"/>
      <c r="G2" s="859"/>
      <c r="H2" s="859"/>
      <c r="I2" s="859"/>
      <c r="J2" s="859"/>
      <c r="K2" s="404"/>
      <c r="L2" s="404"/>
    </row>
    <row r="3" spans="1:12" x14ac:dyDescent="0.25">
      <c r="A3" s="859" t="s">
        <v>103</v>
      </c>
      <c r="B3" s="859"/>
      <c r="C3" s="859"/>
      <c r="D3" s="859"/>
      <c r="E3" s="859"/>
      <c r="F3" s="859"/>
      <c r="G3" s="859"/>
      <c r="H3" s="859"/>
      <c r="I3" s="859"/>
      <c r="J3" s="859"/>
      <c r="K3" s="404"/>
      <c r="L3" s="404"/>
    </row>
    <row r="4" spans="1:12" x14ac:dyDescent="0.25">
      <c r="A4" s="859" t="s">
        <v>918</v>
      </c>
      <c r="B4" s="859"/>
      <c r="C4" s="859"/>
      <c r="D4" s="859"/>
      <c r="E4" s="859"/>
      <c r="F4" s="859"/>
      <c r="G4" s="859"/>
      <c r="H4" s="859"/>
      <c r="I4" s="859"/>
      <c r="J4" s="859"/>
      <c r="K4" s="404"/>
      <c r="L4" s="404"/>
    </row>
    <row r="5" spans="1:12" x14ac:dyDescent="0.25">
      <c r="A5" s="859" t="s">
        <v>937</v>
      </c>
      <c r="B5" s="859"/>
      <c r="C5" s="859"/>
      <c r="D5" s="859"/>
      <c r="E5" s="859"/>
      <c r="F5" s="859"/>
      <c r="G5" s="859"/>
      <c r="H5" s="859"/>
      <c r="I5" s="859"/>
      <c r="J5" s="859"/>
      <c r="K5" s="404"/>
      <c r="L5" s="404"/>
    </row>
    <row r="6" spans="1:12" x14ac:dyDescent="0.25">
      <c r="A6" s="859" t="s">
        <v>938</v>
      </c>
      <c r="B6" s="859"/>
      <c r="C6" s="859"/>
      <c r="D6" s="859"/>
      <c r="E6" s="859"/>
      <c r="F6" s="859"/>
      <c r="G6" s="859"/>
      <c r="H6" s="859"/>
      <c r="I6" s="859"/>
      <c r="J6" s="859"/>
      <c r="K6" s="404"/>
      <c r="L6" s="404"/>
    </row>
    <row r="7" spans="1:12" x14ac:dyDescent="0.25">
      <c r="A7" s="859" t="str">
        <f>'GWStmtAct 68 Exh 2'!A4</f>
        <v>For the Year Ended June 30, 2022</v>
      </c>
      <c r="B7" s="859"/>
      <c r="C7" s="859"/>
      <c r="D7" s="859"/>
      <c r="E7" s="859"/>
      <c r="F7" s="859"/>
      <c r="G7" s="859"/>
      <c r="H7" s="859"/>
      <c r="I7" s="859"/>
      <c r="J7" s="859"/>
      <c r="K7" s="404"/>
      <c r="L7" s="404"/>
    </row>
    <row r="8" spans="1:12" x14ac:dyDescent="0.25">
      <c r="A8" s="636"/>
      <c r="B8" s="636"/>
      <c r="C8" s="636"/>
      <c r="D8" s="636"/>
      <c r="E8" s="636"/>
      <c r="F8" s="636"/>
      <c r="G8" s="636"/>
      <c r="H8" s="636"/>
      <c r="I8" s="636"/>
      <c r="J8" s="636"/>
      <c r="K8" s="404"/>
      <c r="L8" s="404"/>
    </row>
    <row r="9" spans="1:12" x14ac:dyDescent="0.25">
      <c r="A9" s="394"/>
      <c r="B9" s="393"/>
      <c r="C9" s="393"/>
      <c r="D9" s="393" t="s">
        <v>122</v>
      </c>
      <c r="E9" s="393"/>
      <c r="F9" s="393"/>
      <c r="G9" s="393"/>
      <c r="H9" s="393"/>
      <c r="I9" s="393"/>
      <c r="J9" s="404"/>
      <c r="K9" s="404"/>
      <c r="L9" s="404"/>
    </row>
    <row r="10" spans="1:12" x14ac:dyDescent="0.25">
      <c r="A10" s="394"/>
      <c r="B10" s="393"/>
      <c r="C10" s="393"/>
      <c r="D10" s="393"/>
      <c r="E10" s="393"/>
      <c r="F10" s="393"/>
      <c r="G10" s="393"/>
      <c r="H10" s="393"/>
      <c r="I10" s="393"/>
      <c r="J10" s="661" t="s">
        <v>215</v>
      </c>
      <c r="K10" s="404"/>
      <c r="L10" s="404"/>
    </row>
    <row r="11" spans="1:12" x14ac:dyDescent="0.25">
      <c r="A11" s="394"/>
      <c r="B11" s="393"/>
      <c r="C11" s="393"/>
      <c r="D11" s="393"/>
      <c r="E11" s="607" t="s">
        <v>217</v>
      </c>
      <c r="F11" s="661" t="s">
        <v>218</v>
      </c>
      <c r="G11" s="661"/>
      <c r="H11" s="393"/>
      <c r="I11" s="393"/>
      <c r="J11" s="661" t="s">
        <v>219</v>
      </c>
      <c r="K11" s="404"/>
      <c r="L11" s="404"/>
    </row>
    <row r="12" spans="1:12" x14ac:dyDescent="0.25">
      <c r="A12" s="393"/>
      <c r="B12" s="522" t="s">
        <v>122</v>
      </c>
      <c r="C12" s="393"/>
      <c r="D12" s="393"/>
      <c r="E12" s="608" t="s">
        <v>220</v>
      </c>
      <c r="F12" s="662" t="s">
        <v>220</v>
      </c>
      <c r="G12" s="607"/>
      <c r="H12" s="608" t="s">
        <v>221</v>
      </c>
      <c r="I12" s="608"/>
      <c r="J12" s="608" t="s">
        <v>222</v>
      </c>
      <c r="K12" s="404"/>
      <c r="L12" s="404"/>
    </row>
    <row r="13" spans="1:12" ht="3.75" customHeight="1" x14ac:dyDescent="0.25">
      <c r="A13" s="393"/>
      <c r="B13" s="393"/>
      <c r="C13" s="393"/>
      <c r="D13" s="393"/>
      <c r="E13" s="394"/>
      <c r="F13" s="393"/>
      <c r="G13" s="393"/>
      <c r="H13" s="393"/>
      <c r="I13" s="393"/>
      <c r="J13" s="393"/>
      <c r="K13" s="404"/>
      <c r="L13" s="404"/>
    </row>
    <row r="14" spans="1:12" x14ac:dyDescent="0.25">
      <c r="A14" s="522" t="s">
        <v>223</v>
      </c>
      <c r="B14" s="393"/>
      <c r="C14" s="393"/>
      <c r="D14" s="393"/>
      <c r="E14" s="394"/>
      <c r="F14" s="393"/>
      <c r="G14" s="393"/>
      <c r="H14" s="393"/>
      <c r="I14" s="393"/>
      <c r="J14" s="393"/>
      <c r="K14" s="404"/>
      <c r="L14" s="404"/>
    </row>
    <row r="15" spans="1:12" x14ac:dyDescent="0.25">
      <c r="A15" s="393"/>
      <c r="B15" s="522" t="s">
        <v>932</v>
      </c>
      <c r="C15" s="393"/>
      <c r="D15" s="393"/>
      <c r="E15" s="663">
        <v>224000</v>
      </c>
      <c r="F15" s="663">
        <v>228000</v>
      </c>
      <c r="G15" s="663"/>
      <c r="H15" s="664">
        <v>229168</v>
      </c>
      <c r="I15" s="664"/>
      <c r="J15" s="664">
        <f>H15-F15</f>
        <v>1168</v>
      </c>
      <c r="K15" s="430"/>
      <c r="L15" s="430"/>
    </row>
    <row r="16" spans="1:12" x14ac:dyDescent="0.25">
      <c r="A16" s="393"/>
      <c r="B16" s="522" t="s">
        <v>169</v>
      </c>
      <c r="C16" s="393"/>
      <c r="D16" s="393"/>
      <c r="E16" s="668">
        <v>7000</v>
      </c>
      <c r="F16" s="668">
        <v>7000</v>
      </c>
      <c r="G16" s="666"/>
      <c r="H16" s="672">
        <v>7268</v>
      </c>
      <c r="I16" s="666"/>
      <c r="J16" s="666">
        <f>H16-F16</f>
        <v>268</v>
      </c>
      <c r="K16" s="430"/>
      <c r="L16" s="404"/>
    </row>
    <row r="17" spans="1:12" x14ac:dyDescent="0.25">
      <c r="A17" s="393"/>
      <c r="B17" s="393"/>
      <c r="C17" s="393"/>
      <c r="D17" s="522" t="s">
        <v>171</v>
      </c>
      <c r="E17" s="668">
        <f>SUM(E15:E16)</f>
        <v>231000</v>
      </c>
      <c r="F17" s="668">
        <f>SUM(F15:F16)</f>
        <v>235000</v>
      </c>
      <c r="G17" s="666"/>
      <c r="H17" s="670">
        <f>SUM(H15:H16)</f>
        <v>236436</v>
      </c>
      <c r="I17" s="670"/>
      <c r="J17" s="670">
        <f>SUM(J15:J16)</f>
        <v>1436</v>
      </c>
      <c r="K17" s="430"/>
      <c r="L17" s="396"/>
    </row>
    <row r="18" spans="1:12" ht="5.25" customHeight="1" x14ac:dyDescent="0.25">
      <c r="A18" s="393"/>
      <c r="B18" s="393"/>
      <c r="C18" s="393"/>
      <c r="D18" s="393"/>
      <c r="E18" s="665"/>
      <c r="F18" s="665"/>
      <c r="G18" s="665"/>
      <c r="H18" s="665"/>
      <c r="I18" s="665"/>
      <c r="J18" s="665"/>
      <c r="K18" s="430"/>
      <c r="L18" s="404"/>
    </row>
    <row r="19" spans="1:12" x14ac:dyDescent="0.25">
      <c r="A19" s="522" t="s">
        <v>224</v>
      </c>
      <c r="B19" s="393"/>
      <c r="C19" s="393"/>
      <c r="D19" s="393"/>
      <c r="E19" s="665"/>
      <c r="F19" s="665"/>
      <c r="G19" s="665"/>
      <c r="H19" s="665"/>
      <c r="I19" s="665"/>
      <c r="J19" s="665"/>
      <c r="K19" s="430"/>
      <c r="L19" s="404"/>
    </row>
    <row r="20" spans="1:12" ht="10.5" customHeight="1" x14ac:dyDescent="0.25">
      <c r="A20" s="393"/>
      <c r="B20" s="522" t="s">
        <v>173</v>
      </c>
      <c r="C20" s="393"/>
      <c r="D20" s="393"/>
      <c r="E20" s="665"/>
      <c r="F20" s="665"/>
      <c r="G20" s="665"/>
      <c r="H20" s="665"/>
      <c r="I20" s="665"/>
      <c r="J20" s="665"/>
      <c r="K20" s="430"/>
      <c r="L20" s="404"/>
    </row>
    <row r="21" spans="1:12" x14ac:dyDescent="0.25">
      <c r="A21" s="393"/>
      <c r="B21" s="393"/>
      <c r="C21" s="522" t="s">
        <v>535</v>
      </c>
      <c r="D21" s="393"/>
      <c r="E21" s="665">
        <v>100000</v>
      </c>
      <c r="F21" s="665">
        <v>100000</v>
      </c>
      <c r="G21" s="665"/>
      <c r="H21" s="665">
        <v>96458</v>
      </c>
      <c r="I21" s="665"/>
      <c r="J21" s="665">
        <f>F21-H21</f>
        <v>3542</v>
      </c>
      <c r="K21" s="430"/>
      <c r="L21" s="396"/>
    </row>
    <row r="22" spans="1:12" x14ac:dyDescent="0.25">
      <c r="A22" s="393"/>
      <c r="B22" s="393"/>
      <c r="C22" s="522" t="s">
        <v>933</v>
      </c>
      <c r="D22" s="393"/>
      <c r="E22" s="665">
        <v>50000</v>
      </c>
      <c r="F22" s="665">
        <v>50000</v>
      </c>
      <c r="G22" s="665"/>
      <c r="H22" s="665">
        <v>50000</v>
      </c>
      <c r="I22" s="665"/>
      <c r="J22" s="665">
        <f>F22-H22</f>
        <v>0</v>
      </c>
      <c r="K22" s="430"/>
      <c r="L22" s="396"/>
    </row>
    <row r="23" spans="1:12" x14ac:dyDescent="0.25">
      <c r="A23" s="393"/>
      <c r="B23" s="393"/>
      <c r="C23" s="522" t="s">
        <v>934</v>
      </c>
      <c r="D23" s="393"/>
      <c r="E23" s="672">
        <v>89000</v>
      </c>
      <c r="F23" s="672">
        <v>100000</v>
      </c>
      <c r="G23" s="672"/>
      <c r="H23" s="672">
        <f>148632-50000</f>
        <v>98632</v>
      </c>
      <c r="I23" s="666"/>
      <c r="J23" s="665">
        <f>F23-H23</f>
        <v>1368</v>
      </c>
      <c r="K23" s="430"/>
      <c r="L23" s="462"/>
    </row>
    <row r="24" spans="1:12" x14ac:dyDescent="0.25">
      <c r="A24" s="393"/>
      <c r="B24" s="393"/>
      <c r="C24" s="393"/>
      <c r="D24" s="522" t="s">
        <v>183</v>
      </c>
      <c r="E24" s="668">
        <f>SUM(E21:E23)</f>
        <v>239000</v>
      </c>
      <c r="F24" s="668">
        <f>SUM(F21:F23)</f>
        <v>250000</v>
      </c>
      <c r="G24" s="666"/>
      <c r="H24" s="670">
        <f>SUM(H21:H23)</f>
        <v>245090</v>
      </c>
      <c r="I24" s="670"/>
      <c r="J24" s="670">
        <f>F24-H24</f>
        <v>4910</v>
      </c>
      <c r="K24" s="430"/>
      <c r="L24" s="404"/>
    </row>
    <row r="25" spans="1:12" ht="8.25" customHeight="1" x14ac:dyDescent="0.25">
      <c r="A25" s="393"/>
      <c r="B25" s="393"/>
      <c r="C25" s="393"/>
      <c r="D25" s="393"/>
      <c r="E25" s="665"/>
      <c r="F25" s="665"/>
      <c r="G25" s="665"/>
      <c r="H25" s="665"/>
      <c r="I25" s="665"/>
      <c r="J25" s="665"/>
      <c r="K25" s="430"/>
      <c r="L25" s="404"/>
    </row>
    <row r="26" spans="1:12" x14ac:dyDescent="0.25">
      <c r="A26" s="522" t="s">
        <v>227</v>
      </c>
      <c r="B26" s="393"/>
      <c r="C26" s="393"/>
      <c r="D26" s="393"/>
      <c r="E26" s="668">
        <f>E17-E24</f>
        <v>-8000</v>
      </c>
      <c r="F26" s="668">
        <f>F17-F24</f>
        <v>-15000</v>
      </c>
      <c r="G26" s="666"/>
      <c r="H26" s="672">
        <f>H17-H24</f>
        <v>-8654</v>
      </c>
      <c r="I26" s="672"/>
      <c r="J26" s="672">
        <f>J24+J17</f>
        <v>6346</v>
      </c>
      <c r="K26" s="430"/>
      <c r="L26" s="404"/>
    </row>
    <row r="27" spans="1:12" ht="4.5" customHeight="1" x14ac:dyDescent="0.25">
      <c r="A27" s="393"/>
      <c r="B27" s="393"/>
      <c r="C27" s="393"/>
      <c r="D27" s="393"/>
      <c r="E27" s="665"/>
      <c r="F27" s="665"/>
      <c r="G27" s="665"/>
      <c r="H27" s="665"/>
      <c r="I27" s="665"/>
      <c r="J27" s="665"/>
      <c r="K27" s="430"/>
      <c r="L27" s="404"/>
    </row>
    <row r="28" spans="1:12" x14ac:dyDescent="0.25">
      <c r="A28" s="522" t="s">
        <v>228</v>
      </c>
      <c r="B28" s="393"/>
      <c r="C28" s="393"/>
      <c r="D28" s="393"/>
      <c r="E28" s="665"/>
      <c r="F28" s="665"/>
      <c r="G28" s="665"/>
      <c r="H28" s="665"/>
      <c r="I28" s="665"/>
      <c r="J28" s="665"/>
      <c r="K28" s="430"/>
      <c r="L28" s="404"/>
    </row>
    <row r="29" spans="1:12" x14ac:dyDescent="0.25">
      <c r="A29" s="393"/>
      <c r="B29" s="522" t="s">
        <v>641</v>
      </c>
      <c r="C29" s="393"/>
      <c r="D29" s="393"/>
      <c r="E29" s="665">
        <v>8000</v>
      </c>
      <c r="F29" s="665">
        <v>15000</v>
      </c>
      <c r="G29" s="665"/>
      <c r="H29" s="666">
        <v>0</v>
      </c>
      <c r="I29" s="666"/>
      <c r="J29" s="665">
        <f>-F29+H29</f>
        <v>-15000</v>
      </c>
      <c r="K29" s="430"/>
      <c r="L29" s="404"/>
    </row>
    <row r="30" spans="1:12" x14ac:dyDescent="0.25">
      <c r="A30" s="393"/>
      <c r="B30" s="393"/>
      <c r="C30" s="393"/>
      <c r="D30" s="522" t="s">
        <v>230</v>
      </c>
      <c r="E30" s="670">
        <f>SUM((E29:E29))</f>
        <v>8000</v>
      </c>
      <c r="F30" s="670">
        <f>SUM((F29:F29))</f>
        <v>15000</v>
      </c>
      <c r="G30" s="666"/>
      <c r="H30" s="666">
        <f>SUM(H29:H29)</f>
        <v>0</v>
      </c>
      <c r="I30" s="666"/>
      <c r="J30" s="670">
        <f>SUM(J29:J29)</f>
        <v>-15000</v>
      </c>
      <c r="K30" s="430"/>
      <c r="L30" s="404"/>
    </row>
    <row r="31" spans="1:12" ht="3.75" customHeight="1" x14ac:dyDescent="0.25">
      <c r="A31" s="404"/>
      <c r="B31" s="404"/>
      <c r="C31" s="404"/>
      <c r="D31" s="404"/>
      <c r="E31" s="404"/>
      <c r="F31" s="404"/>
      <c r="G31" s="404"/>
      <c r="H31" s="435"/>
      <c r="I31" s="435"/>
      <c r="J31" s="404"/>
      <c r="K31" s="430"/>
      <c r="L31" s="404"/>
    </row>
    <row r="32" spans="1:12" x14ac:dyDescent="0.25">
      <c r="A32" s="637" t="s">
        <v>939</v>
      </c>
      <c r="B32" s="404"/>
      <c r="C32" s="404"/>
      <c r="D32" s="404"/>
      <c r="E32" s="404"/>
      <c r="F32" s="404"/>
      <c r="G32" s="404"/>
      <c r="H32" s="404"/>
      <c r="I32" s="404"/>
      <c r="J32" s="404"/>
      <c r="K32" s="430"/>
      <c r="L32" s="404"/>
    </row>
    <row r="33" spans="1:11" ht="13.8" thickBot="1" x14ac:dyDescent="0.3">
      <c r="A33" s="404"/>
      <c r="B33" s="404" t="s">
        <v>940</v>
      </c>
      <c r="C33" s="404"/>
      <c r="D33" s="404"/>
      <c r="E33" s="673">
        <f>E30+E26</f>
        <v>0</v>
      </c>
      <c r="F33" s="673">
        <f>F30+F26</f>
        <v>0</v>
      </c>
      <c r="G33" s="734"/>
      <c r="H33" s="665">
        <f>H30+H26</f>
        <v>-8654</v>
      </c>
      <c r="I33" s="665"/>
      <c r="J33" s="673">
        <f>J30+J26</f>
        <v>-8654</v>
      </c>
      <c r="K33" s="404"/>
    </row>
    <row r="34" spans="1:11" ht="13.8" thickTop="1" x14ac:dyDescent="0.25">
      <c r="A34" s="404"/>
      <c r="B34" s="404"/>
      <c r="C34" s="404"/>
      <c r="D34" s="405"/>
      <c r="E34" s="393"/>
      <c r="F34" s="393"/>
      <c r="G34" s="393"/>
      <c r="H34" s="393"/>
      <c r="I34" s="393"/>
      <c r="J34" s="404"/>
      <c r="K34" s="404"/>
    </row>
    <row r="35" spans="1:11" x14ac:dyDescent="0.25">
      <c r="A35" s="404"/>
      <c r="B35" s="435"/>
      <c r="C35" s="435"/>
      <c r="D35" s="610"/>
      <c r="E35" s="394"/>
      <c r="F35" s="394"/>
      <c r="G35" s="394"/>
      <c r="H35" s="394"/>
      <c r="I35" s="394"/>
      <c r="J35" s="404"/>
      <c r="K35" s="404"/>
    </row>
    <row r="36" spans="1:11" ht="15.75" customHeight="1" x14ac:dyDescent="0.25">
      <c r="A36" s="637" t="s">
        <v>644</v>
      </c>
      <c r="B36" s="167"/>
      <c r="C36" s="165"/>
      <c r="D36" s="165"/>
      <c r="E36" s="169"/>
      <c r="F36" s="140"/>
      <c r="G36" s="404"/>
      <c r="H36" s="394">
        <v>727136</v>
      </c>
      <c r="I36" s="394"/>
      <c r="J36" s="404"/>
      <c r="K36" s="396"/>
    </row>
    <row r="37" spans="1:11" ht="15.75" customHeight="1" thickBot="1" x14ac:dyDescent="0.3">
      <c r="A37" s="637" t="s">
        <v>634</v>
      </c>
      <c r="B37" s="167"/>
      <c r="C37" s="165"/>
      <c r="D37" s="165"/>
      <c r="E37" s="169"/>
      <c r="F37" s="140"/>
      <c r="G37" s="404"/>
      <c r="H37" s="392">
        <f>H33+H36</f>
        <v>718482</v>
      </c>
      <c r="I37" s="394"/>
      <c r="J37" s="404"/>
      <c r="K37" s="404"/>
    </row>
    <row r="38" spans="1:11" ht="13.5" customHeight="1" thickTop="1" x14ac:dyDescent="0.25">
      <c r="A38" s="404"/>
      <c r="B38" s="404"/>
      <c r="C38" s="404"/>
      <c r="D38" s="404"/>
      <c r="E38" s="404"/>
      <c r="F38" s="404"/>
      <c r="G38" s="404"/>
      <c r="H38" s="404"/>
      <c r="I38" s="404"/>
      <c r="J38" s="404"/>
      <c r="K38" s="404"/>
    </row>
    <row r="42" spans="1:11" x14ac:dyDescent="0.25">
      <c r="A42" s="484" t="s">
        <v>930</v>
      </c>
      <c r="B42" s="404"/>
      <c r="C42" s="404"/>
      <c r="D42" s="404"/>
      <c r="E42" s="404"/>
      <c r="F42" s="404"/>
      <c r="G42" s="404"/>
      <c r="H42" s="404"/>
      <c r="I42" s="404"/>
      <c r="J42" s="404"/>
      <c r="K42" s="404"/>
    </row>
  </sheetData>
  <customSheetViews>
    <customSheetView guid="{A8748736-0722-49EB-85B6-C9B52DDCFE0E}" showPageBreaks="1" printArea="1">
      <selection activeCell="J40" sqref="J40"/>
      <pageMargins left="0.75" right="0.75" top="1" bottom="1" header="0.5" footer="0.5"/>
      <printOptions horizontalCentered="1"/>
      <pageSetup scale="83" firstPageNumber="32" fitToHeight="0" orientation="portrait" useFirstPageNumber="1" r:id="rId1"/>
      <headerFooter alignWithMargins="0"/>
    </customSheetView>
  </customSheetViews>
  <mergeCells count="6">
    <mergeCell ref="A2:J2"/>
    <mergeCell ref="A3:J3"/>
    <mergeCell ref="A4:J4"/>
    <mergeCell ref="A5:J5"/>
    <mergeCell ref="A7:J7"/>
    <mergeCell ref="A6:J6"/>
  </mergeCells>
  <printOptions horizontalCentered="1"/>
  <pageMargins left="0.75" right="0.75" top="1" bottom="1" header="0.5" footer="0.5"/>
  <pageSetup scale="83" firstPageNumber="32" fitToHeight="0" orientation="portrait" useFirstPageNumber="1" r:id="rId2"/>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ransitionEvaluation="1">
    <tabColor theme="0" tint="-0.14999847407452621"/>
  </sheetPr>
  <dimension ref="A1:Q62"/>
  <sheetViews>
    <sheetView workbookViewId="0"/>
  </sheetViews>
  <sheetFormatPr defaultColWidth="8.44140625" defaultRowHeight="13.2" x14ac:dyDescent="0.25"/>
  <cols>
    <col min="1" max="1" width="11.5546875" style="298" customWidth="1"/>
    <col min="2" max="2" width="6.109375" style="298" customWidth="1"/>
    <col min="3" max="3" width="16.33203125" style="298" customWidth="1"/>
    <col min="4" max="4" width="5" style="298" customWidth="1"/>
    <col min="5" max="5" width="12.33203125" style="298" customWidth="1"/>
    <col min="6" max="6" width="5" style="298" customWidth="1"/>
    <col min="7" max="7" width="14.109375" style="298" customWidth="1"/>
    <col min="8" max="8" width="5" style="298" customWidth="1"/>
    <col min="9" max="9" width="17.5546875" style="298" customWidth="1"/>
    <col min="10" max="10" width="3.109375" style="298" bestFit="1" customWidth="1"/>
    <col min="11" max="16384" width="8.44140625" style="298"/>
  </cols>
  <sheetData>
    <row r="1" spans="1:13" x14ac:dyDescent="0.25">
      <c r="A1" s="297" t="s">
        <v>1</v>
      </c>
      <c r="B1" s="735"/>
      <c r="C1" s="735"/>
      <c r="D1" s="735"/>
      <c r="E1" s="735"/>
      <c r="F1" s="735"/>
      <c r="G1" s="735"/>
      <c r="H1" s="735"/>
      <c r="I1" s="735"/>
      <c r="J1" s="409"/>
      <c r="K1" s="409"/>
      <c r="L1" s="409"/>
      <c r="M1" s="409"/>
    </row>
    <row r="2" spans="1:13" x14ac:dyDescent="0.25">
      <c r="A2" s="297" t="s">
        <v>161</v>
      </c>
      <c r="B2" s="735"/>
      <c r="C2" s="735"/>
      <c r="D2" s="735"/>
      <c r="E2" s="735"/>
      <c r="F2" s="735"/>
      <c r="G2" s="735"/>
      <c r="H2" s="735"/>
      <c r="I2" s="735"/>
      <c r="J2" s="409"/>
      <c r="K2" s="409"/>
      <c r="L2" s="409"/>
      <c r="M2" s="409"/>
    </row>
    <row r="3" spans="1:13" x14ac:dyDescent="0.25">
      <c r="A3" s="297" t="s">
        <v>941</v>
      </c>
      <c r="B3" s="735"/>
      <c r="C3" s="735"/>
      <c r="D3" s="735"/>
      <c r="E3" s="735"/>
      <c r="F3" s="735"/>
      <c r="G3" s="735"/>
      <c r="H3" s="735"/>
      <c r="I3" s="735"/>
      <c r="J3" s="409"/>
      <c r="K3" s="409"/>
      <c r="L3" s="409"/>
      <c r="M3" s="409"/>
    </row>
    <row r="4" spans="1:13" x14ac:dyDescent="0.25">
      <c r="A4" s="299" t="str">
        <f>'GWStmtAct 68 Exh 2'!A4</f>
        <v>For the Year Ended June 30, 2022</v>
      </c>
      <c r="B4" s="735"/>
      <c r="C4" s="735"/>
      <c r="D4" s="735"/>
      <c r="E4" s="735"/>
      <c r="F4" s="735"/>
      <c r="G4" s="735"/>
      <c r="H4" s="735"/>
      <c r="I4" s="735"/>
      <c r="J4" s="409"/>
      <c r="K4" s="409"/>
      <c r="L4" s="409"/>
      <c r="M4" s="409"/>
    </row>
    <row r="5" spans="1:13" ht="13.8" thickBot="1" x14ac:dyDescent="0.3">
      <c r="A5" s="736"/>
      <c r="B5" s="736"/>
      <c r="C5" s="736"/>
      <c r="D5" s="736"/>
      <c r="E5" s="736"/>
      <c r="F5" s="736"/>
      <c r="G5" s="736"/>
      <c r="H5" s="736"/>
      <c r="I5" s="736"/>
      <c r="J5" s="409"/>
      <c r="K5" s="409"/>
      <c r="L5" s="409"/>
      <c r="M5" s="409"/>
    </row>
    <row r="6" spans="1:13" x14ac:dyDescent="0.25">
      <c r="A6" s="409"/>
      <c r="B6" s="409"/>
      <c r="C6" s="737" t="s">
        <v>942</v>
      </c>
      <c r="D6" s="409"/>
      <c r="E6" s="409"/>
      <c r="F6" s="409"/>
      <c r="G6" s="409"/>
      <c r="H6" s="409"/>
      <c r="I6" s="737" t="s">
        <v>942</v>
      </c>
      <c r="J6" s="409"/>
      <c r="K6" s="409"/>
      <c r="L6" s="409"/>
      <c r="M6" s="409"/>
    </row>
    <row r="7" spans="1:13" x14ac:dyDescent="0.25">
      <c r="A7" s="409"/>
      <c r="B7" s="409"/>
      <c r="C7" s="737" t="s">
        <v>943</v>
      </c>
      <c r="D7" s="409"/>
      <c r="E7" s="409"/>
      <c r="F7" s="409"/>
      <c r="G7" s="737" t="s">
        <v>944</v>
      </c>
      <c r="H7" s="409"/>
      <c r="I7" s="737" t="s">
        <v>945</v>
      </c>
      <c r="J7" s="409"/>
      <c r="K7" s="409"/>
      <c r="L7" s="409"/>
      <c r="M7" s="409"/>
    </row>
    <row r="8" spans="1:13" x14ac:dyDescent="0.25">
      <c r="A8" s="738" t="s">
        <v>946</v>
      </c>
      <c r="B8" s="409"/>
      <c r="C8" s="739" t="s">
        <v>947</v>
      </c>
      <c r="D8" s="409"/>
      <c r="E8" s="740" t="s">
        <v>948</v>
      </c>
      <c r="F8" s="409"/>
      <c r="G8" s="740" t="s">
        <v>949</v>
      </c>
      <c r="H8" s="409"/>
      <c r="I8" s="739" t="s">
        <v>947</v>
      </c>
      <c r="J8" s="409"/>
      <c r="K8" s="409"/>
      <c r="L8" s="409"/>
      <c r="M8" s="409"/>
    </row>
    <row r="10" spans="1:13" x14ac:dyDescent="0.25">
      <c r="A10" s="409" t="s">
        <v>1117</v>
      </c>
      <c r="B10" s="409"/>
      <c r="C10" s="741">
        <v>0</v>
      </c>
      <c r="D10" s="742"/>
      <c r="E10" s="743">
        <f>AnalysisTxLevy!H28</f>
        <v>55744895.582999997</v>
      </c>
      <c r="F10" s="744" t="s">
        <v>951</v>
      </c>
      <c r="G10" s="742">
        <f>54590736-2</f>
        <v>54590734</v>
      </c>
      <c r="H10" s="744" t="s">
        <v>952</v>
      </c>
      <c r="I10" s="742">
        <f>+C10+E10-G10-1</f>
        <v>1154160.5829999968</v>
      </c>
      <c r="J10" s="745" t="s">
        <v>953</v>
      </c>
      <c r="K10" s="746"/>
      <c r="L10" s="409"/>
      <c r="M10" s="409"/>
    </row>
    <row r="11" spans="1:13" x14ac:dyDescent="0.25">
      <c r="A11" s="409" t="s">
        <v>950</v>
      </c>
      <c r="B11" s="409"/>
      <c r="C11" s="746">
        <f>1507284-19979+112118</f>
        <v>1599423</v>
      </c>
      <c r="D11" s="746"/>
      <c r="E11" s="747">
        <v>0</v>
      </c>
      <c r="F11" s="746"/>
      <c r="G11" s="746">
        <v>779895</v>
      </c>
      <c r="H11" s="746"/>
      <c r="I11" s="746">
        <f>+C11+E11-G11</f>
        <v>819528</v>
      </c>
      <c r="J11" s="746"/>
      <c r="K11" s="746"/>
      <c r="L11" s="409"/>
      <c r="M11" s="409"/>
    </row>
    <row r="12" spans="1:13" x14ac:dyDescent="0.25">
      <c r="A12" s="409" t="s">
        <v>954</v>
      </c>
      <c r="B12" s="409"/>
      <c r="C12" s="746">
        <f>748517+84348</f>
        <v>832865</v>
      </c>
      <c r="D12" s="746"/>
      <c r="E12" s="747">
        <v>0</v>
      </c>
      <c r="F12" s="746"/>
      <c r="G12" s="746">
        <v>307414</v>
      </c>
      <c r="H12" s="746"/>
      <c r="I12" s="746">
        <f t="shared" ref="I12:I18" si="0">+C12+E12-G12</f>
        <v>525451</v>
      </c>
      <c r="J12" s="746"/>
      <c r="K12" s="746"/>
      <c r="L12" s="746"/>
      <c r="M12" s="746"/>
    </row>
    <row r="13" spans="1:13" x14ac:dyDescent="0.25">
      <c r="A13" s="409" t="s">
        <v>955</v>
      </c>
      <c r="B13" s="409"/>
      <c r="C13" s="746">
        <f>514495+64521</f>
        <v>579016</v>
      </c>
      <c r="D13" s="746"/>
      <c r="E13" s="747">
        <v>0</v>
      </c>
      <c r="F13" s="746"/>
      <c r="G13" s="746">
        <v>129678</v>
      </c>
      <c r="H13" s="746"/>
      <c r="I13" s="746">
        <f t="shared" si="0"/>
        <v>449338</v>
      </c>
      <c r="J13" s="746"/>
      <c r="K13" s="746"/>
      <c r="L13" s="746"/>
      <c r="M13" s="746"/>
    </row>
    <row r="14" spans="1:13" x14ac:dyDescent="0.25">
      <c r="A14" s="409" t="s">
        <v>956</v>
      </c>
      <c r="B14" s="409"/>
      <c r="C14" s="746">
        <f>308581+56421</f>
        <v>365002</v>
      </c>
      <c r="D14" s="746"/>
      <c r="E14" s="747">
        <v>0</v>
      </c>
      <c r="F14" s="746"/>
      <c r="G14" s="746">
        <v>52909</v>
      </c>
      <c r="H14" s="746"/>
      <c r="I14" s="746">
        <f t="shared" si="0"/>
        <v>312093</v>
      </c>
      <c r="J14" s="746"/>
      <c r="K14" s="746"/>
      <c r="L14" s="746"/>
      <c r="M14" s="746"/>
    </row>
    <row r="15" spans="1:13" x14ac:dyDescent="0.25">
      <c r="A15" s="409" t="s">
        <v>957</v>
      </c>
      <c r="B15" s="409"/>
      <c r="C15" s="746">
        <f>189478+40245</f>
        <v>229723</v>
      </c>
      <c r="D15" s="746"/>
      <c r="E15" s="747">
        <v>0</v>
      </c>
      <c r="F15" s="746"/>
      <c r="G15" s="746">
        <v>15401</v>
      </c>
      <c r="H15" s="746"/>
      <c r="I15" s="746">
        <f t="shared" si="0"/>
        <v>214322</v>
      </c>
      <c r="J15" s="746"/>
      <c r="K15" s="746"/>
      <c r="L15" s="746"/>
      <c r="M15" s="746"/>
    </row>
    <row r="16" spans="1:13" x14ac:dyDescent="0.25">
      <c r="A16" s="409" t="s">
        <v>958</v>
      </c>
      <c r="B16" s="409"/>
      <c r="C16" s="746">
        <f>140894+38451</f>
        <v>179345</v>
      </c>
      <c r="D16" s="746"/>
      <c r="E16" s="747">
        <v>0</v>
      </c>
      <c r="F16" s="746"/>
      <c r="G16" s="746">
        <f>6323+2</f>
        <v>6325</v>
      </c>
      <c r="H16" s="746"/>
      <c r="I16" s="746">
        <f t="shared" si="0"/>
        <v>173020</v>
      </c>
      <c r="J16" s="746"/>
      <c r="K16" s="746"/>
      <c r="L16" s="746"/>
      <c r="M16" s="746"/>
    </row>
    <row r="17" spans="1:13" x14ac:dyDescent="0.25">
      <c r="A17" s="409" t="s">
        <v>959</v>
      </c>
      <c r="B17" s="409"/>
      <c r="C17" s="746">
        <f>137417+34210</f>
        <v>171627</v>
      </c>
      <c r="D17" s="746"/>
      <c r="E17" s="747">
        <v>0</v>
      </c>
      <c r="F17" s="746"/>
      <c r="G17" s="746">
        <v>3549</v>
      </c>
      <c r="H17" s="746"/>
      <c r="I17" s="746">
        <f t="shared" si="0"/>
        <v>168078</v>
      </c>
      <c r="J17" s="746"/>
      <c r="K17" s="746"/>
      <c r="L17" s="746"/>
      <c r="M17" s="746"/>
    </row>
    <row r="18" spans="1:13" x14ac:dyDescent="0.25">
      <c r="A18" s="409" t="s">
        <v>960</v>
      </c>
      <c r="B18" s="409"/>
      <c r="C18" s="746">
        <f>78282+29451</f>
        <v>107733</v>
      </c>
      <c r="D18" s="746"/>
      <c r="E18" s="747">
        <v>0</v>
      </c>
      <c r="F18" s="746"/>
      <c r="G18" s="746">
        <v>1264</v>
      </c>
      <c r="H18" s="746"/>
      <c r="I18" s="746">
        <f t="shared" si="0"/>
        <v>106469</v>
      </c>
      <c r="J18" s="746"/>
      <c r="K18" s="746"/>
      <c r="L18" s="746"/>
      <c r="M18" s="746"/>
    </row>
    <row r="19" spans="1:13" x14ac:dyDescent="0.25">
      <c r="A19" s="409" t="s">
        <v>961</v>
      </c>
      <c r="B19" s="409"/>
      <c r="C19" s="746">
        <f>33983+25412+394+394</f>
        <v>60183</v>
      </c>
      <c r="D19" s="746"/>
      <c r="E19" s="747">
        <v>0</v>
      </c>
      <c r="F19" s="746"/>
      <c r="G19" s="746">
        <f>548+394</f>
        <v>942</v>
      </c>
      <c r="H19" s="746"/>
      <c r="I19" s="746">
        <f>+C19+E19-G19</f>
        <v>59241</v>
      </c>
      <c r="J19" s="746"/>
      <c r="K19" s="746"/>
      <c r="L19" s="746"/>
      <c r="M19" s="746"/>
    </row>
    <row r="20" spans="1:13" x14ac:dyDescent="0.25">
      <c r="A20" s="409" t="s">
        <v>962</v>
      </c>
      <c r="B20" s="409"/>
      <c r="C20" s="748">
        <v>78673</v>
      </c>
      <c r="D20" s="746"/>
      <c r="E20" s="749">
        <v>0</v>
      </c>
      <c r="F20" s="746"/>
      <c r="G20" s="748">
        <v>78673</v>
      </c>
      <c r="H20" s="746"/>
      <c r="I20" s="749">
        <v>0</v>
      </c>
      <c r="J20" s="746"/>
      <c r="K20" s="746"/>
      <c r="L20" s="746"/>
      <c r="M20" s="746"/>
    </row>
    <row r="21" spans="1:13" ht="15" customHeight="1" thickBot="1" x14ac:dyDescent="0.3">
      <c r="A21" s="409"/>
      <c r="B21" s="409"/>
      <c r="C21" s="750">
        <f>SUM(C11:C20)</f>
        <v>4203590</v>
      </c>
      <c r="D21" s="746"/>
      <c r="E21" s="750">
        <f>SUM(E10:E20)</f>
        <v>55744895.582999997</v>
      </c>
      <c r="F21" s="746"/>
      <c r="G21" s="750">
        <f>SUM(G10:G20)</f>
        <v>55966784</v>
      </c>
      <c r="H21" s="745" t="s">
        <v>963</v>
      </c>
      <c r="I21" s="751">
        <f>SUM(I10:I20)</f>
        <v>3981700.5829999968</v>
      </c>
      <c r="J21" s="746"/>
      <c r="K21" s="746"/>
      <c r="L21" s="409"/>
      <c r="M21" s="409"/>
    </row>
    <row r="22" spans="1:13" ht="13.8" thickTop="1" x14ac:dyDescent="0.25">
      <c r="A22" s="409"/>
      <c r="B22" s="409"/>
      <c r="C22" s="409"/>
      <c r="D22" s="409"/>
      <c r="E22" s="409"/>
      <c r="F22" s="409"/>
      <c r="G22" s="409"/>
      <c r="H22" s="409"/>
      <c r="I22" s="409"/>
      <c r="J22" s="409"/>
      <c r="K22" s="409"/>
      <c r="L22" s="409"/>
      <c r="M22" s="409"/>
    </row>
    <row r="23" spans="1:13" x14ac:dyDescent="0.25">
      <c r="A23" s="409"/>
      <c r="B23" s="409"/>
      <c r="C23" s="409"/>
      <c r="D23" s="409"/>
      <c r="E23" s="746"/>
      <c r="F23" s="409"/>
      <c r="G23" s="409"/>
      <c r="H23" s="409"/>
      <c r="I23" s="409"/>
      <c r="J23" s="409"/>
      <c r="K23" s="409"/>
      <c r="L23" s="409"/>
      <c r="M23" s="409"/>
    </row>
    <row r="24" spans="1:13" x14ac:dyDescent="0.25">
      <c r="A24" s="409"/>
      <c r="B24" s="409"/>
      <c r="C24" s="560" t="s">
        <v>964</v>
      </c>
      <c r="D24" s="409"/>
      <c r="E24" s="409"/>
      <c r="F24" s="409"/>
      <c r="G24" s="409"/>
      <c r="H24" s="409"/>
      <c r="I24" s="409"/>
      <c r="J24" s="409"/>
      <c r="K24" s="409"/>
      <c r="L24" s="409"/>
      <c r="M24" s="409"/>
    </row>
    <row r="25" spans="1:13" x14ac:dyDescent="0.25">
      <c r="A25" s="409"/>
      <c r="B25" s="409"/>
      <c r="C25" s="560" t="s">
        <v>965</v>
      </c>
      <c r="D25" s="409"/>
      <c r="E25" s="409"/>
      <c r="F25" s="746"/>
      <c r="G25" s="409"/>
      <c r="H25" s="409"/>
      <c r="I25" s="748">
        <f>1450000+394-25100+1</f>
        <v>1425295</v>
      </c>
      <c r="J25" s="409"/>
      <c r="K25" s="409"/>
      <c r="L25" s="409"/>
      <c r="M25" s="409"/>
    </row>
    <row r="27" spans="1:13" x14ac:dyDescent="0.25">
      <c r="A27" s="409"/>
      <c r="B27" s="409"/>
      <c r="C27" s="560" t="s">
        <v>966</v>
      </c>
      <c r="D27" s="409"/>
      <c r="E27" s="409"/>
      <c r="F27" s="409"/>
      <c r="G27" s="409"/>
      <c r="H27" s="409"/>
      <c r="I27" s="409"/>
      <c r="J27" s="409"/>
      <c r="K27" s="409"/>
      <c r="L27" s="409"/>
      <c r="M27" s="409"/>
    </row>
    <row r="28" spans="1:13" x14ac:dyDescent="0.25">
      <c r="A28" s="409"/>
      <c r="B28" s="409"/>
      <c r="C28" s="560" t="s">
        <v>965</v>
      </c>
      <c r="D28" s="409"/>
      <c r="E28" s="409"/>
      <c r="F28" s="409"/>
      <c r="G28" s="409"/>
      <c r="H28" s="409"/>
      <c r="I28" s="752">
        <f>+I21+-I25</f>
        <v>2556405.5829999968</v>
      </c>
      <c r="J28" s="409"/>
      <c r="K28" s="409"/>
      <c r="L28" s="409"/>
      <c r="M28" s="409"/>
    </row>
    <row r="30" spans="1:13" x14ac:dyDescent="0.25">
      <c r="A30" s="409"/>
      <c r="B30" s="409"/>
      <c r="C30" s="300" t="s">
        <v>967</v>
      </c>
      <c r="D30" s="409"/>
      <c r="E30" s="409"/>
      <c r="F30" s="409"/>
      <c r="G30" s="409"/>
      <c r="H30" s="409"/>
      <c r="I30" s="409"/>
      <c r="J30" s="409"/>
      <c r="K30" s="409"/>
      <c r="L30" s="409"/>
      <c r="M30" s="409"/>
    </row>
    <row r="32" spans="1:13" ht="12" customHeight="1" x14ac:dyDescent="0.25">
      <c r="A32" s="409"/>
      <c r="B32" s="409"/>
      <c r="C32" s="560" t="s">
        <v>968</v>
      </c>
      <c r="D32" s="409"/>
      <c r="E32" s="409"/>
      <c r="F32" s="409"/>
      <c r="G32" s="409"/>
      <c r="H32" s="409"/>
      <c r="I32" s="752">
        <f>'Rev, exp, chgs in fb Exh 4'!B10</f>
        <v>55132894</v>
      </c>
      <c r="J32" s="409"/>
      <c r="K32" s="409"/>
      <c r="L32" s="409"/>
      <c r="M32" s="409"/>
    </row>
    <row r="33" spans="1:17" ht="12" customHeight="1" x14ac:dyDescent="0.25">
      <c r="A33" s="409"/>
      <c r="B33" s="409"/>
      <c r="C33" s="551" t="s">
        <v>969</v>
      </c>
      <c r="D33" s="753"/>
      <c r="E33" s="754"/>
      <c r="F33" s="753"/>
      <c r="G33" s="753"/>
      <c r="H33" s="754"/>
      <c r="I33" s="665">
        <v>210632</v>
      </c>
      <c r="J33" s="409"/>
      <c r="K33" s="409"/>
      <c r="L33" s="409"/>
      <c r="M33" s="409"/>
      <c r="N33" s="409"/>
      <c r="O33" s="409"/>
      <c r="P33" s="409"/>
      <c r="Q33" s="409"/>
    </row>
    <row r="34" spans="1:17" ht="12" customHeight="1" x14ac:dyDescent="0.25">
      <c r="A34" s="409"/>
      <c r="B34" s="409"/>
      <c r="C34" s="551" t="s">
        <v>970</v>
      </c>
      <c r="D34" s="753"/>
      <c r="E34" s="754"/>
      <c r="F34" s="753"/>
      <c r="G34" s="753"/>
      <c r="H34" s="754"/>
      <c r="I34" s="665"/>
      <c r="J34" s="409"/>
      <c r="K34" s="409"/>
      <c r="L34" s="409"/>
      <c r="M34" s="409"/>
      <c r="N34" s="409"/>
      <c r="O34" s="409"/>
      <c r="P34" s="409"/>
      <c r="Q34" s="409"/>
    </row>
    <row r="35" spans="1:17" ht="12" customHeight="1" x14ac:dyDescent="0.25">
      <c r="A35" s="409"/>
      <c r="B35" s="409"/>
      <c r="C35" s="560" t="s">
        <v>971</v>
      </c>
      <c r="D35" s="409"/>
      <c r="E35" s="409"/>
      <c r="F35" s="409"/>
      <c r="G35" s="409"/>
      <c r="H35" s="409"/>
      <c r="I35" s="409"/>
      <c r="J35" s="409"/>
      <c r="K35" s="409"/>
      <c r="L35" s="409"/>
      <c r="M35" s="409"/>
      <c r="N35" s="409"/>
      <c r="O35" s="409"/>
      <c r="P35" s="409"/>
      <c r="Q35" s="409"/>
    </row>
    <row r="36" spans="1:17" ht="12" customHeight="1" x14ac:dyDescent="0.25">
      <c r="A36" s="409"/>
      <c r="B36" s="409"/>
      <c r="C36" s="560" t="s">
        <v>972</v>
      </c>
      <c r="D36" s="409"/>
      <c r="E36" s="409"/>
      <c r="F36" s="409"/>
      <c r="G36" s="409"/>
      <c r="H36" s="409"/>
      <c r="I36" s="755">
        <v>-339626</v>
      </c>
      <c r="J36" s="409"/>
      <c r="K36" s="409"/>
      <c r="L36" s="409"/>
      <c r="M36" s="409"/>
      <c r="N36" s="409"/>
      <c r="O36" s="409"/>
      <c r="P36" s="409"/>
      <c r="Q36" s="409"/>
    </row>
    <row r="37" spans="1:17" x14ac:dyDescent="0.25">
      <c r="A37" s="409"/>
      <c r="B37" s="409"/>
      <c r="C37" s="560" t="s">
        <v>973</v>
      </c>
      <c r="D37" s="409"/>
      <c r="E37" s="409"/>
      <c r="F37" s="409"/>
      <c r="G37" s="409"/>
      <c r="H37" s="409"/>
      <c r="I37" s="746">
        <f>767455+116756</f>
        <v>884211</v>
      </c>
      <c r="J37" s="409"/>
      <c r="K37" s="409"/>
      <c r="L37" s="409"/>
      <c r="M37" s="409"/>
      <c r="N37" s="409"/>
      <c r="O37" s="409"/>
      <c r="P37" s="409"/>
      <c r="Q37" s="409"/>
    </row>
    <row r="38" spans="1:17" x14ac:dyDescent="0.25">
      <c r="A38" s="409"/>
      <c r="B38" s="409"/>
      <c r="C38" s="560" t="s">
        <v>974</v>
      </c>
      <c r="D38" s="409"/>
      <c r="E38" s="409"/>
      <c r="F38" s="409"/>
      <c r="G38" s="409"/>
      <c r="H38" s="409"/>
      <c r="I38" s="748">
        <v>78673</v>
      </c>
      <c r="J38" s="409"/>
      <c r="K38" s="409"/>
      <c r="L38" s="409"/>
      <c r="M38" s="409"/>
      <c r="N38" s="409"/>
      <c r="O38" s="409"/>
      <c r="P38" s="409"/>
      <c r="Q38" s="409"/>
    </row>
    <row r="39" spans="1:17" ht="15" customHeight="1" x14ac:dyDescent="0.25">
      <c r="A39" s="409"/>
      <c r="B39" s="409"/>
      <c r="C39" s="560" t="s">
        <v>975</v>
      </c>
      <c r="D39" s="409"/>
      <c r="E39" s="409"/>
      <c r="F39" s="409"/>
      <c r="G39" s="409"/>
      <c r="H39" s="409"/>
      <c r="I39" s="748">
        <f>SUM(I36:I38)</f>
        <v>623258</v>
      </c>
      <c r="J39" s="409"/>
      <c r="K39" s="409"/>
      <c r="L39" s="409"/>
      <c r="M39" s="409"/>
      <c r="N39" s="409"/>
      <c r="O39" s="409"/>
      <c r="P39" s="409"/>
      <c r="Q39" s="409"/>
    </row>
    <row r="40" spans="1:17" ht="18" customHeight="1" thickBot="1" x14ac:dyDescent="0.3">
      <c r="A40" s="409"/>
      <c r="B40" s="409"/>
      <c r="C40" s="560" t="s">
        <v>976</v>
      </c>
      <c r="D40" s="409"/>
      <c r="E40" s="409"/>
      <c r="F40" s="409"/>
      <c r="G40" s="409"/>
      <c r="H40" s="409"/>
      <c r="I40" s="756">
        <f>+I32+I33+I39</f>
        <v>55966784</v>
      </c>
      <c r="J40" s="560" t="s">
        <v>963</v>
      </c>
      <c r="K40" s="409"/>
      <c r="L40" s="409"/>
      <c r="M40" s="409"/>
      <c r="N40" s="409"/>
      <c r="O40" s="409"/>
      <c r="P40" s="409"/>
      <c r="Q40" s="409"/>
    </row>
    <row r="41" spans="1:17" ht="13.8" thickTop="1" x14ac:dyDescent="0.25">
      <c r="A41" s="409"/>
      <c r="B41" s="409"/>
      <c r="C41" s="409"/>
      <c r="D41" s="409"/>
      <c r="E41" s="409"/>
      <c r="F41" s="409"/>
      <c r="G41" s="409"/>
      <c r="H41" s="409"/>
      <c r="I41" s="409"/>
      <c r="J41" s="409"/>
      <c r="K41" s="409"/>
      <c r="L41" s="409"/>
      <c r="M41" s="409"/>
      <c r="N41" s="409"/>
      <c r="O41" s="409"/>
      <c r="P41" s="409"/>
      <c r="Q41" s="409"/>
    </row>
    <row r="42" spans="1:17" ht="13.8" thickBot="1" x14ac:dyDescent="0.3">
      <c r="A42" s="301"/>
      <c r="B42" s="302"/>
      <c r="C42" s="303"/>
      <c r="D42" s="304"/>
      <c r="E42" s="304"/>
      <c r="F42" s="305"/>
      <c r="G42" s="304"/>
      <c r="H42" s="304"/>
      <c r="I42" s="304"/>
      <c r="J42" s="757"/>
      <c r="K42" s="409"/>
      <c r="L42" s="409"/>
      <c r="M42" s="409"/>
      <c r="N42" s="409"/>
      <c r="O42" s="409"/>
      <c r="P42" s="409"/>
      <c r="Q42" s="409"/>
    </row>
    <row r="43" spans="1:17" ht="13.95" customHeight="1" x14ac:dyDescent="0.25">
      <c r="A43" s="1056" t="s">
        <v>977</v>
      </c>
      <c r="B43" s="1057"/>
      <c r="C43" s="1057"/>
      <c r="D43" s="1057"/>
      <c r="E43" s="1057"/>
      <c r="F43" s="1057"/>
      <c r="G43" s="1057"/>
      <c r="H43" s="1057"/>
      <c r="I43" s="1058"/>
      <c r="J43" s="357"/>
      <c r="K43" s="409"/>
      <c r="L43" s="409"/>
      <c r="M43" s="409"/>
      <c r="N43" s="409"/>
      <c r="O43" s="409"/>
      <c r="P43" s="409"/>
      <c r="Q43" s="409"/>
    </row>
    <row r="44" spans="1:17" x14ac:dyDescent="0.25">
      <c r="A44" s="1059"/>
      <c r="B44" s="1060"/>
      <c r="C44" s="1060"/>
      <c r="D44" s="1060"/>
      <c r="E44" s="1060"/>
      <c r="F44" s="1060"/>
      <c r="G44" s="1060"/>
      <c r="H44" s="1060"/>
      <c r="I44" s="1061"/>
      <c r="J44" s="357"/>
      <c r="K44" s="409"/>
      <c r="L44" s="409"/>
      <c r="M44" s="409"/>
      <c r="N44" s="409"/>
      <c r="O44" s="409"/>
      <c r="P44" s="409"/>
      <c r="Q44" s="409"/>
    </row>
    <row r="45" spans="1:17" x14ac:dyDescent="0.25">
      <c r="A45" s="1059"/>
      <c r="B45" s="1060"/>
      <c r="C45" s="1060"/>
      <c r="D45" s="1060"/>
      <c r="E45" s="1060"/>
      <c r="F45" s="1060"/>
      <c r="G45" s="1060"/>
      <c r="H45" s="1060"/>
      <c r="I45" s="1061"/>
      <c r="J45" s="357"/>
      <c r="K45" s="409"/>
      <c r="L45" s="409"/>
      <c r="M45" s="409"/>
      <c r="N45" s="409"/>
      <c r="O45" s="409"/>
      <c r="P45" s="409"/>
      <c r="Q45" s="409"/>
    </row>
    <row r="46" spans="1:17" x14ac:dyDescent="0.25">
      <c r="A46" s="360"/>
      <c r="B46" s="358"/>
      <c r="C46" s="303"/>
      <c r="D46" s="358"/>
      <c r="E46" s="358"/>
      <c r="F46" s="303"/>
      <c r="G46" s="358"/>
      <c r="H46" s="358"/>
      <c r="I46" s="361"/>
      <c r="J46" s="758"/>
      <c r="K46" s="409"/>
      <c r="L46" s="409"/>
      <c r="M46" s="409"/>
      <c r="N46" s="409"/>
      <c r="O46" s="409"/>
      <c r="P46" s="409"/>
      <c r="Q46" s="409"/>
    </row>
    <row r="47" spans="1:17" ht="13.2" customHeight="1" x14ac:dyDescent="0.25">
      <c r="A47" s="1062" t="s">
        <v>978</v>
      </c>
      <c r="B47" s="1063"/>
      <c r="C47" s="1063"/>
      <c r="D47" s="1063"/>
      <c r="E47" s="1063"/>
      <c r="F47" s="1063"/>
      <c r="G47" s="1063"/>
      <c r="H47" s="1063"/>
      <c r="I47" s="1064"/>
      <c r="J47" s="357"/>
      <c r="K47" s="409"/>
      <c r="L47" s="409"/>
      <c r="M47" s="409"/>
      <c r="N47" s="409"/>
      <c r="O47" s="409"/>
      <c r="P47" s="409"/>
      <c r="Q47" s="409"/>
    </row>
    <row r="48" spans="1:17" x14ac:dyDescent="0.25">
      <c r="A48" s="1062"/>
      <c r="B48" s="1063"/>
      <c r="C48" s="1063"/>
      <c r="D48" s="1063"/>
      <c r="E48" s="1063"/>
      <c r="F48" s="1063"/>
      <c r="G48" s="1063"/>
      <c r="H48" s="1063"/>
      <c r="I48" s="1064"/>
      <c r="J48" s="357"/>
      <c r="K48" s="409"/>
      <c r="L48" s="409"/>
      <c r="M48" s="409"/>
      <c r="N48" s="409"/>
      <c r="O48" s="409"/>
      <c r="P48" s="409"/>
      <c r="Q48" s="409"/>
    </row>
    <row r="49" spans="1:10" x14ac:dyDescent="0.25">
      <c r="A49" s="1062"/>
      <c r="B49" s="1063"/>
      <c r="C49" s="1063"/>
      <c r="D49" s="1063"/>
      <c r="E49" s="1063"/>
      <c r="F49" s="1063"/>
      <c r="G49" s="1063"/>
      <c r="H49" s="1063"/>
      <c r="I49" s="1064"/>
      <c r="J49" s="357"/>
    </row>
    <row r="50" spans="1:10" x14ac:dyDescent="0.25">
      <c r="A50" s="360"/>
      <c r="B50" s="358"/>
      <c r="C50" s="303"/>
      <c r="D50" s="358"/>
      <c r="E50" s="358"/>
      <c r="F50" s="303"/>
      <c r="G50" s="358"/>
      <c r="H50" s="358"/>
      <c r="I50" s="361"/>
      <c r="J50" s="758"/>
    </row>
    <row r="51" spans="1:10" ht="13.2" customHeight="1" x14ac:dyDescent="0.25">
      <c r="A51" s="1062" t="s">
        <v>979</v>
      </c>
      <c r="B51" s="1063"/>
      <c r="C51" s="1063"/>
      <c r="D51" s="1063"/>
      <c r="E51" s="1063"/>
      <c r="F51" s="1063"/>
      <c r="G51" s="1063"/>
      <c r="H51" s="1063"/>
      <c r="I51" s="1064"/>
      <c r="J51" s="357"/>
    </row>
    <row r="52" spans="1:10" x14ac:dyDescent="0.25">
      <c r="A52" s="1062"/>
      <c r="B52" s="1063"/>
      <c r="C52" s="1063"/>
      <c r="D52" s="1063"/>
      <c r="E52" s="1063"/>
      <c r="F52" s="1063"/>
      <c r="G52" s="1063"/>
      <c r="H52" s="1063"/>
      <c r="I52" s="1064"/>
      <c r="J52" s="357"/>
    </row>
    <row r="53" spans="1:10" x14ac:dyDescent="0.25">
      <c r="A53" s="1062"/>
      <c r="B53" s="1063"/>
      <c r="C53" s="1063"/>
      <c r="D53" s="1063"/>
      <c r="E53" s="1063"/>
      <c r="F53" s="1063"/>
      <c r="G53" s="1063"/>
      <c r="H53" s="1063"/>
      <c r="I53" s="1064"/>
      <c r="J53" s="357"/>
    </row>
    <row r="54" spans="1:10" x14ac:dyDescent="0.25">
      <c r="A54" s="1062"/>
      <c r="B54" s="1063"/>
      <c r="C54" s="1063"/>
      <c r="D54" s="1063"/>
      <c r="E54" s="1063"/>
      <c r="F54" s="1063"/>
      <c r="G54" s="1063"/>
      <c r="H54" s="1063"/>
      <c r="I54" s="1064"/>
      <c r="J54" s="357"/>
    </row>
    <row r="55" spans="1:10" x14ac:dyDescent="0.25">
      <c r="A55" s="1062"/>
      <c r="B55" s="1063"/>
      <c r="C55" s="1063"/>
      <c r="D55" s="1063"/>
      <c r="E55" s="1063"/>
      <c r="F55" s="1063"/>
      <c r="G55" s="1063"/>
      <c r="H55" s="1063"/>
      <c r="I55" s="1064"/>
      <c r="J55" s="357"/>
    </row>
    <row r="56" spans="1:10" ht="15.6" customHeight="1" x14ac:dyDescent="0.25">
      <c r="A56" s="1062"/>
      <c r="B56" s="1063"/>
      <c r="C56" s="1063"/>
      <c r="D56" s="1063"/>
      <c r="E56" s="1063"/>
      <c r="F56" s="1063"/>
      <c r="G56" s="1063"/>
      <c r="H56" s="1063"/>
      <c r="I56" s="1064"/>
      <c r="J56" s="357"/>
    </row>
    <row r="57" spans="1:10" x14ac:dyDescent="0.25">
      <c r="A57" s="360"/>
      <c r="B57" s="358"/>
      <c r="C57" s="303"/>
      <c r="D57" s="358"/>
      <c r="E57" s="358"/>
      <c r="F57" s="303"/>
      <c r="G57" s="358"/>
      <c r="H57" s="358"/>
      <c r="I57" s="361"/>
      <c r="J57" s="758"/>
    </row>
    <row r="58" spans="1:10" ht="13.8" thickBot="1" x14ac:dyDescent="0.3">
      <c r="A58" s="306"/>
      <c r="B58" s="359"/>
      <c r="C58" s="359"/>
      <c r="D58" s="359"/>
      <c r="E58" s="359"/>
      <c r="F58" s="359"/>
      <c r="G58" s="362"/>
      <c r="H58" s="362"/>
      <c r="I58" s="363"/>
      <c r="J58" s="758"/>
    </row>
    <row r="59" spans="1:10" x14ac:dyDescent="0.25">
      <c r="A59" s="302"/>
      <c r="B59" s="302"/>
      <c r="C59" s="303"/>
      <c r="D59" s="302"/>
      <c r="E59" s="302"/>
      <c r="F59" s="303"/>
      <c r="G59" s="302"/>
      <c r="H59" s="302"/>
      <c r="I59" s="302"/>
      <c r="J59" s="759"/>
    </row>
    <row r="60" spans="1:10" x14ac:dyDescent="0.25">
      <c r="A60" s="302"/>
      <c r="B60" s="302"/>
      <c r="C60" s="303"/>
      <c r="D60" s="302"/>
      <c r="E60" s="302"/>
      <c r="F60" s="303"/>
      <c r="G60" s="302"/>
      <c r="H60" s="302"/>
      <c r="I60" s="302"/>
      <c r="J60" s="759"/>
    </row>
    <row r="61" spans="1:10" x14ac:dyDescent="0.25">
      <c r="A61" s="759"/>
      <c r="B61" s="759"/>
      <c r="C61" s="760"/>
      <c r="D61" s="759"/>
      <c r="E61" s="759"/>
      <c r="F61" s="760"/>
      <c r="G61" s="759"/>
      <c r="H61" s="759"/>
      <c r="I61" s="759"/>
      <c r="J61" s="759"/>
    </row>
    <row r="62" spans="1:10" ht="5.25" customHeight="1" x14ac:dyDescent="0.25">
      <c r="A62" s="409"/>
      <c r="B62" s="409"/>
      <c r="C62" s="409"/>
      <c r="D62" s="409"/>
      <c r="E62" s="409"/>
      <c r="F62" s="409"/>
      <c r="G62" s="409"/>
      <c r="H62" s="409"/>
      <c r="I62" s="409"/>
      <c r="J62" s="409"/>
    </row>
  </sheetData>
  <customSheetViews>
    <customSheetView guid="{A8748736-0722-49EB-85B6-C9B52DDCFE0E}">
      <selection activeCell="C33" sqref="C33"/>
      <pageMargins left="0.75" right="0.75" top="1" bottom="1" header="0.5" footer="0.5"/>
      <printOptions horizontalCentered="1"/>
      <pageSetup scale="86" firstPageNumber="137" fitToHeight="0" orientation="portrait" useFirstPageNumber="1" r:id="rId1"/>
      <headerFooter alignWithMargins="0"/>
    </customSheetView>
    <customSheetView guid="{E0C60316-4586-4AAF-92CB-FA82BB1EB755}">
      <pageMargins left="0" right="0" top="0" bottom="0" header="0" footer="0"/>
      <printOptions horizontalCentered="1"/>
      <pageSetup scale="86" firstPageNumber="137" fitToHeight="0" orientation="portrait" useFirstPageNumber="1" r:id="rId2"/>
      <headerFooter alignWithMargins="0"/>
    </customSheetView>
  </customSheetViews>
  <mergeCells count="3">
    <mergeCell ref="A43:I45"/>
    <mergeCell ref="A47:I49"/>
    <mergeCell ref="A51:I56"/>
  </mergeCells>
  <phoneticPr fontId="5" type="noConversion"/>
  <printOptions horizontalCentered="1"/>
  <pageMargins left="0.75" right="0.75" top="1" bottom="1" header="0.5" footer="0.5"/>
  <pageSetup scale="86" firstPageNumber="137" fitToHeight="0" orientation="portrait" useFirstPageNumber="1" r:id="rId3"/>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ransitionEvaluation="1">
    <tabColor theme="0" tint="-0.14999847407452621"/>
  </sheetPr>
  <dimension ref="A1:P55"/>
  <sheetViews>
    <sheetView workbookViewId="0">
      <selection sqref="A1:L1"/>
    </sheetView>
  </sheetViews>
  <sheetFormatPr defaultColWidth="8.44140625" defaultRowHeight="13.2" x14ac:dyDescent="0.25"/>
  <cols>
    <col min="1" max="2" width="2.44140625" style="291" customWidth="1"/>
    <col min="3" max="3" width="25.5546875" style="291" customWidth="1"/>
    <col min="4" max="4" width="14.88671875" style="291" customWidth="1"/>
    <col min="5" max="5" width="1.5546875" style="291" customWidth="1"/>
    <col min="6" max="6" width="6.109375" style="294" customWidth="1"/>
    <col min="7" max="7" width="1.5546875" style="291" customWidth="1"/>
    <col min="8" max="8" width="12.33203125" style="291" bestFit="1" customWidth="1"/>
    <col min="9" max="9" width="3.109375" style="291" customWidth="1"/>
    <col min="10" max="10" width="17.109375" style="291" customWidth="1"/>
    <col min="11" max="11" width="1.5546875" style="293" customWidth="1"/>
    <col min="12" max="12" width="12.109375" style="291" customWidth="1"/>
    <col min="13" max="14" width="8.44140625" style="291"/>
    <col min="15" max="15" width="23.6640625" style="292" customWidth="1"/>
    <col min="16" max="16" width="13.109375" style="291" bestFit="1" customWidth="1"/>
    <col min="17" max="16384" width="8.44140625" style="291"/>
  </cols>
  <sheetData>
    <row r="1" spans="1:15" x14ac:dyDescent="0.25">
      <c r="A1" s="1065" t="s">
        <v>1</v>
      </c>
      <c r="B1" s="1065"/>
      <c r="C1" s="1065"/>
      <c r="D1" s="1065"/>
      <c r="E1" s="1065"/>
      <c r="F1" s="1065"/>
      <c r="G1" s="1065"/>
      <c r="H1" s="1065"/>
      <c r="I1" s="1065"/>
      <c r="J1" s="1065"/>
      <c r="K1" s="1065"/>
      <c r="L1" s="1065"/>
      <c r="M1" s="761"/>
      <c r="N1" s="761"/>
      <c r="O1" s="761"/>
    </row>
    <row r="2" spans="1:15" x14ac:dyDescent="0.25">
      <c r="A2" s="1065" t="s">
        <v>980</v>
      </c>
      <c r="B2" s="1065"/>
      <c r="C2" s="1065"/>
      <c r="D2" s="1065"/>
      <c r="E2" s="1065"/>
      <c r="F2" s="1065"/>
      <c r="G2" s="1065"/>
      <c r="H2" s="1065"/>
      <c r="I2" s="1065"/>
      <c r="J2" s="1065"/>
      <c r="K2" s="1065"/>
      <c r="L2" s="1065"/>
      <c r="M2" s="761"/>
      <c r="N2" s="761"/>
      <c r="O2" s="761"/>
    </row>
    <row r="3" spans="1:15" x14ac:dyDescent="0.25">
      <c r="A3" s="1065" t="s">
        <v>981</v>
      </c>
      <c r="B3" s="1065"/>
      <c r="C3" s="1065"/>
      <c r="D3" s="1065"/>
      <c r="E3" s="1065"/>
      <c r="F3" s="1065"/>
      <c r="G3" s="1065"/>
      <c r="H3" s="1065"/>
      <c r="I3" s="1065"/>
      <c r="J3" s="1065"/>
      <c r="K3" s="1065"/>
      <c r="L3" s="1065"/>
      <c r="M3" s="761"/>
      <c r="N3" s="761"/>
      <c r="O3" s="761"/>
    </row>
    <row r="4" spans="1:15" x14ac:dyDescent="0.25">
      <c r="A4" s="1065" t="str">
        <f>GFIS_BA!A5</f>
        <v>For the Year Ended June 30, 2022</v>
      </c>
      <c r="B4" s="1065"/>
      <c r="C4" s="1065"/>
      <c r="D4" s="1065"/>
      <c r="E4" s="1065"/>
      <c r="F4" s="1065"/>
      <c r="G4" s="1065"/>
      <c r="H4" s="1065"/>
      <c r="I4" s="1065"/>
      <c r="J4" s="1065"/>
      <c r="K4" s="1065"/>
      <c r="L4" s="1065"/>
      <c r="M4" s="761"/>
      <c r="N4" s="761"/>
      <c r="O4" s="761"/>
    </row>
    <row r="5" spans="1:15" ht="13.8" thickBot="1" x14ac:dyDescent="0.3">
      <c r="A5" s="762"/>
      <c r="B5" s="762"/>
      <c r="C5" s="762"/>
      <c r="D5" s="762"/>
      <c r="E5" s="762"/>
      <c r="F5" s="763"/>
      <c r="G5" s="762"/>
      <c r="H5" s="762"/>
      <c r="I5" s="762"/>
      <c r="J5" s="761"/>
      <c r="K5" s="764"/>
      <c r="L5" s="761"/>
      <c r="M5" s="761"/>
      <c r="N5" s="761"/>
      <c r="O5" s="761"/>
    </row>
    <row r="6" spans="1:15" x14ac:dyDescent="0.25">
      <c r="A6" s="761"/>
      <c r="B6" s="761"/>
      <c r="C6" s="761"/>
      <c r="D6" s="761"/>
      <c r="E6" s="761"/>
      <c r="F6" s="765"/>
      <c r="G6" s="761"/>
      <c r="H6" s="761"/>
      <c r="I6" s="761"/>
      <c r="J6" s="1066" t="s">
        <v>982</v>
      </c>
      <c r="K6" s="1066"/>
      <c r="L6" s="1066"/>
      <c r="M6" s="761"/>
      <c r="N6" s="761"/>
      <c r="O6" s="761"/>
    </row>
    <row r="7" spans="1:15" x14ac:dyDescent="0.25">
      <c r="A7" s="761"/>
      <c r="B7" s="761"/>
      <c r="C7" s="761"/>
      <c r="D7" s="761"/>
      <c r="E7" s="761"/>
      <c r="F7" s="765"/>
      <c r="G7" s="761"/>
      <c r="H7" s="761"/>
      <c r="I7" s="761"/>
      <c r="J7" s="764" t="s">
        <v>983</v>
      </c>
      <c r="K7" s="766"/>
      <c r="L7" s="767"/>
      <c r="M7" s="761"/>
      <c r="N7" s="761"/>
      <c r="O7" s="761"/>
    </row>
    <row r="8" spans="1:15" x14ac:dyDescent="0.25">
      <c r="A8" s="761"/>
      <c r="B8" s="761"/>
      <c r="C8" s="761"/>
      <c r="D8" s="761"/>
      <c r="E8" s="761"/>
      <c r="F8" s="765"/>
      <c r="G8" s="761"/>
      <c r="H8" s="761"/>
      <c r="I8" s="761"/>
      <c r="J8" s="764" t="s">
        <v>984</v>
      </c>
      <c r="K8" s="764"/>
      <c r="L8" s="761"/>
      <c r="M8" s="761"/>
      <c r="N8" s="761"/>
      <c r="O8" s="761"/>
    </row>
    <row r="9" spans="1:15" x14ac:dyDescent="0.25">
      <c r="A9" s="761"/>
      <c r="B9" s="761"/>
      <c r="C9" s="761"/>
      <c r="D9" s="768" t="s">
        <v>985</v>
      </c>
      <c r="E9" s="768"/>
      <c r="F9" s="769"/>
      <c r="G9" s="768"/>
      <c r="H9" s="768"/>
      <c r="I9" s="770"/>
      <c r="J9" s="764" t="s">
        <v>986</v>
      </c>
      <c r="K9" s="764"/>
      <c r="L9" s="761" t="s">
        <v>986</v>
      </c>
      <c r="M9" s="761"/>
      <c r="N9" s="761"/>
      <c r="O9" s="761"/>
    </row>
    <row r="10" spans="1:15" x14ac:dyDescent="0.25">
      <c r="A10" s="761"/>
      <c r="B10" s="761"/>
      <c r="C10" s="761"/>
      <c r="D10" s="764" t="s">
        <v>983</v>
      </c>
      <c r="E10" s="761"/>
      <c r="F10" s="765"/>
      <c r="G10" s="761"/>
      <c r="H10" s="764" t="s">
        <v>987</v>
      </c>
      <c r="I10" s="764"/>
      <c r="J10" s="764" t="s">
        <v>988</v>
      </c>
      <c r="K10" s="764"/>
      <c r="L10" s="764" t="s">
        <v>988</v>
      </c>
      <c r="M10" s="761"/>
      <c r="N10" s="761"/>
      <c r="O10" s="761"/>
    </row>
    <row r="11" spans="1:15" x14ac:dyDescent="0.25">
      <c r="A11" s="761"/>
      <c r="B11" s="761"/>
      <c r="C11" s="761"/>
      <c r="D11" s="771" t="s">
        <v>989</v>
      </c>
      <c r="E11" s="761"/>
      <c r="F11" s="769" t="s">
        <v>990</v>
      </c>
      <c r="G11" s="761"/>
      <c r="H11" s="771" t="s">
        <v>991</v>
      </c>
      <c r="I11" s="766"/>
      <c r="J11" s="772" t="s">
        <v>992</v>
      </c>
      <c r="K11" s="764"/>
      <c r="L11" s="772" t="s">
        <v>992</v>
      </c>
      <c r="M11" s="761"/>
      <c r="N11" s="761"/>
      <c r="O11" s="761"/>
    </row>
    <row r="13" spans="1:15" x14ac:dyDescent="0.25">
      <c r="A13" s="773" t="s">
        <v>993</v>
      </c>
      <c r="B13" s="761"/>
      <c r="C13" s="761"/>
      <c r="D13" s="761"/>
      <c r="E13" s="761"/>
      <c r="F13" s="765"/>
      <c r="G13" s="761"/>
      <c r="H13" s="761"/>
      <c r="I13" s="761"/>
      <c r="J13" s="761"/>
      <c r="K13" s="764"/>
      <c r="L13" s="761"/>
      <c r="M13" s="761"/>
      <c r="N13" s="761"/>
      <c r="O13" s="761"/>
    </row>
    <row r="14" spans="1:15" x14ac:dyDescent="0.25">
      <c r="A14" s="761"/>
      <c r="B14" s="773" t="s">
        <v>994</v>
      </c>
      <c r="C14" s="761"/>
      <c r="D14" s="761"/>
      <c r="E14" s="761"/>
      <c r="F14" s="765"/>
      <c r="G14" s="761"/>
      <c r="H14" s="761"/>
      <c r="I14" s="761"/>
      <c r="J14" s="761"/>
      <c r="K14" s="764"/>
      <c r="L14" s="761"/>
      <c r="M14" s="761"/>
      <c r="N14" s="761"/>
      <c r="O14" s="761"/>
    </row>
    <row r="15" spans="1:15" x14ac:dyDescent="0.25">
      <c r="A15" s="761"/>
      <c r="B15" s="773" t="s">
        <v>995</v>
      </c>
      <c r="C15" s="761"/>
      <c r="D15" s="774">
        <f>6487478196-22196279+5833288</f>
        <v>6471115205</v>
      </c>
      <c r="E15" s="775"/>
      <c r="F15" s="776">
        <v>0.86</v>
      </c>
      <c r="G15" s="775"/>
      <c r="H15" s="774">
        <f>+D15/100*F15</f>
        <v>55651590.762999997</v>
      </c>
      <c r="I15" s="774"/>
      <c r="J15" s="777">
        <v>54143649.485600002</v>
      </c>
      <c r="K15" s="778"/>
      <c r="L15" s="779">
        <f>1648663-190888+50166</f>
        <v>1507941</v>
      </c>
      <c r="M15" s="295">
        <v>8.6E-3</v>
      </c>
      <c r="N15" s="761"/>
      <c r="O15" s="761"/>
    </row>
    <row r="16" spans="1:15" x14ac:dyDescent="0.25">
      <c r="A16" s="761"/>
      <c r="B16" s="773" t="s">
        <v>996</v>
      </c>
      <c r="C16" s="761"/>
      <c r="D16" s="780">
        <v>7983023</v>
      </c>
      <c r="E16" s="761"/>
      <c r="F16" s="781">
        <v>0.86</v>
      </c>
      <c r="G16" s="761"/>
      <c r="H16" s="782">
        <v>68654</v>
      </c>
      <c r="I16" s="783"/>
      <c r="J16" s="784">
        <v>68654</v>
      </c>
      <c r="K16" s="785"/>
      <c r="L16" s="784">
        <v>0</v>
      </c>
      <c r="M16" s="761"/>
      <c r="N16" s="761"/>
      <c r="O16" s="761"/>
    </row>
    <row r="17" spans="1:16" ht="15" customHeight="1" x14ac:dyDescent="0.25">
      <c r="A17" s="761"/>
      <c r="B17" s="761"/>
      <c r="C17" s="773" t="s">
        <v>8</v>
      </c>
      <c r="D17" s="782">
        <f>SUM(D15:D16)</f>
        <v>6479098228</v>
      </c>
      <c r="E17" s="761"/>
      <c r="F17" s="781"/>
      <c r="G17" s="761"/>
      <c r="H17" s="782">
        <f>SUM(H15:H16)</f>
        <v>55720244.762999997</v>
      </c>
      <c r="I17" s="783"/>
      <c r="J17" s="782">
        <f>SUM(J15:J16)</f>
        <v>54212303.485600002</v>
      </c>
      <c r="K17" s="764"/>
      <c r="L17" s="782">
        <f>SUM(L15:L16)</f>
        <v>1507941</v>
      </c>
      <c r="M17" s="761"/>
      <c r="N17" s="761"/>
      <c r="O17" s="557"/>
      <c r="P17" s="761"/>
    </row>
    <row r="18" spans="1:16" x14ac:dyDescent="0.25">
      <c r="A18" s="761"/>
      <c r="B18" s="761"/>
      <c r="C18" s="761"/>
      <c r="D18" s="761"/>
      <c r="E18" s="761"/>
      <c r="F18" s="781"/>
      <c r="G18" s="761"/>
      <c r="H18" s="761"/>
      <c r="I18" s="761"/>
      <c r="J18" s="761"/>
      <c r="K18" s="764"/>
      <c r="L18" s="761"/>
      <c r="M18" s="761"/>
      <c r="N18" s="761"/>
      <c r="O18" s="557"/>
      <c r="P18" s="761"/>
    </row>
    <row r="19" spans="1:16" x14ac:dyDescent="0.25">
      <c r="A19" s="773" t="s">
        <v>997</v>
      </c>
      <c r="B19" s="761"/>
      <c r="C19" s="761"/>
      <c r="D19" s="786"/>
      <c r="E19" s="761"/>
      <c r="F19" s="781"/>
      <c r="G19" s="761"/>
      <c r="H19" s="786"/>
      <c r="I19" s="786"/>
      <c r="J19" s="761"/>
      <c r="K19" s="764"/>
      <c r="L19" s="761"/>
      <c r="M19" s="761"/>
      <c r="N19" s="761"/>
      <c r="O19" s="557"/>
      <c r="P19" s="761"/>
    </row>
    <row r="20" spans="1:16" x14ac:dyDescent="0.25">
      <c r="A20" s="761"/>
      <c r="B20" s="773" t="s">
        <v>998</v>
      </c>
      <c r="C20" s="761"/>
      <c r="D20" s="786">
        <v>28033700</v>
      </c>
      <c r="E20" s="761"/>
      <c r="F20" s="781">
        <v>0.86</v>
      </c>
      <c r="G20" s="761"/>
      <c r="H20" s="786">
        <f>D20/100*F20</f>
        <v>241089.82</v>
      </c>
      <c r="I20" s="786"/>
      <c r="J20" s="787">
        <f>H20-L20</f>
        <v>233985.82</v>
      </c>
      <c r="K20" s="764"/>
      <c r="L20" s="393">
        <v>7104</v>
      </c>
      <c r="M20" s="761"/>
      <c r="N20" s="761"/>
      <c r="O20" s="423"/>
      <c r="P20" s="423"/>
    </row>
    <row r="21" spans="1:16" x14ac:dyDescent="0.25">
      <c r="A21" s="761"/>
      <c r="B21" s="773" t="s">
        <v>999</v>
      </c>
      <c r="C21" s="761"/>
      <c r="D21" s="788">
        <v>47562558</v>
      </c>
      <c r="E21" s="761"/>
      <c r="F21" s="781">
        <v>0.86</v>
      </c>
      <c r="G21" s="761"/>
      <c r="H21" s="786">
        <v>409038</v>
      </c>
      <c r="I21" s="786"/>
      <c r="J21" s="787">
        <f>H21-L21</f>
        <v>409038</v>
      </c>
      <c r="K21" s="764"/>
      <c r="L21" s="789">
        <v>0</v>
      </c>
      <c r="M21" s="761"/>
      <c r="N21" s="761"/>
      <c r="O21" s="557"/>
      <c r="P21" s="761"/>
    </row>
    <row r="22" spans="1:16" x14ac:dyDescent="0.25">
      <c r="A22" s="761"/>
      <c r="B22" s="773" t="s">
        <v>996</v>
      </c>
      <c r="C22" s="761"/>
      <c r="D22" s="780">
        <v>16509070</v>
      </c>
      <c r="E22" s="761"/>
      <c r="F22" s="765">
        <v>0.86</v>
      </c>
      <c r="G22" s="761"/>
      <c r="H22" s="782">
        <v>141978</v>
      </c>
      <c r="I22" s="783"/>
      <c r="J22" s="787">
        <f>H22-L22</f>
        <v>141978</v>
      </c>
      <c r="K22" s="764"/>
      <c r="L22" s="790">
        <v>0</v>
      </c>
      <c r="M22" s="761"/>
      <c r="N22" s="761"/>
      <c r="O22" s="761"/>
      <c r="P22" s="761"/>
    </row>
    <row r="23" spans="1:16" ht="15" customHeight="1" x14ac:dyDescent="0.25">
      <c r="A23" s="761"/>
      <c r="B23" s="761"/>
      <c r="C23" s="773" t="s">
        <v>8</v>
      </c>
      <c r="D23" s="782">
        <f>SUM(D20:D22)</f>
        <v>92105328</v>
      </c>
      <c r="E23" s="761"/>
      <c r="F23" s="765"/>
      <c r="G23" s="761"/>
      <c r="H23" s="782">
        <f>SUM(H20:H22)</f>
        <v>792105.82000000007</v>
      </c>
      <c r="I23" s="783"/>
      <c r="J23" s="791">
        <f>SUM(J20:J22)</f>
        <v>785001.82000000007</v>
      </c>
      <c r="K23" s="764"/>
      <c r="L23" s="782">
        <f>SUM(L20:L22)</f>
        <v>7104</v>
      </c>
      <c r="M23" s="761"/>
      <c r="N23" s="761"/>
      <c r="O23" s="557"/>
      <c r="P23" s="761"/>
    </row>
    <row r="24" spans="1:16" x14ac:dyDescent="0.25">
      <c r="A24" s="761"/>
      <c r="B24" s="761"/>
      <c r="C24" s="761"/>
      <c r="D24" s="761"/>
      <c r="E24" s="761"/>
      <c r="F24" s="765"/>
      <c r="G24" s="761"/>
      <c r="H24" s="786"/>
      <c r="I24" s="786"/>
      <c r="J24" s="761"/>
      <c r="K24" s="764"/>
      <c r="L24" s="761"/>
      <c r="M24" s="761"/>
      <c r="N24" s="761"/>
      <c r="O24" s="557"/>
      <c r="P24" s="761"/>
    </row>
    <row r="25" spans="1:16" x14ac:dyDescent="0.25">
      <c r="A25" s="773" t="s">
        <v>1000</v>
      </c>
      <c r="B25" s="761"/>
      <c r="C25" s="761"/>
      <c r="D25" s="782">
        <v>-89238953</v>
      </c>
      <c r="E25" s="761"/>
      <c r="F25" s="765">
        <v>0.86</v>
      </c>
      <c r="G25" s="761"/>
      <c r="H25" s="782">
        <v>-767455</v>
      </c>
      <c r="I25" s="783"/>
      <c r="J25" s="782">
        <v>-767455</v>
      </c>
      <c r="K25" s="764"/>
      <c r="L25" s="792">
        <v>0</v>
      </c>
      <c r="M25" s="761"/>
      <c r="N25" s="761"/>
      <c r="O25" s="557"/>
      <c r="P25" s="761"/>
    </row>
    <row r="26" spans="1:16" ht="18" customHeight="1" thickBot="1" x14ac:dyDescent="0.3">
      <c r="A26" s="761"/>
      <c r="B26" s="761"/>
      <c r="C26" s="773" t="s">
        <v>1001</v>
      </c>
      <c r="D26" s="793">
        <f>D17+D23+D25</f>
        <v>6481964603</v>
      </c>
      <c r="E26" s="761"/>
      <c r="F26" s="765"/>
      <c r="G26" s="761"/>
      <c r="H26" s="786"/>
      <c r="I26" s="786"/>
      <c r="J26" s="761"/>
      <c r="K26" s="764"/>
      <c r="L26" s="761"/>
      <c r="M26" s="761"/>
      <c r="N26" s="761"/>
      <c r="O26" s="557"/>
      <c r="P26" s="761"/>
    </row>
    <row r="27" spans="1:16" ht="13.8" thickTop="1" x14ac:dyDescent="0.25">
      <c r="A27" s="761"/>
      <c r="B27" s="761"/>
      <c r="C27" s="761"/>
      <c r="D27" s="786"/>
      <c r="E27" s="761"/>
      <c r="F27" s="765"/>
      <c r="G27" s="761"/>
      <c r="H27" s="786"/>
      <c r="I27" s="786"/>
      <c r="J27" s="761"/>
      <c r="K27" s="764"/>
      <c r="L27" s="761"/>
      <c r="M27" s="761"/>
      <c r="N27" s="761"/>
      <c r="O27" s="557"/>
      <c r="P27" s="761"/>
    </row>
    <row r="28" spans="1:16" x14ac:dyDescent="0.25">
      <c r="A28" s="773" t="s">
        <v>1002</v>
      </c>
      <c r="B28" s="761"/>
      <c r="C28" s="761"/>
      <c r="D28" s="786"/>
      <c r="E28" s="761"/>
      <c r="F28" s="765"/>
      <c r="G28" s="761"/>
      <c r="H28" s="786">
        <f>+H17+H23+H25</f>
        <v>55744895.582999997</v>
      </c>
      <c r="I28" s="765" t="s">
        <v>951</v>
      </c>
      <c r="J28" s="786">
        <f>+J17+J23+J25</f>
        <v>54229850.305600002</v>
      </c>
      <c r="K28" s="764"/>
      <c r="L28" s="786">
        <f>+L17+L23+L25</f>
        <v>1515045</v>
      </c>
      <c r="M28" s="761"/>
      <c r="N28" s="761"/>
      <c r="O28" s="557"/>
      <c r="P28" s="761"/>
    </row>
    <row r="29" spans="1:16" x14ac:dyDescent="0.25">
      <c r="A29" s="761"/>
      <c r="B29" s="761"/>
      <c r="C29" s="761"/>
      <c r="D29" s="761"/>
      <c r="E29" s="761"/>
      <c r="F29" s="765"/>
      <c r="G29" s="761"/>
      <c r="H29" s="761"/>
      <c r="I29" s="765"/>
      <c r="J29" s="761"/>
      <c r="K29" s="764"/>
      <c r="L29" s="761"/>
      <c r="M29" s="761"/>
      <c r="N29" s="761"/>
      <c r="O29" s="557"/>
      <c r="P29" s="761"/>
    </row>
    <row r="30" spans="1:16" x14ac:dyDescent="0.25">
      <c r="A30" s="773" t="s">
        <v>1118</v>
      </c>
      <c r="B30" s="761"/>
      <c r="C30" s="761"/>
      <c r="D30" s="786"/>
      <c r="E30" s="761"/>
      <c r="F30" s="765"/>
      <c r="G30" s="761"/>
      <c r="H30" s="782">
        <f>J30+L30</f>
        <v>1154161.416</v>
      </c>
      <c r="I30" s="765" t="s">
        <v>953</v>
      </c>
      <c r="J30" s="794">
        <f>1148111.61+2</f>
        <v>1148113.6100000001</v>
      </c>
      <c r="K30" s="785"/>
      <c r="L30" s="784">
        <f>L28-L32</f>
        <v>6047.8059999998659</v>
      </c>
      <c r="M30" s="761"/>
      <c r="N30" s="761"/>
      <c r="O30" s="557"/>
      <c r="P30" s="761"/>
    </row>
    <row r="31" spans="1:16" x14ac:dyDescent="0.25">
      <c r="A31" s="761"/>
      <c r="B31" s="761"/>
      <c r="C31" s="761"/>
      <c r="D31" s="786"/>
      <c r="E31" s="761"/>
      <c r="F31" s="765"/>
      <c r="G31" s="761"/>
      <c r="H31" s="786"/>
      <c r="I31" s="765"/>
      <c r="J31" s="761"/>
      <c r="K31" s="764"/>
      <c r="L31" s="761"/>
      <c r="M31" s="761"/>
      <c r="N31" s="761"/>
      <c r="O31" s="557"/>
      <c r="P31" s="761"/>
    </row>
    <row r="32" spans="1:16" ht="13.8" thickBot="1" x14ac:dyDescent="0.3">
      <c r="A32" s="773" t="s">
        <v>1003</v>
      </c>
      <c r="B32" s="761"/>
      <c r="C32" s="761"/>
      <c r="D32" s="786"/>
      <c r="E32" s="761"/>
      <c r="F32" s="765"/>
      <c r="G32" s="761"/>
      <c r="H32" s="793">
        <f>H28-H30</f>
        <v>54590734.166999996</v>
      </c>
      <c r="I32" s="765" t="s">
        <v>952</v>
      </c>
      <c r="J32" s="793">
        <f>J28-J30</f>
        <v>53081736.695600003</v>
      </c>
      <c r="K32" s="765"/>
      <c r="L32" s="793">
        <v>1508997.1940000001</v>
      </c>
      <c r="M32" s="761"/>
      <c r="N32" s="761"/>
      <c r="O32" s="557"/>
      <c r="P32" s="761"/>
    </row>
    <row r="33" spans="1:12" ht="13.8" thickTop="1" x14ac:dyDescent="0.25">
      <c r="A33" s="761"/>
      <c r="B33" s="761"/>
      <c r="C33" s="761"/>
      <c r="D33" s="786"/>
      <c r="E33" s="761"/>
      <c r="F33" s="765"/>
      <c r="G33" s="761"/>
      <c r="H33" s="786"/>
      <c r="I33" s="786"/>
      <c r="J33" s="761"/>
      <c r="K33" s="764"/>
      <c r="L33" s="761"/>
    </row>
    <row r="34" spans="1:12" ht="13.8" thickBot="1" x14ac:dyDescent="0.3">
      <c r="A34" s="773" t="s">
        <v>1004</v>
      </c>
      <c r="B34" s="761"/>
      <c r="C34" s="761"/>
      <c r="D34" s="786"/>
      <c r="E34" s="761"/>
      <c r="F34" s="765"/>
      <c r="G34" s="761"/>
      <c r="H34" s="795">
        <f>+H32/H28</f>
        <v>0.97929565740630831</v>
      </c>
      <c r="I34" s="796"/>
      <c r="J34" s="795">
        <f>+J32/J28</f>
        <v>0.97882875199673125</v>
      </c>
      <c r="K34" s="764"/>
      <c r="L34" s="795">
        <f>+L32/L28</f>
        <v>0.99600816741416931</v>
      </c>
    </row>
    <row r="35" spans="1:12" ht="14.4" thickTop="1" thickBot="1" x14ac:dyDescent="0.3">
      <c r="A35" s="761"/>
      <c r="B35" s="761"/>
      <c r="C35" s="761"/>
      <c r="D35" s="761"/>
      <c r="E35" s="761"/>
      <c r="F35" s="765"/>
      <c r="G35" s="761"/>
      <c r="H35" s="761"/>
      <c r="I35" s="761"/>
      <c r="J35" s="761"/>
      <c r="K35" s="764"/>
      <c r="L35" s="761"/>
    </row>
    <row r="36" spans="1:12" x14ac:dyDescent="0.25">
      <c r="A36" s="761"/>
      <c r="B36" s="1067" t="s">
        <v>1005</v>
      </c>
      <c r="C36" s="1068"/>
      <c r="D36" s="1068"/>
      <c r="E36" s="1068"/>
      <c r="F36" s="1068"/>
      <c r="G36" s="1068"/>
      <c r="H36" s="1068"/>
      <c r="I36" s="1068"/>
      <c r="J36" s="1068"/>
      <c r="K36" s="1068"/>
      <c r="L36" s="1069"/>
    </row>
    <row r="37" spans="1:12" ht="13.8" thickBot="1" x14ac:dyDescent="0.3">
      <c r="A37" s="761"/>
      <c r="B37" s="1022"/>
      <c r="C37" s="1023"/>
      <c r="D37" s="1023"/>
      <c r="E37" s="1023"/>
      <c r="F37" s="1023"/>
      <c r="G37" s="1023"/>
      <c r="H37" s="1023"/>
      <c r="I37" s="1023"/>
      <c r="J37" s="1023"/>
      <c r="K37" s="1023"/>
      <c r="L37" s="1024"/>
    </row>
    <row r="38" spans="1:12" ht="13.8" thickBot="1" x14ac:dyDescent="0.3">
      <c r="A38" s="761"/>
      <c r="B38" s="761"/>
      <c r="C38" s="761"/>
      <c r="D38" s="761"/>
      <c r="E38" s="761"/>
      <c r="F38" s="765"/>
      <c r="G38" s="761"/>
      <c r="H38" s="761"/>
      <c r="I38" s="761"/>
      <c r="J38" s="761"/>
      <c r="K38" s="764"/>
      <c r="L38" s="761"/>
    </row>
    <row r="39" spans="1:12" ht="14.4" customHeight="1" x14ac:dyDescent="0.25">
      <c r="A39" s="296"/>
      <c r="B39" s="1079" t="s">
        <v>1006</v>
      </c>
      <c r="C39" s="982"/>
      <c r="D39" s="982"/>
      <c r="E39" s="982"/>
      <c r="F39" s="982"/>
      <c r="G39" s="982"/>
      <c r="H39" s="982"/>
      <c r="I39" s="982"/>
      <c r="J39" s="982"/>
      <c r="K39" s="982"/>
      <c r="L39" s="983"/>
    </row>
    <row r="40" spans="1:12" ht="14.4" customHeight="1" x14ac:dyDescent="0.25">
      <c r="A40" s="761"/>
      <c r="B40" s="984"/>
      <c r="C40" s="985"/>
      <c r="D40" s="985"/>
      <c r="E40" s="985"/>
      <c r="F40" s="985"/>
      <c r="G40" s="985"/>
      <c r="H40" s="985"/>
      <c r="I40" s="985"/>
      <c r="J40" s="985"/>
      <c r="K40" s="985"/>
      <c r="L40" s="986"/>
    </row>
    <row r="41" spans="1:12" ht="14.4" customHeight="1" x14ac:dyDescent="0.25">
      <c r="A41" s="761"/>
      <c r="B41" s="984"/>
      <c r="C41" s="985"/>
      <c r="D41" s="985"/>
      <c r="E41" s="985"/>
      <c r="F41" s="985"/>
      <c r="G41" s="985"/>
      <c r="H41" s="985"/>
      <c r="I41" s="985"/>
      <c r="J41" s="985"/>
      <c r="K41" s="985"/>
      <c r="L41" s="986"/>
    </row>
    <row r="42" spans="1:12" x14ac:dyDescent="0.25">
      <c r="A42" s="761"/>
      <c r="B42" s="797"/>
      <c r="C42" s="1070"/>
      <c r="D42" s="1070"/>
      <c r="E42" s="1070"/>
      <c r="F42" s="1070"/>
      <c r="G42" s="1070"/>
      <c r="H42" s="1070"/>
      <c r="I42" s="1070"/>
      <c r="J42" s="1070"/>
      <c r="K42" s="766"/>
      <c r="L42" s="798"/>
    </row>
    <row r="43" spans="1:12" ht="14.4" customHeight="1" x14ac:dyDescent="0.25">
      <c r="A43" s="761"/>
      <c r="B43" s="1080" t="s">
        <v>1007</v>
      </c>
      <c r="C43" s="985"/>
      <c r="D43" s="985"/>
      <c r="E43" s="985"/>
      <c r="F43" s="985"/>
      <c r="G43" s="985"/>
      <c r="H43" s="985"/>
      <c r="I43" s="985"/>
      <c r="J43" s="985"/>
      <c r="K43" s="985"/>
      <c r="L43" s="986"/>
    </row>
    <row r="44" spans="1:12" ht="14.4" customHeight="1" x14ac:dyDescent="0.25">
      <c r="A44" s="761"/>
      <c r="B44" s="984"/>
      <c r="C44" s="985"/>
      <c r="D44" s="985"/>
      <c r="E44" s="985"/>
      <c r="F44" s="985"/>
      <c r="G44" s="985"/>
      <c r="H44" s="985"/>
      <c r="I44" s="985"/>
      <c r="J44" s="985"/>
      <c r="K44" s="985"/>
      <c r="L44" s="986"/>
    </row>
    <row r="45" spans="1:12" ht="14.4" customHeight="1" x14ac:dyDescent="0.25">
      <c r="A45" s="761"/>
      <c r="B45" s="984"/>
      <c r="C45" s="985"/>
      <c r="D45" s="985"/>
      <c r="E45" s="985"/>
      <c r="F45" s="985"/>
      <c r="G45" s="985"/>
      <c r="H45" s="985"/>
      <c r="I45" s="985"/>
      <c r="J45" s="985"/>
      <c r="K45" s="985"/>
      <c r="L45" s="986"/>
    </row>
    <row r="46" spans="1:12" ht="14.4" customHeight="1" x14ac:dyDescent="0.25">
      <c r="A46" s="761"/>
      <c r="B46" s="1081"/>
      <c r="C46" s="1041"/>
      <c r="D46" s="1041"/>
      <c r="E46" s="1041"/>
      <c r="F46" s="1041"/>
      <c r="G46" s="1041"/>
      <c r="H46" s="1041"/>
      <c r="I46" s="1041"/>
      <c r="J46" s="1041"/>
      <c r="K46" s="1041"/>
      <c r="L46" s="1082"/>
    </row>
    <row r="47" spans="1:12" x14ac:dyDescent="0.25">
      <c r="A47" s="761"/>
      <c r="B47" s="797"/>
      <c r="C47" s="767"/>
      <c r="D47" s="767"/>
      <c r="E47" s="767"/>
      <c r="F47" s="799"/>
      <c r="G47" s="767"/>
      <c r="H47" s="767"/>
      <c r="I47" s="767"/>
      <c r="J47" s="767"/>
      <c r="K47" s="766"/>
      <c r="L47" s="798"/>
    </row>
    <row r="48" spans="1:12" ht="15.6" customHeight="1" x14ac:dyDescent="0.25">
      <c r="A48" s="761"/>
      <c r="B48" s="1080" t="s">
        <v>1008</v>
      </c>
      <c r="C48" s="1041"/>
      <c r="D48" s="1041"/>
      <c r="E48" s="1041"/>
      <c r="F48" s="1041"/>
      <c r="G48" s="1041"/>
      <c r="H48" s="1041"/>
      <c r="I48" s="1041"/>
      <c r="J48" s="1041"/>
      <c r="K48" s="1041"/>
      <c r="L48" s="1082"/>
    </row>
    <row r="49" spans="2:15" ht="15.6" customHeight="1" x14ac:dyDescent="0.25">
      <c r="B49" s="1081"/>
      <c r="C49" s="1041"/>
      <c r="D49" s="1041"/>
      <c r="E49" s="1041"/>
      <c r="F49" s="1041"/>
      <c r="G49" s="1041"/>
      <c r="H49" s="1041"/>
      <c r="I49" s="1041"/>
      <c r="J49" s="1041"/>
      <c r="K49" s="1041"/>
      <c r="L49" s="1082"/>
      <c r="M49" s="761"/>
      <c r="N49" s="761"/>
      <c r="O49" s="557"/>
    </row>
    <row r="50" spans="2:15" ht="15.6" customHeight="1" x14ac:dyDescent="0.25">
      <c r="B50" s="1081"/>
      <c r="C50" s="1041"/>
      <c r="D50" s="1041"/>
      <c r="E50" s="1041"/>
      <c r="F50" s="1041"/>
      <c r="G50" s="1041"/>
      <c r="H50" s="1041"/>
      <c r="I50" s="1041"/>
      <c r="J50" s="1041"/>
      <c r="K50" s="1041"/>
      <c r="L50" s="1082"/>
      <c r="M50" s="761"/>
      <c r="N50" s="761"/>
      <c r="O50" s="557"/>
    </row>
    <row r="51" spans="2:15" ht="15.6" customHeight="1" thickBot="1" x14ac:dyDescent="0.3">
      <c r="B51" s="1083"/>
      <c r="C51" s="1084"/>
      <c r="D51" s="1084"/>
      <c r="E51" s="1084"/>
      <c r="F51" s="1084"/>
      <c r="G51" s="1084"/>
      <c r="H51" s="1084"/>
      <c r="I51" s="1084"/>
      <c r="J51" s="1084"/>
      <c r="K51" s="1084"/>
      <c r="L51" s="1085"/>
      <c r="M51" s="761"/>
      <c r="N51" s="761"/>
      <c r="O51" s="557"/>
    </row>
    <row r="53" spans="2:15" ht="14.4" customHeight="1" x14ac:dyDescent="0.25">
      <c r="B53" s="1071" t="s">
        <v>1009</v>
      </c>
      <c r="C53" s="1072"/>
      <c r="D53" s="1072"/>
      <c r="E53" s="1072"/>
      <c r="F53" s="1072"/>
      <c r="G53" s="1072"/>
      <c r="H53" s="1072"/>
      <c r="I53" s="1072"/>
      <c r="J53" s="1072"/>
      <c r="K53" s="1072"/>
      <c r="L53" s="1073"/>
      <c r="M53" s="761"/>
      <c r="N53" s="761"/>
      <c r="O53" s="761"/>
    </row>
    <row r="54" spans="2:15" ht="14.4" customHeight="1" x14ac:dyDescent="0.25">
      <c r="B54" s="1074"/>
      <c r="C54" s="921"/>
      <c r="D54" s="921"/>
      <c r="E54" s="921"/>
      <c r="F54" s="921"/>
      <c r="G54" s="921"/>
      <c r="H54" s="921"/>
      <c r="I54" s="921"/>
      <c r="J54" s="921"/>
      <c r="K54" s="921"/>
      <c r="L54" s="1075"/>
      <c r="M54" s="761"/>
      <c r="N54" s="761"/>
      <c r="O54" s="761"/>
    </row>
    <row r="55" spans="2:15" ht="14.4" customHeight="1" x14ac:dyDescent="0.25">
      <c r="B55" s="1076"/>
      <c r="C55" s="1077"/>
      <c r="D55" s="1077"/>
      <c r="E55" s="1077"/>
      <c r="F55" s="1077"/>
      <c r="G55" s="1077"/>
      <c r="H55" s="1077"/>
      <c r="I55" s="1077"/>
      <c r="J55" s="1077"/>
      <c r="K55" s="1077"/>
      <c r="L55" s="1078"/>
      <c r="M55" s="761"/>
      <c r="N55" s="761"/>
      <c r="O55" s="761"/>
    </row>
  </sheetData>
  <customSheetViews>
    <customSheetView guid="{A8748736-0722-49EB-85B6-C9B52DDCFE0E}" showPageBreaks="1" printArea="1" topLeftCell="A25">
      <selection activeCell="B39" sqref="B39:L41"/>
      <pageMargins left="0.75" right="0.75" top="1" bottom="1" header="0.5" footer="0.5"/>
      <printOptions horizontalCentered="1"/>
      <pageSetup scale="86" firstPageNumber="138" fitToHeight="0" orientation="portrait" useFirstPageNumber="1" r:id="rId1"/>
      <headerFooter alignWithMargins="0"/>
    </customSheetView>
    <customSheetView guid="{E0C60316-4586-4AAF-92CB-FA82BB1EB755}">
      <selection sqref="A1:L1"/>
      <pageMargins left="0" right="0" top="0" bottom="0" header="0" footer="0"/>
      <printOptions horizontalCentered="1"/>
      <pageSetup scale="86" firstPageNumber="138" fitToHeight="0" orientation="portrait" useFirstPageNumber="1" r:id="rId2"/>
      <headerFooter alignWithMargins="0"/>
    </customSheetView>
  </customSheetViews>
  <mergeCells count="11">
    <mergeCell ref="B36:L37"/>
    <mergeCell ref="C42:J42"/>
    <mergeCell ref="B53:L55"/>
    <mergeCell ref="B39:L41"/>
    <mergeCell ref="B43:L46"/>
    <mergeCell ref="B48:L51"/>
    <mergeCell ref="A1:L1"/>
    <mergeCell ref="A2:L2"/>
    <mergeCell ref="A3:L3"/>
    <mergeCell ref="A4:L4"/>
    <mergeCell ref="J6:L6"/>
  </mergeCells>
  <printOptions horizontalCentered="1"/>
  <pageMargins left="0.75" right="0.75" top="1" bottom="1" header="0.5" footer="0.5"/>
  <pageSetup scale="86" firstPageNumber="138" fitToHeight="0" orientation="portrait" useFirstPageNumber="1" r:id="rId3"/>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ransitionEvaluation="1" codeName="Sheet34"/>
  <dimension ref="A1:BT34"/>
  <sheetViews>
    <sheetView workbookViewId="0"/>
  </sheetViews>
  <sheetFormatPr defaultColWidth="8.44140625" defaultRowHeight="13.2" x14ac:dyDescent="0.25"/>
  <cols>
    <col min="1" max="2" width="2.44140625" style="308" customWidth="1"/>
    <col min="3" max="3" width="25.5546875" style="308" customWidth="1"/>
    <col min="4" max="4" width="1.5546875" style="308" customWidth="1"/>
    <col min="5" max="5" width="12.5546875" style="308" customWidth="1"/>
    <col min="6" max="6" width="4.109375" style="308" customWidth="1"/>
    <col min="7" max="7" width="1.5546875" style="308" customWidth="1"/>
    <col min="8" max="8" width="14.5546875" style="308" customWidth="1"/>
    <col min="9" max="9" width="4.109375" style="308" customWidth="1"/>
    <col min="10" max="10" width="1.5546875" style="308" customWidth="1"/>
    <col min="11" max="11" width="14.109375" style="308" customWidth="1"/>
    <col min="12" max="12" width="2.44140625" style="308" customWidth="1"/>
    <col min="13" max="13" width="26.44140625" style="308" customWidth="1"/>
    <col min="14" max="14" width="20.44140625" style="308" customWidth="1"/>
    <col min="15" max="15" width="3" style="308" customWidth="1"/>
    <col min="16" max="16" width="13.33203125" style="308" customWidth="1"/>
    <col min="17" max="17" width="5" style="310" customWidth="1"/>
    <col min="18" max="18" width="7.109375" style="308" customWidth="1"/>
    <col min="19" max="19" width="3.33203125" style="308" customWidth="1"/>
    <col min="20" max="51" width="8.44140625" style="310"/>
    <col min="52" max="16384" width="8.44140625" style="308"/>
  </cols>
  <sheetData>
    <row r="1" spans="1:72" x14ac:dyDescent="0.25">
      <c r="A1" s="307"/>
      <c r="K1" s="309"/>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row>
    <row r="2" spans="1:72" x14ac:dyDescent="0.25">
      <c r="A2" s="311" t="s">
        <v>1</v>
      </c>
      <c r="B2" s="312"/>
      <c r="C2" s="312"/>
      <c r="D2" s="312"/>
      <c r="E2" s="312"/>
      <c r="F2" s="312"/>
      <c r="G2" s="312"/>
      <c r="H2" s="312"/>
      <c r="I2" s="312"/>
      <c r="J2" s="312"/>
      <c r="K2" s="312"/>
      <c r="M2" s="558"/>
      <c r="N2" s="558"/>
      <c r="O2" s="558"/>
      <c r="P2" s="558"/>
      <c r="Q2" s="558"/>
      <c r="R2" s="558"/>
      <c r="S2" s="558"/>
      <c r="T2" s="558"/>
      <c r="U2" s="558"/>
      <c r="V2" s="558"/>
      <c r="W2" s="558"/>
      <c r="X2" s="558"/>
      <c r="Y2" s="558"/>
      <c r="Z2" s="558"/>
      <c r="AA2" s="558"/>
      <c r="AB2" s="558"/>
      <c r="AC2" s="558"/>
      <c r="AD2" s="558"/>
      <c r="AE2" s="558"/>
      <c r="AF2" s="558"/>
      <c r="AG2" s="558"/>
      <c r="AH2" s="558"/>
      <c r="AI2" s="558"/>
      <c r="AJ2" s="558"/>
      <c r="AK2" s="558"/>
      <c r="AL2" s="558"/>
      <c r="AM2" s="558"/>
      <c r="AN2" s="558"/>
      <c r="AO2" s="558"/>
      <c r="AP2" s="558"/>
      <c r="AQ2" s="558"/>
      <c r="AR2" s="558"/>
      <c r="AS2" s="558"/>
      <c r="AT2" s="558"/>
      <c r="AU2" s="558"/>
      <c r="AV2" s="558"/>
      <c r="AW2" s="558"/>
      <c r="AX2" s="558"/>
      <c r="AY2" s="558"/>
      <c r="AZ2" s="558"/>
      <c r="BA2" s="558"/>
      <c r="BB2" s="558"/>
      <c r="BC2" s="558"/>
      <c r="BD2" s="558"/>
      <c r="BE2" s="558"/>
      <c r="BF2" s="558"/>
      <c r="BG2" s="558"/>
      <c r="BH2" s="558"/>
      <c r="BI2" s="558"/>
      <c r="BJ2" s="558"/>
      <c r="BK2" s="558"/>
      <c r="BL2" s="558"/>
      <c r="BM2" s="558"/>
      <c r="BN2" s="558"/>
      <c r="BO2" s="558"/>
      <c r="BP2" s="558"/>
      <c r="BQ2" s="558"/>
      <c r="BR2" s="558"/>
      <c r="BS2" s="558"/>
      <c r="BT2" s="558"/>
    </row>
    <row r="3" spans="1:72" x14ac:dyDescent="0.25">
      <c r="A3" s="311" t="s">
        <v>980</v>
      </c>
      <c r="B3" s="312"/>
      <c r="C3" s="312"/>
      <c r="D3" s="312"/>
      <c r="E3" s="312"/>
      <c r="F3" s="312"/>
      <c r="G3" s="312"/>
      <c r="H3" s="312"/>
      <c r="I3" s="312"/>
      <c r="J3" s="312"/>
      <c r="K3" s="312"/>
      <c r="M3" s="558"/>
      <c r="N3" s="558"/>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8"/>
      <c r="AN3" s="558"/>
      <c r="AO3" s="558"/>
      <c r="AP3" s="558"/>
      <c r="AQ3" s="558"/>
      <c r="AR3" s="558"/>
      <c r="AS3" s="558"/>
      <c r="AT3" s="558"/>
      <c r="AU3" s="558"/>
      <c r="AV3" s="558"/>
      <c r="AW3" s="558"/>
      <c r="AX3" s="558"/>
      <c r="AY3" s="558"/>
      <c r="AZ3" s="558"/>
      <c r="BA3" s="558"/>
      <c r="BB3" s="558"/>
      <c r="BC3" s="558"/>
      <c r="BD3" s="558"/>
      <c r="BE3" s="558"/>
      <c r="BF3" s="558"/>
      <c r="BG3" s="558"/>
      <c r="BH3" s="558"/>
      <c r="BI3" s="558"/>
      <c r="BJ3" s="558"/>
      <c r="BK3" s="558"/>
      <c r="BL3" s="558"/>
      <c r="BM3" s="558"/>
      <c r="BN3" s="558"/>
      <c r="BO3" s="558"/>
      <c r="BP3" s="558"/>
      <c r="BQ3" s="558"/>
      <c r="BR3" s="558"/>
      <c r="BS3" s="558"/>
      <c r="BT3" s="558"/>
    </row>
    <row r="4" spans="1:72" x14ac:dyDescent="0.25">
      <c r="A4" s="311" t="s">
        <v>981</v>
      </c>
      <c r="B4" s="312"/>
      <c r="C4" s="312"/>
      <c r="D4" s="312"/>
      <c r="E4" s="312"/>
      <c r="F4" s="312"/>
      <c r="G4" s="312"/>
      <c r="H4" s="312"/>
      <c r="I4" s="312"/>
      <c r="J4" s="312"/>
      <c r="K4" s="312"/>
      <c r="M4" s="558"/>
      <c r="N4" s="558"/>
      <c r="O4" s="558"/>
      <c r="P4" s="558"/>
      <c r="Q4" s="558"/>
      <c r="R4" s="558"/>
      <c r="S4" s="558"/>
      <c r="T4" s="558"/>
      <c r="U4" s="558"/>
      <c r="V4" s="558"/>
      <c r="W4" s="558"/>
      <c r="X4" s="558"/>
      <c r="Y4" s="558"/>
      <c r="Z4" s="558"/>
      <c r="AA4" s="558"/>
      <c r="AB4" s="558"/>
      <c r="AC4" s="558"/>
      <c r="AD4" s="558"/>
      <c r="AE4" s="558"/>
      <c r="AF4" s="558"/>
      <c r="AG4" s="558"/>
      <c r="AH4" s="558"/>
      <c r="AI4" s="558"/>
      <c r="AJ4" s="558"/>
      <c r="AK4" s="558"/>
      <c r="AL4" s="558"/>
      <c r="AM4" s="558"/>
      <c r="AN4" s="558"/>
      <c r="AO4" s="558"/>
      <c r="AP4" s="558"/>
      <c r="AQ4" s="558"/>
      <c r="AR4" s="558"/>
      <c r="AS4" s="558"/>
      <c r="AT4" s="558"/>
      <c r="AU4" s="558"/>
      <c r="AV4" s="558"/>
      <c r="AW4" s="558"/>
      <c r="AX4" s="558"/>
      <c r="AY4" s="558"/>
      <c r="AZ4" s="558"/>
      <c r="BA4" s="558"/>
      <c r="BB4" s="558"/>
      <c r="BC4" s="558"/>
      <c r="BD4" s="558"/>
      <c r="BE4" s="558"/>
      <c r="BF4" s="558"/>
      <c r="BG4" s="558"/>
      <c r="BH4" s="558"/>
      <c r="BI4" s="558"/>
      <c r="BJ4" s="558"/>
      <c r="BK4" s="558"/>
      <c r="BL4" s="558"/>
      <c r="BM4" s="558"/>
      <c r="BN4" s="558"/>
      <c r="BO4" s="558"/>
      <c r="BP4" s="558"/>
      <c r="BQ4" s="558"/>
      <c r="BR4" s="558"/>
      <c r="BS4" s="558"/>
      <c r="BT4" s="558"/>
    </row>
    <row r="5" spans="1:72" x14ac:dyDescent="0.25">
      <c r="A5" s="311" t="str">
        <f>GFIS_BA!A5</f>
        <v>For the Year Ended June 30, 2022</v>
      </c>
      <c r="B5" s="312"/>
      <c r="C5" s="312"/>
      <c r="D5" s="312"/>
      <c r="E5" s="312"/>
      <c r="F5" s="312"/>
      <c r="G5" s="312"/>
      <c r="H5" s="312"/>
      <c r="I5" s="312"/>
      <c r="J5" s="312"/>
      <c r="K5" s="312"/>
      <c r="M5" s="558"/>
      <c r="N5" s="558"/>
      <c r="O5" s="558"/>
      <c r="P5" s="558"/>
      <c r="Q5" s="558"/>
      <c r="R5" s="558"/>
      <c r="S5" s="558"/>
      <c r="T5" s="558"/>
      <c r="U5" s="558"/>
      <c r="V5" s="558"/>
      <c r="W5" s="558"/>
      <c r="X5" s="558"/>
      <c r="Y5" s="558"/>
      <c r="Z5" s="558"/>
      <c r="AA5" s="558"/>
      <c r="AB5" s="558"/>
      <c r="AC5" s="558"/>
      <c r="AD5" s="558"/>
      <c r="AE5" s="558"/>
      <c r="AF5" s="558"/>
      <c r="AG5" s="558"/>
      <c r="AH5" s="558"/>
      <c r="AI5" s="558"/>
      <c r="AJ5" s="558"/>
      <c r="AK5" s="558"/>
      <c r="AL5" s="558"/>
      <c r="AM5" s="558"/>
      <c r="AN5" s="558"/>
      <c r="AO5" s="558"/>
      <c r="AP5" s="558"/>
      <c r="AQ5" s="558"/>
      <c r="AR5" s="558"/>
      <c r="AS5" s="558"/>
      <c r="AT5" s="558"/>
      <c r="AU5" s="558"/>
      <c r="AV5" s="558"/>
      <c r="AW5" s="558"/>
      <c r="AX5" s="558"/>
      <c r="AY5" s="558"/>
      <c r="AZ5" s="558"/>
      <c r="BA5" s="558"/>
      <c r="BB5" s="558"/>
      <c r="BC5" s="558"/>
      <c r="BD5" s="558"/>
      <c r="BE5" s="558"/>
      <c r="BF5" s="558"/>
      <c r="BG5" s="558"/>
      <c r="BH5" s="558"/>
      <c r="BI5" s="558"/>
      <c r="BJ5" s="558"/>
      <c r="BK5" s="558"/>
      <c r="BL5" s="558"/>
      <c r="BM5" s="558"/>
      <c r="BN5" s="558"/>
      <c r="BO5" s="558"/>
      <c r="BP5" s="558"/>
      <c r="BQ5" s="558"/>
      <c r="BR5" s="558"/>
      <c r="BS5" s="558"/>
      <c r="BT5" s="558"/>
    </row>
    <row r="6" spans="1:72" ht="13.8" thickBot="1" x14ac:dyDescent="0.3">
      <c r="A6" s="313"/>
      <c r="B6" s="313"/>
      <c r="C6" s="313"/>
      <c r="D6" s="313"/>
      <c r="E6" s="313"/>
      <c r="F6" s="313"/>
      <c r="G6" s="313"/>
      <c r="H6" s="313"/>
      <c r="I6" s="313"/>
      <c r="J6" s="313"/>
      <c r="K6" s="313"/>
      <c r="M6" s="558"/>
      <c r="N6" s="558"/>
      <c r="O6" s="558"/>
      <c r="P6" s="558"/>
      <c r="Q6" s="558"/>
      <c r="R6" s="558"/>
      <c r="S6" s="558"/>
      <c r="T6" s="558"/>
      <c r="U6" s="558"/>
      <c r="V6" s="558"/>
      <c r="W6" s="558"/>
      <c r="X6" s="558"/>
      <c r="Y6" s="558"/>
      <c r="Z6" s="558"/>
      <c r="AA6" s="558"/>
      <c r="AB6" s="558"/>
      <c r="AC6" s="558"/>
      <c r="AD6" s="558"/>
      <c r="AE6" s="558"/>
      <c r="AF6" s="558"/>
      <c r="AG6" s="558"/>
      <c r="AH6" s="558"/>
      <c r="AI6" s="558"/>
      <c r="AJ6" s="558"/>
      <c r="AK6" s="558"/>
      <c r="AL6" s="558"/>
      <c r="AM6" s="558"/>
      <c r="AN6" s="558"/>
      <c r="AO6" s="558"/>
      <c r="AP6" s="558"/>
      <c r="AQ6" s="558"/>
      <c r="AR6" s="558"/>
      <c r="AS6" s="558"/>
      <c r="AT6" s="558"/>
      <c r="AU6" s="558"/>
      <c r="AV6" s="558"/>
      <c r="AW6" s="558"/>
      <c r="AX6" s="558"/>
      <c r="AY6" s="558"/>
      <c r="AZ6" s="558"/>
      <c r="BA6" s="558"/>
      <c r="BB6" s="558"/>
      <c r="BC6" s="558"/>
      <c r="BD6" s="558"/>
      <c r="BE6" s="558"/>
      <c r="BF6" s="558"/>
      <c r="BG6" s="558"/>
      <c r="BH6" s="558"/>
      <c r="BI6" s="558"/>
      <c r="BJ6" s="558"/>
      <c r="BK6" s="558"/>
      <c r="BL6" s="558"/>
      <c r="BM6" s="558"/>
      <c r="BN6" s="558"/>
      <c r="BO6" s="558"/>
      <c r="BP6" s="558"/>
      <c r="BQ6" s="558"/>
      <c r="BR6" s="558"/>
      <c r="BS6" s="558"/>
      <c r="BT6" s="558"/>
    </row>
    <row r="7" spans="1:72" x14ac:dyDescent="0.25">
      <c r="K7" s="309"/>
      <c r="M7" s="558"/>
      <c r="N7" s="558"/>
      <c r="O7" s="558"/>
      <c r="P7" s="558"/>
      <c r="Q7" s="558"/>
      <c r="R7" s="558"/>
      <c r="S7" s="558"/>
      <c r="T7" s="558"/>
      <c r="U7" s="558"/>
      <c r="V7" s="558"/>
      <c r="W7" s="558"/>
      <c r="X7" s="558"/>
      <c r="Y7" s="558"/>
      <c r="Z7" s="558"/>
      <c r="AA7" s="558"/>
      <c r="AB7" s="558"/>
      <c r="AC7" s="558"/>
      <c r="AD7" s="558"/>
      <c r="AE7" s="558"/>
      <c r="AF7" s="558"/>
      <c r="AG7" s="558"/>
      <c r="AH7" s="558"/>
      <c r="AI7" s="558"/>
      <c r="AJ7" s="558"/>
      <c r="AK7" s="558"/>
      <c r="AL7" s="558"/>
      <c r="AM7" s="558"/>
      <c r="AN7" s="558"/>
      <c r="AO7" s="558"/>
      <c r="AP7" s="558"/>
      <c r="AQ7" s="558"/>
      <c r="AR7" s="558"/>
      <c r="AS7" s="558"/>
      <c r="AT7" s="558"/>
      <c r="AU7" s="558"/>
      <c r="AV7" s="558"/>
      <c r="AW7" s="558"/>
      <c r="AX7" s="558"/>
      <c r="AY7" s="558"/>
      <c r="AZ7" s="558"/>
      <c r="BA7" s="558"/>
      <c r="BB7" s="558"/>
      <c r="BC7" s="558"/>
      <c r="BD7" s="558"/>
      <c r="BE7" s="558"/>
      <c r="BF7" s="558"/>
      <c r="BG7" s="558"/>
      <c r="BH7" s="558"/>
      <c r="BI7" s="558"/>
      <c r="BJ7" s="558"/>
      <c r="BK7" s="558"/>
      <c r="BL7" s="558"/>
      <c r="BM7" s="558"/>
      <c r="BN7" s="558"/>
      <c r="BO7" s="558"/>
      <c r="BP7" s="558"/>
      <c r="BQ7" s="558"/>
      <c r="BR7" s="558"/>
      <c r="BS7" s="558"/>
      <c r="BT7" s="558"/>
    </row>
    <row r="8" spans="1:72" x14ac:dyDescent="0.25">
      <c r="K8" s="309"/>
      <c r="M8" s="558"/>
      <c r="N8" s="558"/>
      <c r="O8" s="558"/>
      <c r="P8" s="558"/>
      <c r="Q8" s="558"/>
      <c r="R8" s="558"/>
      <c r="S8" s="558"/>
      <c r="T8" s="558"/>
      <c r="U8" s="558"/>
      <c r="V8" s="558"/>
      <c r="W8" s="558"/>
      <c r="X8" s="558"/>
      <c r="Y8" s="558"/>
      <c r="Z8" s="558"/>
      <c r="AA8" s="558"/>
      <c r="AB8" s="558"/>
      <c r="AC8" s="558"/>
      <c r="AD8" s="558"/>
      <c r="AE8" s="558"/>
      <c r="AF8" s="558"/>
      <c r="AG8" s="558"/>
      <c r="AH8" s="558"/>
      <c r="AI8" s="558"/>
      <c r="AJ8" s="558"/>
      <c r="AK8" s="558"/>
      <c r="AL8" s="558"/>
      <c r="AM8" s="558"/>
      <c r="AN8" s="558"/>
      <c r="AO8" s="558"/>
      <c r="AP8" s="558"/>
      <c r="AQ8" s="558"/>
      <c r="AR8" s="558"/>
      <c r="AS8" s="558"/>
      <c r="AT8" s="558"/>
      <c r="AU8" s="558"/>
      <c r="AV8" s="558"/>
      <c r="AW8" s="558"/>
      <c r="AX8" s="558"/>
      <c r="AY8" s="558"/>
      <c r="AZ8" s="558"/>
      <c r="BA8" s="558"/>
      <c r="BB8" s="558"/>
      <c r="BC8" s="558"/>
      <c r="BD8" s="558"/>
      <c r="BE8" s="558"/>
      <c r="BF8" s="558"/>
      <c r="BG8" s="558"/>
      <c r="BH8" s="558"/>
      <c r="BI8" s="558"/>
      <c r="BJ8" s="558"/>
      <c r="BK8" s="558"/>
      <c r="BL8" s="558"/>
      <c r="BM8" s="558"/>
      <c r="BN8" s="558"/>
      <c r="BO8" s="558"/>
      <c r="BP8" s="558"/>
      <c r="BQ8" s="558"/>
      <c r="BR8" s="558"/>
      <c r="BS8" s="558"/>
      <c r="BT8" s="558"/>
    </row>
    <row r="9" spans="1:72" x14ac:dyDescent="0.25">
      <c r="K9" s="309"/>
      <c r="M9" s="558"/>
      <c r="N9" s="558"/>
      <c r="O9" s="558"/>
      <c r="P9" s="558"/>
      <c r="Q9" s="558"/>
      <c r="R9" s="558"/>
      <c r="S9" s="558"/>
      <c r="T9" s="558"/>
      <c r="U9" s="558"/>
      <c r="V9" s="558"/>
      <c r="W9" s="558"/>
      <c r="X9" s="558"/>
      <c r="Y9" s="558"/>
      <c r="Z9" s="558"/>
      <c r="AA9" s="558"/>
      <c r="AB9" s="558"/>
      <c r="AC9" s="558"/>
      <c r="AD9" s="558"/>
      <c r="AE9" s="558"/>
      <c r="AF9" s="558"/>
      <c r="AG9" s="558"/>
      <c r="AH9" s="558"/>
      <c r="AI9" s="558"/>
      <c r="AJ9" s="558"/>
      <c r="AK9" s="558"/>
      <c r="AL9" s="558"/>
      <c r="AM9" s="558"/>
      <c r="AN9" s="558"/>
      <c r="AO9" s="558"/>
      <c r="AP9" s="558"/>
      <c r="AQ9" s="558"/>
      <c r="AR9" s="558"/>
      <c r="AS9" s="558"/>
      <c r="AT9" s="558"/>
      <c r="AU9" s="558"/>
      <c r="AV9" s="558"/>
      <c r="AW9" s="558"/>
      <c r="AX9" s="558"/>
      <c r="AY9" s="558"/>
      <c r="AZ9" s="558"/>
      <c r="BA9" s="558"/>
      <c r="BB9" s="558"/>
      <c r="BC9" s="558"/>
      <c r="BD9" s="558"/>
      <c r="BE9" s="558"/>
      <c r="BF9" s="558"/>
      <c r="BG9" s="558"/>
      <c r="BH9" s="558"/>
      <c r="BI9" s="558"/>
      <c r="BJ9" s="558"/>
      <c r="BK9" s="558"/>
      <c r="BL9" s="558"/>
      <c r="BM9" s="558"/>
      <c r="BN9" s="558"/>
      <c r="BO9" s="558"/>
      <c r="BP9" s="558"/>
      <c r="BQ9" s="558"/>
      <c r="BR9" s="558"/>
      <c r="BS9" s="558"/>
      <c r="BT9" s="558"/>
    </row>
    <row r="10" spans="1:72" x14ac:dyDescent="0.25">
      <c r="K10" s="309"/>
      <c r="M10" s="558"/>
      <c r="N10" s="558"/>
      <c r="O10" s="558"/>
      <c r="P10" s="558"/>
      <c r="Q10" s="558"/>
      <c r="R10" s="558"/>
      <c r="S10" s="558"/>
      <c r="T10" s="558"/>
      <c r="U10" s="558"/>
      <c r="V10" s="558"/>
      <c r="W10" s="558"/>
      <c r="X10" s="558"/>
      <c r="Y10" s="558"/>
      <c r="Z10" s="558"/>
      <c r="AA10" s="558"/>
      <c r="AB10" s="558"/>
      <c r="AC10" s="558"/>
      <c r="AD10" s="558"/>
      <c r="AE10" s="558"/>
      <c r="AF10" s="558"/>
      <c r="AG10" s="558"/>
      <c r="AH10" s="558"/>
      <c r="AI10" s="558"/>
      <c r="AJ10" s="558"/>
      <c r="AK10" s="558"/>
      <c r="AL10" s="558"/>
      <c r="AM10" s="558"/>
      <c r="AN10" s="558"/>
      <c r="AO10" s="558"/>
      <c r="AP10" s="558"/>
      <c r="AQ10" s="558"/>
      <c r="AR10" s="558"/>
      <c r="AS10" s="558"/>
      <c r="AT10" s="558"/>
      <c r="AU10" s="558"/>
      <c r="AV10" s="558"/>
      <c r="AW10" s="558"/>
      <c r="AX10" s="558"/>
      <c r="AY10" s="558"/>
      <c r="AZ10" s="558"/>
      <c r="BA10" s="558"/>
      <c r="BB10" s="558"/>
      <c r="BC10" s="558"/>
      <c r="BD10" s="558"/>
      <c r="BE10" s="558"/>
      <c r="BF10" s="558"/>
      <c r="BG10" s="558"/>
      <c r="BH10" s="558"/>
      <c r="BI10" s="558"/>
      <c r="BJ10" s="558"/>
      <c r="BK10" s="558"/>
      <c r="BL10" s="558"/>
      <c r="BM10" s="558"/>
      <c r="BN10" s="558"/>
      <c r="BO10" s="558"/>
      <c r="BP10" s="558"/>
      <c r="BQ10" s="558"/>
      <c r="BR10" s="558"/>
      <c r="BS10" s="558"/>
      <c r="BT10" s="558"/>
    </row>
    <row r="11" spans="1:72" x14ac:dyDescent="0.25">
      <c r="K11" s="309"/>
      <c r="M11" s="558"/>
      <c r="N11" s="558"/>
      <c r="O11" s="558"/>
      <c r="P11" s="558"/>
      <c r="Q11" s="558"/>
      <c r="R11" s="558"/>
      <c r="S11" s="558"/>
      <c r="T11" s="558"/>
      <c r="U11" s="558"/>
      <c r="V11" s="558"/>
      <c r="W11" s="558"/>
      <c r="X11" s="558"/>
      <c r="Y11" s="558"/>
      <c r="Z11" s="558"/>
      <c r="AA11" s="558"/>
      <c r="AB11" s="558"/>
      <c r="AC11" s="558"/>
      <c r="AD11" s="558"/>
      <c r="AE11" s="558"/>
      <c r="AF11" s="558"/>
      <c r="AG11" s="558"/>
      <c r="AH11" s="558"/>
      <c r="AI11" s="558"/>
      <c r="AJ11" s="558"/>
      <c r="AK11" s="558"/>
      <c r="AL11" s="558"/>
      <c r="AM11" s="558"/>
      <c r="AN11" s="558"/>
      <c r="AO11" s="558"/>
      <c r="AP11" s="558"/>
      <c r="AQ11" s="558"/>
      <c r="AR11" s="558"/>
      <c r="AS11" s="558"/>
      <c r="AT11" s="558"/>
      <c r="AU11" s="558"/>
      <c r="AV11" s="558"/>
      <c r="AW11" s="558"/>
      <c r="AX11" s="558"/>
      <c r="AY11" s="558"/>
      <c r="AZ11" s="558"/>
      <c r="BA11" s="558"/>
      <c r="BB11" s="558"/>
      <c r="BC11" s="558"/>
      <c r="BD11" s="558"/>
      <c r="BE11" s="558"/>
      <c r="BF11" s="558"/>
      <c r="BG11" s="558"/>
      <c r="BH11" s="558"/>
      <c r="BI11" s="558"/>
      <c r="BJ11" s="558"/>
      <c r="BK11" s="558"/>
      <c r="BL11" s="558"/>
      <c r="BM11" s="558"/>
      <c r="BN11" s="558"/>
      <c r="BO11" s="558"/>
      <c r="BP11" s="558"/>
      <c r="BQ11" s="558"/>
      <c r="BR11" s="558"/>
      <c r="BS11" s="558"/>
      <c r="BT11" s="558"/>
    </row>
    <row r="12" spans="1:72" x14ac:dyDescent="0.25">
      <c r="A12" s="314" t="s">
        <v>1010</v>
      </c>
      <c r="B12" s="314"/>
      <c r="C12" s="314"/>
      <c r="M12" s="558"/>
      <c r="N12" s="558"/>
      <c r="O12" s="558"/>
      <c r="P12" s="558"/>
      <c r="Q12" s="558"/>
      <c r="R12" s="558"/>
      <c r="S12" s="558"/>
      <c r="T12" s="558"/>
      <c r="U12" s="558"/>
      <c r="V12" s="558"/>
      <c r="W12" s="558"/>
      <c r="X12" s="558"/>
      <c r="Y12" s="558"/>
      <c r="Z12" s="558"/>
      <c r="AA12" s="558"/>
      <c r="AB12" s="558"/>
      <c r="AC12" s="558"/>
      <c r="AD12" s="558"/>
      <c r="AE12" s="558"/>
      <c r="AF12" s="558"/>
      <c r="AG12" s="558"/>
      <c r="AH12" s="558"/>
      <c r="AI12" s="558"/>
      <c r="AJ12" s="558"/>
      <c r="AK12" s="558"/>
      <c r="AL12" s="558"/>
      <c r="AM12" s="558"/>
      <c r="AN12" s="558"/>
      <c r="AO12" s="558"/>
      <c r="AP12" s="558"/>
      <c r="AQ12" s="558"/>
      <c r="AR12" s="558"/>
      <c r="AS12" s="558"/>
      <c r="AT12" s="558"/>
      <c r="AU12" s="558"/>
      <c r="AV12" s="558"/>
      <c r="AW12" s="558"/>
      <c r="AX12" s="558"/>
      <c r="AY12" s="558"/>
      <c r="AZ12" s="558"/>
      <c r="BA12" s="558"/>
      <c r="BB12" s="558"/>
      <c r="BC12" s="558"/>
      <c r="BD12" s="558"/>
      <c r="BE12" s="558"/>
      <c r="BF12" s="558"/>
      <c r="BG12" s="558"/>
      <c r="BH12" s="558"/>
      <c r="BI12" s="558"/>
      <c r="BJ12" s="558"/>
      <c r="BK12" s="558"/>
      <c r="BL12" s="558"/>
      <c r="BM12" s="558"/>
      <c r="BN12" s="558"/>
      <c r="BO12" s="558"/>
      <c r="BP12" s="558"/>
      <c r="BQ12" s="558"/>
      <c r="BR12" s="558"/>
      <c r="BS12" s="558"/>
      <c r="BT12" s="558"/>
    </row>
    <row r="13" spans="1:72" x14ac:dyDescent="0.25">
      <c r="A13" s="308" t="s">
        <v>122</v>
      </c>
      <c r="M13" s="558"/>
      <c r="N13" s="558"/>
      <c r="O13" s="558"/>
      <c r="P13" s="558"/>
      <c r="Q13" s="558"/>
      <c r="R13" s="558"/>
      <c r="S13" s="558"/>
      <c r="T13" s="558"/>
      <c r="U13" s="558"/>
      <c r="V13" s="558"/>
      <c r="W13" s="558"/>
      <c r="X13" s="558"/>
      <c r="Y13" s="558"/>
      <c r="Z13" s="558"/>
      <c r="AA13" s="558"/>
      <c r="AB13" s="558"/>
      <c r="AC13" s="558"/>
      <c r="AD13" s="558"/>
      <c r="AE13" s="558"/>
      <c r="AF13" s="558"/>
      <c r="AG13" s="558"/>
      <c r="AH13" s="558"/>
      <c r="AI13" s="558"/>
      <c r="AJ13" s="558"/>
      <c r="AK13" s="558"/>
      <c r="AL13" s="558"/>
      <c r="AM13" s="558"/>
      <c r="AN13" s="558"/>
      <c r="AO13" s="558"/>
      <c r="AP13" s="558"/>
      <c r="AQ13" s="558"/>
      <c r="AR13" s="558"/>
      <c r="AS13" s="558"/>
      <c r="AT13" s="558"/>
      <c r="AU13" s="558"/>
      <c r="AV13" s="558"/>
      <c r="AW13" s="558"/>
      <c r="AX13" s="558"/>
      <c r="AY13" s="558"/>
      <c r="AZ13" s="558"/>
      <c r="BA13" s="558"/>
      <c r="BB13" s="558"/>
      <c r="BC13" s="558"/>
      <c r="BD13" s="558"/>
      <c r="BE13" s="558"/>
      <c r="BF13" s="558"/>
      <c r="BG13" s="558"/>
      <c r="BH13" s="558"/>
      <c r="BI13" s="558"/>
      <c r="BJ13" s="558"/>
      <c r="BK13" s="558"/>
      <c r="BL13" s="558"/>
      <c r="BM13" s="558"/>
      <c r="BN13" s="558"/>
      <c r="BO13" s="558"/>
      <c r="BP13" s="558"/>
      <c r="BQ13" s="558"/>
      <c r="BR13" s="558"/>
      <c r="BS13" s="558"/>
      <c r="BT13" s="558"/>
    </row>
    <row r="14" spans="1:72" x14ac:dyDescent="0.25">
      <c r="A14" s="315" t="s">
        <v>1011</v>
      </c>
      <c r="B14" s="315"/>
      <c r="C14" s="315"/>
      <c r="D14" s="315"/>
      <c r="E14" s="315"/>
      <c r="M14" s="558"/>
      <c r="N14" s="558"/>
      <c r="O14" s="558"/>
      <c r="P14" s="558"/>
      <c r="Q14" s="558"/>
      <c r="R14" s="558"/>
      <c r="S14" s="558"/>
      <c r="T14" s="558"/>
      <c r="U14" s="558"/>
      <c r="V14" s="558"/>
      <c r="W14" s="558"/>
      <c r="X14" s="558"/>
      <c r="Y14" s="558"/>
      <c r="Z14" s="558"/>
      <c r="AA14" s="558"/>
      <c r="AB14" s="558"/>
      <c r="AC14" s="558"/>
      <c r="AD14" s="558"/>
      <c r="AE14" s="558"/>
      <c r="AF14" s="558"/>
      <c r="AG14" s="558"/>
      <c r="AH14" s="558"/>
      <c r="AI14" s="558"/>
      <c r="AJ14" s="558"/>
      <c r="AK14" s="558"/>
      <c r="AL14" s="558"/>
      <c r="AM14" s="558"/>
      <c r="AN14" s="558"/>
      <c r="AO14" s="558"/>
      <c r="AP14" s="558"/>
      <c r="AQ14" s="558"/>
      <c r="AR14" s="558"/>
      <c r="AS14" s="558"/>
      <c r="AT14" s="558"/>
      <c r="AU14" s="558"/>
      <c r="AV14" s="558"/>
      <c r="AW14" s="558"/>
      <c r="AX14" s="558"/>
      <c r="AY14" s="558"/>
      <c r="AZ14" s="558"/>
      <c r="BA14" s="558"/>
      <c r="BB14" s="558"/>
      <c r="BC14" s="558"/>
      <c r="BD14" s="558"/>
      <c r="BE14" s="558"/>
      <c r="BF14" s="558"/>
      <c r="BG14" s="558"/>
      <c r="BH14" s="558"/>
      <c r="BI14" s="558"/>
      <c r="BJ14" s="558"/>
      <c r="BK14" s="558"/>
      <c r="BL14" s="558"/>
      <c r="BM14" s="558"/>
      <c r="BN14" s="558"/>
      <c r="BO14" s="558"/>
      <c r="BP14" s="558"/>
      <c r="BQ14" s="558"/>
      <c r="BR14" s="558"/>
      <c r="BS14" s="558"/>
      <c r="BT14" s="558"/>
    </row>
    <row r="15" spans="1:72" x14ac:dyDescent="0.25">
      <c r="A15" s="315" t="s">
        <v>122</v>
      </c>
      <c r="B15" s="315"/>
      <c r="C15" s="315" t="s">
        <v>1012</v>
      </c>
      <c r="D15" s="315"/>
      <c r="E15" s="315" t="s">
        <v>122</v>
      </c>
      <c r="I15" s="308" t="s">
        <v>122</v>
      </c>
      <c r="K15" s="316">
        <v>1</v>
      </c>
      <c r="M15" s="558"/>
      <c r="N15" s="558"/>
      <c r="O15" s="558"/>
      <c r="P15" s="558"/>
      <c r="Q15" s="558"/>
      <c r="R15" s="558"/>
      <c r="S15" s="558"/>
      <c r="T15" s="558"/>
      <c r="U15" s="558"/>
      <c r="V15" s="558"/>
      <c r="W15" s="558"/>
      <c r="X15" s="558"/>
      <c r="Y15" s="558"/>
      <c r="Z15" s="558"/>
      <c r="AA15" s="558"/>
      <c r="AB15" s="558"/>
      <c r="AC15" s="558"/>
      <c r="AD15" s="558"/>
      <c r="AE15" s="558"/>
      <c r="AF15" s="558"/>
      <c r="AG15" s="558"/>
      <c r="AH15" s="558"/>
      <c r="AI15" s="558"/>
      <c r="AJ15" s="558"/>
      <c r="AK15" s="558"/>
      <c r="AL15" s="558"/>
      <c r="AM15" s="558"/>
      <c r="AN15" s="558"/>
      <c r="AO15" s="558"/>
      <c r="AP15" s="558"/>
      <c r="AQ15" s="558"/>
      <c r="AR15" s="558"/>
      <c r="AS15" s="558"/>
      <c r="AT15" s="558"/>
      <c r="AU15" s="558"/>
      <c r="AV15" s="558"/>
      <c r="AW15" s="558"/>
      <c r="AX15" s="558"/>
      <c r="AY15" s="558"/>
      <c r="AZ15" s="558"/>
      <c r="BA15" s="558"/>
      <c r="BB15" s="558"/>
      <c r="BC15" s="558"/>
      <c r="BD15" s="558"/>
      <c r="BE15" s="558"/>
      <c r="BF15" s="558"/>
      <c r="BG15" s="558"/>
      <c r="BH15" s="558"/>
      <c r="BI15" s="558"/>
      <c r="BJ15" s="558"/>
      <c r="BK15" s="558"/>
      <c r="BL15" s="558"/>
      <c r="BM15" s="558"/>
      <c r="BN15" s="558"/>
      <c r="BO15" s="558"/>
      <c r="BP15" s="558"/>
      <c r="BQ15" s="558"/>
      <c r="BR15" s="558"/>
      <c r="BS15" s="558"/>
      <c r="BT15" s="558"/>
    </row>
    <row r="16" spans="1:72" x14ac:dyDescent="0.25">
      <c r="A16" s="315"/>
      <c r="B16" s="315"/>
      <c r="C16" s="317" t="s">
        <v>1013</v>
      </c>
      <c r="D16" s="315"/>
      <c r="E16" s="315"/>
      <c r="K16" s="318">
        <f>4227108581.52+71989498</f>
        <v>4299098079.5200005</v>
      </c>
      <c r="M16" s="558"/>
      <c r="N16" s="558"/>
      <c r="O16" s="558"/>
      <c r="P16" s="558"/>
      <c r="Q16" s="558"/>
      <c r="R16" s="558"/>
      <c r="S16" s="558"/>
      <c r="T16" s="558"/>
      <c r="U16" s="558"/>
      <c r="V16" s="558"/>
      <c r="W16" s="558"/>
      <c r="X16" s="558"/>
      <c r="Y16" s="558"/>
      <c r="Z16" s="558"/>
      <c r="AA16" s="558"/>
      <c r="AB16" s="558"/>
      <c r="AC16" s="558"/>
      <c r="AD16" s="558"/>
      <c r="AE16" s="558"/>
      <c r="AF16" s="558"/>
      <c r="AG16" s="558"/>
      <c r="AH16" s="558"/>
      <c r="AI16" s="558"/>
      <c r="AJ16" s="558"/>
      <c r="AK16" s="558"/>
      <c r="AL16" s="558"/>
      <c r="AM16" s="558"/>
      <c r="AN16" s="558"/>
      <c r="AO16" s="558"/>
      <c r="AP16" s="558"/>
      <c r="AQ16" s="558"/>
      <c r="AR16" s="558"/>
      <c r="AS16" s="558"/>
      <c r="AT16" s="558"/>
      <c r="AU16" s="558"/>
      <c r="AV16" s="558"/>
      <c r="AW16" s="558"/>
      <c r="AX16" s="558"/>
      <c r="AY16" s="558"/>
      <c r="AZ16" s="558"/>
      <c r="BA16" s="558"/>
      <c r="BB16" s="558"/>
      <c r="BC16" s="558"/>
      <c r="BD16" s="558"/>
      <c r="BE16" s="558"/>
      <c r="BF16" s="558"/>
      <c r="BG16" s="558"/>
      <c r="BH16" s="558"/>
      <c r="BI16" s="558"/>
      <c r="BJ16" s="558"/>
      <c r="BK16" s="558"/>
      <c r="BL16" s="558"/>
      <c r="BM16" s="558"/>
      <c r="BN16" s="558"/>
      <c r="BO16" s="558"/>
      <c r="BP16" s="558"/>
      <c r="BQ16" s="558"/>
      <c r="BR16" s="558"/>
      <c r="BS16" s="558"/>
      <c r="BT16" s="558"/>
    </row>
    <row r="17" spans="1:72" x14ac:dyDescent="0.25">
      <c r="A17" s="315"/>
      <c r="B17" s="315"/>
      <c r="C17" s="315" t="s">
        <v>1014</v>
      </c>
      <c r="D17" s="315"/>
      <c r="E17" s="315"/>
      <c r="K17" s="309">
        <v>1447738458.28</v>
      </c>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8"/>
      <c r="AK17" s="558"/>
      <c r="AL17" s="558"/>
      <c r="AM17" s="558"/>
      <c r="AN17" s="558"/>
      <c r="AO17" s="558"/>
      <c r="AP17" s="558"/>
      <c r="AQ17" s="558"/>
      <c r="AR17" s="558"/>
      <c r="AS17" s="558"/>
      <c r="AT17" s="558"/>
      <c r="AU17" s="558"/>
      <c r="AV17" s="558"/>
      <c r="AW17" s="558"/>
      <c r="AX17" s="558"/>
      <c r="AY17" s="558"/>
      <c r="AZ17" s="558"/>
      <c r="BA17" s="558"/>
      <c r="BB17" s="558"/>
      <c r="BC17" s="558"/>
      <c r="BD17" s="558"/>
      <c r="BE17" s="558"/>
      <c r="BF17" s="558"/>
      <c r="BG17" s="558"/>
      <c r="BH17" s="558"/>
      <c r="BI17" s="558"/>
      <c r="BJ17" s="558"/>
      <c r="BK17" s="558"/>
      <c r="BL17" s="558"/>
      <c r="BM17" s="558"/>
      <c r="BN17" s="558"/>
      <c r="BO17" s="558"/>
      <c r="BP17" s="558"/>
      <c r="BQ17" s="558"/>
      <c r="BR17" s="558"/>
      <c r="BS17" s="558"/>
      <c r="BT17" s="558"/>
    </row>
    <row r="18" spans="1:72" x14ac:dyDescent="0.25">
      <c r="A18" s="315"/>
      <c r="B18" s="315"/>
      <c r="C18" s="315" t="s">
        <v>1015</v>
      </c>
      <c r="D18" s="315"/>
      <c r="E18" s="315"/>
      <c r="K18" s="319">
        <v>735128064.93999994</v>
      </c>
      <c r="M18" s="393"/>
      <c r="N18" s="558"/>
      <c r="O18" s="558"/>
      <c r="P18" s="558"/>
      <c r="Q18" s="558"/>
      <c r="R18" s="558"/>
      <c r="S18" s="558"/>
      <c r="T18" s="558"/>
      <c r="U18" s="558"/>
      <c r="V18" s="558"/>
      <c r="W18" s="558"/>
      <c r="X18" s="558"/>
      <c r="Y18" s="558"/>
      <c r="Z18" s="558"/>
      <c r="AA18" s="558"/>
      <c r="AB18" s="558"/>
      <c r="AC18" s="558"/>
      <c r="AD18" s="558"/>
      <c r="AE18" s="558"/>
      <c r="AF18" s="558"/>
      <c r="AG18" s="558"/>
      <c r="AH18" s="558"/>
      <c r="AI18" s="558"/>
      <c r="AJ18" s="558"/>
      <c r="AK18" s="558"/>
      <c r="AL18" s="558"/>
      <c r="AM18" s="558"/>
      <c r="AN18" s="558"/>
      <c r="AO18" s="558"/>
      <c r="AP18" s="558"/>
      <c r="AQ18" s="558"/>
      <c r="AR18" s="558"/>
      <c r="AS18" s="558"/>
      <c r="AT18" s="558"/>
      <c r="AU18" s="558"/>
      <c r="AV18" s="558"/>
      <c r="AW18" s="558"/>
      <c r="AX18" s="558"/>
      <c r="AY18" s="558"/>
      <c r="AZ18" s="558"/>
      <c r="BA18" s="558"/>
      <c r="BB18" s="558"/>
      <c r="BC18" s="558"/>
      <c r="BD18" s="558"/>
      <c r="BE18" s="558"/>
      <c r="BF18" s="558"/>
      <c r="BG18" s="558"/>
      <c r="BH18" s="558"/>
      <c r="BI18" s="558"/>
      <c r="BJ18" s="558"/>
      <c r="BK18" s="558"/>
      <c r="BL18" s="558"/>
      <c r="BM18" s="558"/>
      <c r="BN18" s="558"/>
      <c r="BO18" s="558"/>
      <c r="BP18" s="558"/>
      <c r="BQ18" s="558"/>
      <c r="BR18" s="558"/>
      <c r="BS18" s="558"/>
      <c r="BT18" s="558"/>
    </row>
    <row r="19" spans="1:72" x14ac:dyDescent="0.25">
      <c r="A19" s="308" t="s">
        <v>1016</v>
      </c>
      <c r="E19" s="309" t="s">
        <v>122</v>
      </c>
      <c r="K19" s="318">
        <f>SUM(K16:K18)</f>
        <v>6481964602.7399998</v>
      </c>
      <c r="M19" s="393"/>
      <c r="N19" s="558"/>
      <c r="O19" s="558"/>
      <c r="P19" s="558"/>
      <c r="Q19" s="558"/>
      <c r="R19" s="558"/>
      <c r="S19" s="558"/>
      <c r="T19" s="558"/>
      <c r="U19" s="558"/>
      <c r="V19" s="558"/>
      <c r="W19" s="558"/>
      <c r="X19" s="558"/>
      <c r="Y19" s="558"/>
      <c r="Z19" s="558"/>
      <c r="AA19" s="558"/>
      <c r="AB19" s="558"/>
      <c r="AC19" s="558"/>
      <c r="AD19" s="558"/>
      <c r="AE19" s="558"/>
      <c r="AF19" s="558"/>
      <c r="AG19" s="558"/>
      <c r="AH19" s="558"/>
      <c r="AI19" s="558"/>
      <c r="AJ19" s="558"/>
      <c r="AK19" s="558"/>
      <c r="AL19" s="558"/>
      <c r="AM19" s="558"/>
      <c r="AN19" s="558"/>
      <c r="AO19" s="558"/>
      <c r="AP19" s="558"/>
      <c r="AQ19" s="558"/>
      <c r="AR19" s="558"/>
      <c r="AS19" s="558"/>
      <c r="AT19" s="558"/>
      <c r="AU19" s="558"/>
      <c r="AV19" s="558"/>
      <c r="AW19" s="558"/>
      <c r="AX19" s="558"/>
      <c r="AY19" s="558"/>
      <c r="AZ19" s="558"/>
      <c r="BA19" s="558"/>
      <c r="BB19" s="558"/>
      <c r="BC19" s="558"/>
      <c r="BD19" s="558"/>
      <c r="BE19" s="558"/>
      <c r="BF19" s="558"/>
      <c r="BG19" s="558"/>
      <c r="BH19" s="558"/>
      <c r="BI19" s="558"/>
      <c r="BJ19" s="558"/>
      <c r="BK19" s="558"/>
      <c r="BL19" s="558"/>
      <c r="BM19" s="558"/>
      <c r="BN19" s="558"/>
      <c r="BO19" s="558"/>
      <c r="BP19" s="558"/>
      <c r="BQ19" s="558"/>
      <c r="BR19" s="558"/>
      <c r="BS19" s="558"/>
      <c r="BT19" s="558"/>
    </row>
    <row r="20" spans="1:72" x14ac:dyDescent="0.25">
      <c r="A20" s="308" t="s">
        <v>1017</v>
      </c>
      <c r="E20" s="308" t="s">
        <v>122</v>
      </c>
      <c r="K20" s="315">
        <v>0.86</v>
      </c>
      <c r="M20" s="165"/>
      <c r="Q20" s="558"/>
      <c r="T20" s="558"/>
      <c r="U20" s="558"/>
      <c r="V20" s="558"/>
      <c r="W20" s="558"/>
      <c r="X20" s="558"/>
      <c r="Y20" s="558"/>
      <c r="Z20" s="558"/>
      <c r="AA20" s="558"/>
      <c r="AB20" s="558"/>
      <c r="AC20" s="558"/>
      <c r="AD20" s="558"/>
      <c r="AE20" s="558"/>
      <c r="AF20" s="558"/>
      <c r="AG20" s="558"/>
      <c r="AH20" s="558"/>
      <c r="AI20" s="558"/>
      <c r="AJ20" s="558"/>
      <c r="AK20" s="558"/>
      <c r="AL20" s="558"/>
      <c r="AM20" s="558"/>
      <c r="AN20" s="558"/>
      <c r="AO20" s="558"/>
      <c r="AP20" s="558"/>
      <c r="AQ20" s="558"/>
      <c r="AR20" s="558"/>
      <c r="AS20" s="558"/>
      <c r="AT20" s="558"/>
      <c r="AU20" s="558"/>
      <c r="AV20" s="558"/>
      <c r="AW20" s="558"/>
      <c r="AX20" s="558"/>
      <c r="AY20" s="558"/>
    </row>
    <row r="21" spans="1:72" x14ac:dyDescent="0.25">
      <c r="A21" s="308" t="s">
        <v>1018</v>
      </c>
      <c r="E21" s="309"/>
      <c r="K21" s="320">
        <f>K19/100*K20</f>
        <v>55744895.583563991</v>
      </c>
      <c r="M21" s="165"/>
      <c r="Q21" s="558"/>
      <c r="T21" s="558"/>
      <c r="U21" s="558"/>
      <c r="V21" s="558"/>
      <c r="W21" s="558"/>
      <c r="X21" s="558"/>
      <c r="Y21" s="558"/>
      <c r="Z21" s="558"/>
      <c r="AA21" s="558"/>
      <c r="AB21" s="558"/>
      <c r="AC21" s="558"/>
      <c r="AD21" s="558"/>
      <c r="AE21" s="558"/>
      <c r="AF21" s="558"/>
      <c r="AG21" s="558"/>
      <c r="AH21" s="558"/>
      <c r="AI21" s="558"/>
      <c r="AJ21" s="558"/>
      <c r="AK21" s="558"/>
      <c r="AL21" s="558"/>
      <c r="AM21" s="558"/>
      <c r="AN21" s="558"/>
      <c r="AO21" s="558"/>
      <c r="AP21" s="558"/>
      <c r="AQ21" s="558"/>
      <c r="AR21" s="558"/>
      <c r="AS21" s="558"/>
      <c r="AT21" s="558"/>
      <c r="AU21" s="558"/>
      <c r="AV21" s="558"/>
      <c r="AW21" s="558"/>
      <c r="AX21" s="558"/>
      <c r="AY21" s="558"/>
    </row>
    <row r="22" spans="1:72" x14ac:dyDescent="0.25">
      <c r="M22" s="458"/>
      <c r="Q22" s="558"/>
      <c r="T22" s="558"/>
      <c r="U22" s="558"/>
      <c r="V22" s="558"/>
      <c r="W22" s="558"/>
      <c r="X22" s="558"/>
      <c r="Y22" s="558"/>
      <c r="Z22" s="558"/>
      <c r="AA22" s="558"/>
      <c r="AB22" s="558"/>
      <c r="AC22" s="558"/>
      <c r="AD22" s="558"/>
      <c r="AE22" s="558"/>
      <c r="AF22" s="558"/>
      <c r="AG22" s="558"/>
      <c r="AH22" s="558"/>
      <c r="AI22" s="558"/>
      <c r="AJ22" s="558"/>
      <c r="AK22" s="558"/>
      <c r="AL22" s="558"/>
      <c r="AM22" s="558"/>
      <c r="AN22" s="558"/>
      <c r="AO22" s="558"/>
      <c r="AP22" s="558"/>
      <c r="AQ22" s="558"/>
      <c r="AR22" s="558"/>
      <c r="AS22" s="558"/>
      <c r="AT22" s="558"/>
      <c r="AU22" s="558"/>
      <c r="AV22" s="558"/>
      <c r="AW22" s="558"/>
      <c r="AX22" s="558"/>
      <c r="AY22" s="558"/>
    </row>
    <row r="23" spans="1:72" ht="26.25" customHeight="1" x14ac:dyDescent="0.25">
      <c r="A23" s="1095" t="s">
        <v>1019</v>
      </c>
      <c r="B23" s="1041"/>
      <c r="C23" s="1041"/>
      <c r="D23" s="1041"/>
      <c r="E23" s="1041"/>
      <c r="F23" s="1041"/>
      <c r="G23" s="1041"/>
      <c r="H23" s="1041"/>
      <c r="I23" s="1041"/>
      <c r="J23" s="1041"/>
      <c r="K23" s="1041"/>
      <c r="M23" s="458"/>
      <c r="Q23" s="558"/>
      <c r="T23" s="558"/>
      <c r="U23" s="558"/>
      <c r="V23" s="558"/>
      <c r="W23" s="558"/>
      <c r="X23" s="558"/>
      <c r="Y23" s="558"/>
      <c r="Z23" s="558"/>
      <c r="AA23" s="558"/>
      <c r="AB23" s="558"/>
      <c r="AC23" s="558"/>
      <c r="AD23" s="558"/>
      <c r="AE23" s="558"/>
      <c r="AF23" s="558"/>
      <c r="AG23" s="558"/>
      <c r="AH23" s="558"/>
      <c r="AI23" s="558"/>
      <c r="AJ23" s="558"/>
      <c r="AK23" s="558"/>
      <c r="AL23" s="558"/>
      <c r="AM23" s="558"/>
      <c r="AN23" s="558"/>
      <c r="AO23" s="558"/>
      <c r="AP23" s="558"/>
      <c r="AQ23" s="558"/>
      <c r="AR23" s="558"/>
      <c r="AS23" s="558"/>
      <c r="AT23" s="558"/>
      <c r="AU23" s="558"/>
      <c r="AV23" s="558"/>
      <c r="AW23" s="558"/>
      <c r="AX23" s="558"/>
      <c r="AY23" s="558"/>
    </row>
    <row r="25" spans="1:72" x14ac:dyDescent="0.25">
      <c r="A25" s="308" t="s">
        <v>1020</v>
      </c>
      <c r="K25" s="390">
        <v>10980000</v>
      </c>
      <c r="Q25" s="558"/>
      <c r="T25" s="558"/>
      <c r="U25" s="558"/>
      <c r="V25" s="558"/>
      <c r="W25" s="558"/>
      <c r="X25" s="558"/>
      <c r="Y25" s="558"/>
      <c r="Z25" s="558"/>
      <c r="AA25" s="558"/>
      <c r="AB25" s="558"/>
      <c r="AC25" s="558"/>
      <c r="AD25" s="558"/>
      <c r="AE25" s="558"/>
      <c r="AF25" s="558"/>
      <c r="AG25" s="558"/>
      <c r="AH25" s="558"/>
      <c r="AI25" s="558"/>
      <c r="AJ25" s="558"/>
      <c r="AK25" s="558"/>
      <c r="AL25" s="558"/>
      <c r="AM25" s="558"/>
      <c r="AN25" s="558"/>
      <c r="AO25" s="558"/>
      <c r="AP25" s="558"/>
      <c r="AQ25" s="558"/>
      <c r="AR25" s="558"/>
      <c r="AS25" s="558"/>
      <c r="AT25" s="558"/>
      <c r="AU25" s="558"/>
      <c r="AV25" s="558"/>
      <c r="AW25" s="558"/>
      <c r="AX25" s="558"/>
      <c r="AY25" s="558"/>
    </row>
    <row r="27" spans="1:72" x14ac:dyDescent="0.25">
      <c r="A27" s="308" t="s">
        <v>1021</v>
      </c>
      <c r="Q27" s="558"/>
      <c r="T27" s="558"/>
      <c r="U27" s="558"/>
      <c r="V27" s="558"/>
      <c r="W27" s="558"/>
      <c r="X27" s="558"/>
      <c r="Y27" s="558"/>
      <c r="Z27" s="558"/>
      <c r="AA27" s="558"/>
      <c r="AB27" s="558"/>
      <c r="AC27" s="558"/>
      <c r="AD27" s="558"/>
      <c r="AE27" s="558"/>
      <c r="AF27" s="558"/>
      <c r="AG27" s="558"/>
      <c r="AH27" s="558"/>
      <c r="AI27" s="558"/>
      <c r="AJ27" s="558"/>
      <c r="AK27" s="558"/>
      <c r="AL27" s="558"/>
      <c r="AM27" s="558"/>
      <c r="AN27" s="558"/>
      <c r="AO27" s="558"/>
      <c r="AP27" s="558"/>
      <c r="AQ27" s="558"/>
      <c r="AR27" s="558"/>
      <c r="AS27" s="558"/>
      <c r="AT27" s="558"/>
      <c r="AU27" s="558"/>
      <c r="AV27" s="558"/>
      <c r="AW27" s="558"/>
      <c r="AX27" s="558"/>
      <c r="AY27" s="558"/>
    </row>
    <row r="28" spans="1:72" x14ac:dyDescent="0.25">
      <c r="A28" s="308" t="s">
        <v>1022</v>
      </c>
      <c r="Q28" s="558"/>
      <c r="T28" s="558"/>
      <c r="U28" s="558"/>
      <c r="V28" s="558"/>
      <c r="W28" s="558"/>
      <c r="X28" s="558"/>
      <c r="Y28" s="558"/>
      <c r="Z28" s="558"/>
      <c r="AA28" s="558"/>
      <c r="AB28" s="558"/>
      <c r="AC28" s="558"/>
      <c r="AD28" s="558"/>
      <c r="AE28" s="558"/>
      <c r="AF28" s="558"/>
      <c r="AG28" s="558"/>
      <c r="AH28" s="558"/>
      <c r="AI28" s="558"/>
      <c r="AJ28" s="558"/>
      <c r="AK28" s="558"/>
      <c r="AL28" s="558"/>
      <c r="AM28" s="558"/>
      <c r="AN28" s="558"/>
      <c r="AO28" s="558"/>
      <c r="AP28" s="558"/>
      <c r="AQ28" s="558"/>
      <c r="AR28" s="558"/>
      <c r="AS28" s="558"/>
      <c r="AT28" s="558"/>
      <c r="AU28" s="558"/>
      <c r="AV28" s="558"/>
      <c r="AW28" s="558"/>
      <c r="AX28" s="558"/>
      <c r="AY28" s="558"/>
    </row>
    <row r="29" spans="1:72" x14ac:dyDescent="0.25">
      <c r="A29" s="308" t="s">
        <v>1023</v>
      </c>
      <c r="Q29" s="558"/>
      <c r="T29" s="558"/>
      <c r="U29" s="558"/>
      <c r="V29" s="558"/>
      <c r="W29" s="558"/>
      <c r="X29" s="558"/>
      <c r="Y29" s="558"/>
      <c r="Z29" s="558"/>
      <c r="AA29" s="558"/>
      <c r="AB29" s="558"/>
      <c r="AC29" s="558"/>
      <c r="AD29" s="558"/>
      <c r="AE29" s="558"/>
      <c r="AF29" s="558"/>
      <c r="AG29" s="558"/>
      <c r="AH29" s="558"/>
      <c r="AI29" s="558"/>
      <c r="AJ29" s="558"/>
      <c r="AK29" s="558"/>
      <c r="AL29" s="558"/>
      <c r="AM29" s="558"/>
      <c r="AN29" s="558"/>
      <c r="AO29" s="558"/>
      <c r="AP29" s="558"/>
      <c r="AQ29" s="558"/>
      <c r="AR29" s="558"/>
      <c r="AS29" s="558"/>
      <c r="AT29" s="558"/>
      <c r="AU29" s="558"/>
      <c r="AV29" s="558"/>
      <c r="AW29" s="558"/>
      <c r="AX29" s="558"/>
      <c r="AY29" s="558"/>
    </row>
    <row r="30" spans="1:72" ht="13.8" thickBot="1" x14ac:dyDescent="0.3">
      <c r="Q30" s="558"/>
      <c r="T30" s="558"/>
      <c r="U30" s="558"/>
      <c r="V30" s="558"/>
      <c r="W30" s="558"/>
      <c r="X30" s="558"/>
      <c r="Y30" s="558"/>
      <c r="Z30" s="558"/>
      <c r="AA30" s="558"/>
      <c r="AB30" s="558"/>
      <c r="AC30" s="558"/>
      <c r="AD30" s="558"/>
      <c r="AE30" s="558"/>
      <c r="AF30" s="558"/>
      <c r="AG30" s="558"/>
      <c r="AH30" s="558"/>
      <c r="AI30" s="558"/>
      <c r="AJ30" s="558"/>
      <c r="AK30" s="558"/>
      <c r="AL30" s="558"/>
      <c r="AM30" s="558"/>
      <c r="AN30" s="558"/>
      <c r="AO30" s="558"/>
      <c r="AP30" s="558"/>
      <c r="AQ30" s="558"/>
      <c r="AR30" s="558"/>
      <c r="AS30" s="558"/>
      <c r="AT30" s="558"/>
      <c r="AU30" s="558"/>
      <c r="AV30" s="558"/>
      <c r="AW30" s="558"/>
      <c r="AX30" s="558"/>
      <c r="AY30" s="558"/>
    </row>
    <row r="31" spans="1:72" ht="13.8" thickTop="1" x14ac:dyDescent="0.25">
      <c r="A31" s="1086" t="s">
        <v>1024</v>
      </c>
      <c r="B31" s="1087"/>
      <c r="C31" s="1087"/>
      <c r="D31" s="1087"/>
      <c r="E31" s="1087"/>
      <c r="F31" s="1087"/>
      <c r="G31" s="1087"/>
      <c r="H31" s="1087"/>
      <c r="I31" s="1087"/>
      <c r="J31" s="1087"/>
      <c r="K31" s="1088"/>
      <c r="Q31" s="558"/>
      <c r="T31" s="558"/>
      <c r="U31" s="558"/>
      <c r="V31" s="558"/>
      <c r="W31" s="558"/>
      <c r="X31" s="558"/>
      <c r="Y31" s="558"/>
      <c r="Z31" s="558"/>
      <c r="AA31" s="558"/>
      <c r="AB31" s="558"/>
      <c r="AC31" s="558"/>
      <c r="AD31" s="558"/>
      <c r="AE31" s="558"/>
      <c r="AF31" s="558"/>
      <c r="AG31" s="558"/>
      <c r="AH31" s="558"/>
      <c r="AI31" s="558"/>
      <c r="AJ31" s="558"/>
      <c r="AK31" s="558"/>
      <c r="AL31" s="558"/>
      <c r="AM31" s="558"/>
      <c r="AN31" s="558"/>
      <c r="AO31" s="558"/>
      <c r="AP31" s="558"/>
      <c r="AQ31" s="558"/>
      <c r="AR31" s="558"/>
      <c r="AS31" s="558"/>
      <c r="AT31" s="558"/>
      <c r="AU31" s="558"/>
      <c r="AV31" s="558"/>
      <c r="AW31" s="558"/>
      <c r="AX31" s="558"/>
      <c r="AY31" s="558"/>
    </row>
    <row r="32" spans="1:72" x14ac:dyDescent="0.25">
      <c r="A32" s="1089"/>
      <c r="B32" s="1090"/>
      <c r="C32" s="1090"/>
      <c r="D32" s="1090"/>
      <c r="E32" s="1090"/>
      <c r="F32" s="1090"/>
      <c r="G32" s="1090"/>
      <c r="H32" s="1090"/>
      <c r="I32" s="1090"/>
      <c r="J32" s="1090"/>
      <c r="K32" s="1091"/>
      <c r="Q32" s="558"/>
      <c r="T32" s="558"/>
      <c r="U32" s="558"/>
      <c r="V32" s="558"/>
      <c r="W32" s="558"/>
      <c r="X32" s="558"/>
      <c r="Y32" s="558"/>
      <c r="Z32" s="558"/>
      <c r="AA32" s="558"/>
      <c r="AB32" s="558"/>
      <c r="AC32" s="558"/>
      <c r="AD32" s="558"/>
      <c r="AE32" s="558"/>
      <c r="AF32" s="558"/>
      <c r="AG32" s="558"/>
      <c r="AH32" s="558"/>
      <c r="AI32" s="558"/>
      <c r="AJ32" s="558"/>
      <c r="AK32" s="558"/>
      <c r="AL32" s="558"/>
      <c r="AM32" s="558"/>
      <c r="AN32" s="558"/>
      <c r="AO32" s="558"/>
      <c r="AP32" s="558"/>
      <c r="AQ32" s="558"/>
      <c r="AR32" s="558"/>
      <c r="AS32" s="558"/>
      <c r="AT32" s="558"/>
      <c r="AU32" s="558"/>
      <c r="AV32" s="558"/>
      <c r="AW32" s="558"/>
      <c r="AX32" s="558"/>
      <c r="AY32" s="558"/>
    </row>
    <row r="33" spans="1:11" ht="13.8" thickBot="1" x14ac:dyDescent="0.3">
      <c r="A33" s="1092"/>
      <c r="B33" s="1093"/>
      <c r="C33" s="1093"/>
      <c r="D33" s="1093"/>
      <c r="E33" s="1093"/>
      <c r="F33" s="1093"/>
      <c r="G33" s="1093"/>
      <c r="H33" s="1093"/>
      <c r="I33" s="1093"/>
      <c r="J33" s="1093"/>
      <c r="K33" s="1094"/>
    </row>
    <row r="34" spans="1:11" ht="13.8" thickTop="1" x14ac:dyDescent="0.25"/>
  </sheetData>
  <customSheetViews>
    <customSheetView guid="{A8748736-0722-49EB-85B6-C9B52DDCFE0E}">
      <selection activeCell="G52" sqref="A2:K52"/>
      <colBreaks count="1" manualBreakCount="1">
        <brk id="12" max="1048575" man="1"/>
      </colBreaks>
      <pageMargins left="0.75" right="0.75" top="1" bottom="1" header="0.5" footer="0.5"/>
      <printOptions horizontalCentered="1"/>
      <pageSetup scale="86" firstPageNumber="139" fitToHeight="0" orientation="portrait" useFirstPageNumber="1" r:id="rId1"/>
      <headerFooter alignWithMargins="0"/>
    </customSheetView>
    <customSheetView guid="{E0C60316-4586-4AAF-92CB-FA82BB1EB755}">
      <selection activeCell="F26" sqref="F26"/>
      <colBreaks count="1" manualBreakCount="1">
        <brk id="12" max="1048575" man="1"/>
      </colBreaks>
      <pageMargins left="0" right="0" top="0" bottom="0" header="0" footer="0"/>
      <printOptions horizontalCentered="1"/>
      <pageSetup scale="86" firstPageNumber="139" fitToHeight="0" orientation="portrait" useFirstPageNumber="1" r:id="rId2"/>
      <headerFooter alignWithMargins="0"/>
    </customSheetView>
  </customSheetViews>
  <mergeCells count="2">
    <mergeCell ref="A31:K33"/>
    <mergeCell ref="A23:K23"/>
  </mergeCells>
  <phoneticPr fontId="0" type="noConversion"/>
  <printOptions horizontalCentered="1"/>
  <pageMargins left="0.75" right="0.75" top="1" bottom="1" header="0.5" footer="0.5"/>
  <pageSetup scale="86" firstPageNumber="139" fitToHeight="0" orientation="portrait" useFirstPageNumber="1" r:id="rId3"/>
  <headerFooter alignWithMargins="0"/>
  <colBreaks count="1" manualBreakCount="1">
    <brk id="12"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ransitionEvaluation="1" codeName="Sheet35"/>
  <dimension ref="A1:BH71"/>
  <sheetViews>
    <sheetView workbookViewId="0"/>
  </sheetViews>
  <sheetFormatPr defaultColWidth="8.44140625" defaultRowHeight="13.2" x14ac:dyDescent="0.25"/>
  <cols>
    <col min="1" max="1" width="26.44140625" style="308" customWidth="1"/>
    <col min="2" max="2" width="20.44140625" style="308" customWidth="1"/>
    <col min="3" max="3" width="3" style="308" customWidth="1"/>
    <col min="4" max="4" width="14.44140625" style="308" customWidth="1"/>
    <col min="5" max="5" width="5" style="310" customWidth="1"/>
    <col min="6" max="6" width="8.109375" style="308" customWidth="1"/>
    <col min="7" max="7" width="3.5546875" style="308" customWidth="1"/>
    <col min="8" max="8" width="9" style="310" bestFit="1" customWidth="1"/>
    <col min="9" max="10" width="8.44140625" style="310"/>
    <col min="11" max="11" width="9.33203125" style="310" bestFit="1" customWidth="1"/>
    <col min="12" max="12" width="15.109375" style="310" bestFit="1" customWidth="1"/>
    <col min="13" max="39" width="8.44140625" style="310"/>
    <col min="40" max="16384" width="8.44140625" style="308"/>
  </cols>
  <sheetData>
    <row r="1" spans="1:11" x14ac:dyDescent="0.25">
      <c r="A1" s="321" t="s">
        <v>1</v>
      </c>
      <c r="B1" s="322"/>
      <c r="C1" s="322"/>
      <c r="D1" s="322"/>
      <c r="E1" s="800"/>
      <c r="F1" s="321"/>
      <c r="G1" s="312"/>
      <c r="H1" s="558"/>
      <c r="I1" s="558"/>
      <c r="J1" s="558"/>
      <c r="K1" s="558"/>
    </row>
    <row r="2" spans="1:11" x14ac:dyDescent="0.25">
      <c r="A2" s="321" t="s">
        <v>1025</v>
      </c>
      <c r="B2" s="322"/>
      <c r="C2" s="322"/>
      <c r="D2" s="322"/>
      <c r="E2" s="800"/>
      <c r="F2" s="322"/>
      <c r="G2" s="312"/>
      <c r="H2" s="558"/>
      <c r="I2" s="558"/>
      <c r="J2" s="558"/>
      <c r="K2" s="558"/>
    </row>
    <row r="3" spans="1:11" x14ac:dyDescent="0.25">
      <c r="A3" s="311" t="str">
        <f>GFIS_BA!A5</f>
        <v>For the Year Ended June 30, 2022</v>
      </c>
      <c r="B3" s="322"/>
      <c r="C3" s="322"/>
      <c r="D3" s="322"/>
      <c r="E3" s="800"/>
      <c r="F3" s="322"/>
      <c r="G3" s="312"/>
      <c r="H3" s="558"/>
      <c r="I3" s="558"/>
      <c r="J3" s="558"/>
      <c r="K3" s="558"/>
    </row>
    <row r="4" spans="1:11" x14ac:dyDescent="0.25">
      <c r="A4" s="322"/>
      <c r="B4" s="322"/>
      <c r="C4" s="322"/>
      <c r="D4" s="322"/>
      <c r="E4" s="800"/>
      <c r="F4" s="322"/>
      <c r="G4" s="312"/>
      <c r="H4" s="558"/>
      <c r="I4" s="558"/>
      <c r="J4" s="558"/>
      <c r="K4" s="558"/>
    </row>
    <row r="5" spans="1:11" ht="13.8" thickBot="1" x14ac:dyDescent="0.3">
      <c r="A5" s="323"/>
      <c r="B5" s="323"/>
      <c r="C5" s="323"/>
      <c r="D5" s="323"/>
      <c r="E5" s="801"/>
      <c r="F5" s="323"/>
      <c r="G5" s="324"/>
      <c r="H5" s="558"/>
      <c r="I5" s="558"/>
      <c r="J5" s="558"/>
      <c r="K5" s="558"/>
    </row>
    <row r="6" spans="1:11" ht="13.5" customHeight="1" x14ac:dyDescent="0.25">
      <c r="A6" s="325"/>
      <c r="B6" s="325"/>
      <c r="C6" s="325"/>
      <c r="D6" s="326"/>
      <c r="E6" s="558"/>
      <c r="F6" s="326"/>
      <c r="H6" s="558"/>
      <c r="I6" s="558"/>
      <c r="J6" s="558"/>
      <c r="K6" s="558"/>
    </row>
    <row r="7" spans="1:11" x14ac:dyDescent="0.25">
      <c r="A7" s="325"/>
      <c r="B7" s="325"/>
      <c r="C7" s="325"/>
      <c r="D7" s="326" t="s">
        <v>1026</v>
      </c>
      <c r="E7" s="558"/>
      <c r="F7" s="326" t="s">
        <v>1027</v>
      </c>
      <c r="H7" s="558"/>
      <c r="I7" s="558"/>
      <c r="J7" s="558"/>
      <c r="K7" s="558"/>
    </row>
    <row r="8" spans="1:11" x14ac:dyDescent="0.25">
      <c r="A8" s="327" t="s">
        <v>1028</v>
      </c>
      <c r="B8" s="327" t="s">
        <v>1029</v>
      </c>
      <c r="C8" s="327"/>
      <c r="D8" s="328" t="s">
        <v>989</v>
      </c>
      <c r="E8" s="802"/>
      <c r="F8" s="328" t="s">
        <v>989</v>
      </c>
      <c r="G8" s="329"/>
      <c r="H8" s="558"/>
      <c r="I8" s="558"/>
      <c r="J8" s="558"/>
      <c r="K8" s="558"/>
    </row>
    <row r="9" spans="1:11" x14ac:dyDescent="0.25">
      <c r="A9" s="330"/>
      <c r="B9" s="330"/>
      <c r="C9" s="330"/>
      <c r="D9" s="331"/>
      <c r="E9" s="558"/>
      <c r="F9" s="331"/>
      <c r="H9" s="558"/>
      <c r="I9" s="558"/>
      <c r="J9" s="558"/>
      <c r="K9" s="558"/>
    </row>
    <row r="10" spans="1:11" x14ac:dyDescent="0.25">
      <c r="A10" s="332" t="s">
        <v>1030</v>
      </c>
      <c r="B10" s="332" t="s">
        <v>1031</v>
      </c>
      <c r="C10" s="332"/>
      <c r="D10" s="333">
        <f>240496350*1.26</f>
        <v>303025401</v>
      </c>
      <c r="E10" s="558"/>
      <c r="F10" s="334">
        <f>D10/AnalysisTxLevy!D26</f>
        <v>4.6749005827608651E-2</v>
      </c>
      <c r="H10" s="462"/>
      <c r="I10" s="558"/>
      <c r="J10" s="558"/>
      <c r="K10" s="558"/>
    </row>
    <row r="11" spans="1:11" x14ac:dyDescent="0.25">
      <c r="A11" s="332" t="s">
        <v>1032</v>
      </c>
      <c r="B11" s="332" t="s">
        <v>1033</v>
      </c>
      <c r="C11" s="332"/>
      <c r="D11" s="165">
        <f>176382176*1.26</f>
        <v>222241541.75999999</v>
      </c>
      <c r="E11" s="558"/>
      <c r="F11" s="340">
        <v>3.43</v>
      </c>
      <c r="H11" s="462"/>
      <c r="I11" s="558"/>
      <c r="J11" s="558"/>
      <c r="K11" s="558"/>
    </row>
    <row r="12" spans="1:11" x14ac:dyDescent="0.25">
      <c r="A12" s="332" t="s">
        <v>1034</v>
      </c>
      <c r="B12" s="332" t="s">
        <v>686</v>
      </c>
      <c r="C12" s="332"/>
      <c r="D12" s="165">
        <f>163230320*1.26</f>
        <v>205670203.19999999</v>
      </c>
      <c r="E12" s="558"/>
      <c r="F12" s="340">
        <v>3.17</v>
      </c>
      <c r="H12" s="462"/>
      <c r="I12" s="558"/>
      <c r="J12" s="558"/>
      <c r="K12" s="558"/>
    </row>
    <row r="13" spans="1:11" x14ac:dyDescent="0.25">
      <c r="A13" s="332" t="s">
        <v>1035</v>
      </c>
      <c r="B13" s="332" t="s">
        <v>1036</v>
      </c>
      <c r="C13" s="332"/>
      <c r="D13" s="165">
        <f>145335498*1.26</f>
        <v>183122727.47999999</v>
      </c>
      <c r="E13" s="558"/>
      <c r="F13" s="340">
        <v>2.83</v>
      </c>
      <c r="H13" s="462"/>
      <c r="I13" s="558"/>
      <c r="J13" s="558"/>
      <c r="K13" s="558"/>
    </row>
    <row r="14" spans="1:11" x14ac:dyDescent="0.25">
      <c r="A14" s="332" t="s">
        <v>1037</v>
      </c>
      <c r="B14" s="332" t="s">
        <v>1038</v>
      </c>
      <c r="C14" s="332"/>
      <c r="D14" s="165">
        <f>107137303*1.26</f>
        <v>134993001.78</v>
      </c>
      <c r="E14" s="558"/>
      <c r="F14" s="340">
        <v>2.08</v>
      </c>
      <c r="H14" s="462"/>
      <c r="I14" s="558"/>
      <c r="J14" s="558"/>
      <c r="K14" s="558"/>
    </row>
    <row r="15" spans="1:11" x14ac:dyDescent="0.25">
      <c r="A15" s="332" t="s">
        <v>1039</v>
      </c>
      <c r="B15" s="332" t="s">
        <v>1040</v>
      </c>
      <c r="C15" s="332"/>
      <c r="D15" s="165">
        <f>92981637*1.26</f>
        <v>117156862.62</v>
      </c>
      <c r="E15" s="558"/>
      <c r="F15" s="340">
        <v>1.81</v>
      </c>
      <c r="H15" s="462"/>
      <c r="I15" s="558"/>
      <c r="J15" s="558"/>
      <c r="K15" s="803"/>
    </row>
    <row r="16" spans="1:11" x14ac:dyDescent="0.25">
      <c r="A16" s="332" t="s">
        <v>1041</v>
      </c>
      <c r="B16" s="332" t="s">
        <v>1042</v>
      </c>
      <c r="C16" s="332"/>
      <c r="D16" s="165">
        <f>74099351*1.26</f>
        <v>93365182.260000005</v>
      </c>
      <c r="E16" s="558"/>
      <c r="F16" s="340">
        <v>1.44</v>
      </c>
      <c r="H16" s="462"/>
      <c r="I16" s="558"/>
      <c r="J16" s="558"/>
      <c r="K16" s="558"/>
    </row>
    <row r="17" spans="1:60" x14ac:dyDescent="0.25">
      <c r="A17" s="332" t="s">
        <v>1043</v>
      </c>
      <c r="B17" s="332" t="s">
        <v>1040</v>
      </c>
      <c r="C17" s="332"/>
      <c r="D17" s="165">
        <f>66282231*1.26</f>
        <v>83515611.060000002</v>
      </c>
      <c r="E17" s="558"/>
      <c r="F17" s="340">
        <v>1.29</v>
      </c>
      <c r="H17" s="462"/>
      <c r="I17" s="558"/>
      <c r="J17" s="558"/>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8"/>
      <c r="AK17" s="558"/>
      <c r="AL17" s="558"/>
      <c r="AM17" s="558"/>
    </row>
    <row r="18" spans="1:60" ht="15" customHeight="1" x14ac:dyDescent="0.25">
      <c r="A18" s="332" t="s">
        <v>1044</v>
      </c>
      <c r="B18" s="332" t="s">
        <v>1045</v>
      </c>
      <c r="C18" s="332"/>
      <c r="D18" s="165">
        <f>50197583*1.26</f>
        <v>63248954.579999998</v>
      </c>
      <c r="E18" s="558"/>
      <c r="F18" s="340">
        <v>0.98</v>
      </c>
      <c r="H18" s="462"/>
      <c r="I18" s="558"/>
      <c r="J18" s="558"/>
      <c r="K18" s="558"/>
      <c r="L18" s="558"/>
      <c r="M18" s="558"/>
      <c r="N18" s="558"/>
      <c r="O18" s="558"/>
      <c r="P18" s="558"/>
      <c r="Q18" s="558"/>
      <c r="R18" s="558"/>
      <c r="S18" s="558"/>
      <c r="T18" s="558"/>
      <c r="U18" s="558"/>
      <c r="V18" s="558"/>
      <c r="W18" s="558"/>
      <c r="X18" s="558"/>
      <c r="Y18" s="558"/>
      <c r="Z18" s="558"/>
      <c r="AA18" s="558"/>
      <c r="AB18" s="558"/>
      <c r="AC18" s="558"/>
      <c r="AD18" s="558"/>
      <c r="AE18" s="558"/>
      <c r="AF18" s="558"/>
      <c r="AG18" s="558"/>
      <c r="AH18" s="558"/>
      <c r="AI18" s="558"/>
      <c r="AJ18" s="558"/>
      <c r="AK18" s="558"/>
      <c r="AL18" s="558"/>
      <c r="AM18" s="558"/>
    </row>
    <row r="19" spans="1:60" x14ac:dyDescent="0.25">
      <c r="A19" s="332" t="s">
        <v>1046</v>
      </c>
      <c r="B19" s="332" t="s">
        <v>876</v>
      </c>
      <c r="C19" s="332"/>
      <c r="D19" s="335">
        <f>31735552*1.26</f>
        <v>39986795.520000003</v>
      </c>
      <c r="E19" s="558"/>
      <c r="F19" s="340">
        <v>0.6238213856526359</v>
      </c>
      <c r="H19" s="462"/>
      <c r="I19" s="558"/>
      <c r="J19" s="558"/>
      <c r="K19" s="558"/>
      <c r="L19" s="804"/>
      <c r="M19" s="558"/>
      <c r="N19" s="558"/>
      <c r="O19" s="558"/>
      <c r="P19" s="558"/>
      <c r="Q19" s="558"/>
      <c r="R19" s="558"/>
      <c r="S19" s="558"/>
      <c r="T19" s="558"/>
      <c r="U19" s="558"/>
      <c r="V19" s="558"/>
      <c r="W19" s="558"/>
      <c r="X19" s="558"/>
      <c r="Y19" s="558"/>
      <c r="Z19" s="558"/>
      <c r="AA19" s="558"/>
      <c r="AB19" s="558"/>
      <c r="AC19" s="558"/>
      <c r="AD19" s="558"/>
      <c r="AE19" s="558"/>
      <c r="AF19" s="558"/>
      <c r="AG19" s="558"/>
      <c r="AH19" s="558"/>
      <c r="AI19" s="558"/>
      <c r="AJ19" s="558"/>
      <c r="AK19" s="558"/>
      <c r="AL19" s="558"/>
      <c r="AM19" s="558"/>
    </row>
    <row r="20" spans="1:60" ht="13.8" thickBot="1" x14ac:dyDescent="0.3">
      <c r="A20" s="336" t="s">
        <v>8</v>
      </c>
      <c r="B20" s="332"/>
      <c r="C20" s="332"/>
      <c r="D20" s="337">
        <v>1147878001</v>
      </c>
      <c r="E20" s="558"/>
      <c r="F20" s="559">
        <v>0.22309999999999999</v>
      </c>
      <c r="H20" s="558"/>
      <c r="I20" s="558"/>
      <c r="J20" s="803"/>
      <c r="K20" s="558"/>
      <c r="L20" s="334"/>
      <c r="M20" s="558"/>
      <c r="N20" s="558"/>
      <c r="O20" s="558"/>
      <c r="P20" s="558"/>
      <c r="Q20" s="558"/>
      <c r="R20" s="558"/>
      <c r="S20" s="558"/>
      <c r="T20" s="558"/>
      <c r="U20" s="558"/>
      <c r="V20" s="558"/>
      <c r="W20" s="558"/>
      <c r="X20" s="558"/>
      <c r="Y20" s="558"/>
      <c r="Z20" s="558"/>
      <c r="AA20" s="558"/>
      <c r="AB20" s="558"/>
      <c r="AC20" s="558"/>
      <c r="AD20" s="558"/>
      <c r="AE20" s="558"/>
      <c r="AF20" s="558"/>
      <c r="AG20" s="558"/>
      <c r="AH20" s="558"/>
      <c r="AI20" s="558"/>
      <c r="AJ20" s="558"/>
      <c r="AK20" s="558"/>
      <c r="AL20" s="558"/>
      <c r="AM20" s="558"/>
    </row>
    <row r="21" spans="1:60" ht="13.8" thickTop="1" x14ac:dyDescent="0.25">
      <c r="A21" s="558"/>
      <c r="B21" s="558"/>
      <c r="C21" s="558"/>
      <c r="D21" s="558"/>
      <c r="E21" s="558"/>
      <c r="F21" s="558"/>
      <c r="G21" s="558"/>
      <c r="H21" s="558"/>
      <c r="I21" s="558"/>
      <c r="J21" s="558"/>
      <c r="K21" s="558"/>
      <c r="L21" s="339"/>
      <c r="M21" s="558"/>
      <c r="N21" s="558"/>
      <c r="O21" s="558"/>
      <c r="P21" s="558"/>
      <c r="Q21" s="558"/>
      <c r="R21" s="558"/>
      <c r="S21" s="558"/>
      <c r="T21" s="558"/>
      <c r="U21" s="558"/>
      <c r="V21" s="558"/>
      <c r="W21" s="558"/>
      <c r="X21" s="558"/>
      <c r="Y21" s="558"/>
      <c r="Z21" s="558"/>
      <c r="AA21" s="558"/>
      <c r="AB21" s="558"/>
      <c r="AC21" s="558"/>
      <c r="AD21" s="558"/>
      <c r="AE21" s="558"/>
      <c r="AF21" s="558"/>
      <c r="AG21" s="558"/>
      <c r="AH21" s="558"/>
      <c r="AI21" s="558"/>
      <c r="AJ21" s="558"/>
      <c r="AK21" s="558"/>
      <c r="AL21" s="558"/>
      <c r="AM21" s="558"/>
      <c r="AN21" s="558"/>
      <c r="AO21" s="558"/>
      <c r="AP21" s="558"/>
      <c r="AQ21" s="558"/>
      <c r="AR21" s="558"/>
      <c r="AS21" s="558"/>
      <c r="AT21" s="558"/>
      <c r="AU21" s="558"/>
      <c r="AV21" s="558"/>
      <c r="AW21" s="558"/>
      <c r="AX21" s="558"/>
      <c r="AY21" s="558"/>
      <c r="AZ21" s="558"/>
      <c r="BA21" s="558"/>
      <c r="BB21" s="558"/>
      <c r="BC21" s="558"/>
      <c r="BD21" s="558"/>
      <c r="BE21" s="558"/>
      <c r="BF21" s="558"/>
      <c r="BG21" s="558"/>
      <c r="BH21" s="558"/>
    </row>
    <row r="22" spans="1:60" x14ac:dyDescent="0.25">
      <c r="A22" s="558"/>
      <c r="B22" s="558"/>
      <c r="C22" s="558"/>
      <c r="D22" s="558"/>
      <c r="E22" s="558"/>
      <c r="F22" s="558"/>
      <c r="G22" s="558"/>
      <c r="H22" s="558"/>
      <c r="I22" s="558"/>
      <c r="J22" s="558"/>
      <c r="K22" s="558"/>
      <c r="L22" s="339"/>
      <c r="M22" s="558"/>
      <c r="N22" s="558"/>
      <c r="O22" s="558"/>
      <c r="P22" s="558"/>
      <c r="Q22" s="558"/>
      <c r="R22" s="558"/>
      <c r="S22" s="558"/>
      <c r="T22" s="558"/>
      <c r="U22" s="558"/>
      <c r="V22" s="558"/>
      <c r="W22" s="558"/>
      <c r="X22" s="558"/>
      <c r="Y22" s="558"/>
      <c r="Z22" s="558"/>
      <c r="AA22" s="558"/>
      <c r="AB22" s="558"/>
      <c r="AC22" s="558"/>
      <c r="AD22" s="558"/>
      <c r="AE22" s="558"/>
      <c r="AF22" s="558"/>
      <c r="AG22" s="558"/>
      <c r="AH22" s="558"/>
      <c r="AI22" s="558"/>
      <c r="AJ22" s="558"/>
      <c r="AK22" s="558"/>
      <c r="AL22" s="558"/>
      <c r="AM22" s="558"/>
      <c r="AN22" s="558"/>
      <c r="AO22" s="558"/>
      <c r="AP22" s="558"/>
      <c r="AQ22" s="558"/>
      <c r="AR22" s="558"/>
      <c r="AS22" s="558"/>
      <c r="AT22" s="558"/>
      <c r="AU22" s="558"/>
      <c r="AV22" s="558"/>
      <c r="AW22" s="558"/>
      <c r="AX22" s="558"/>
      <c r="AY22" s="558"/>
      <c r="AZ22" s="558"/>
      <c r="BA22" s="558"/>
      <c r="BB22" s="558"/>
      <c r="BC22" s="558"/>
      <c r="BD22" s="558"/>
      <c r="BE22" s="558"/>
      <c r="BF22" s="558"/>
      <c r="BG22" s="558"/>
      <c r="BH22" s="558"/>
    </row>
    <row r="23" spans="1:60" ht="13.8" thickBot="1" x14ac:dyDescent="0.3">
      <c r="A23" s="558"/>
      <c r="B23" s="558"/>
      <c r="C23" s="558"/>
      <c r="D23" s="558"/>
      <c r="E23" s="558"/>
      <c r="F23" s="558"/>
      <c r="G23" s="558"/>
      <c r="H23" s="558"/>
      <c r="I23" s="558"/>
      <c r="J23" s="558"/>
      <c r="K23" s="558"/>
      <c r="L23" s="339"/>
      <c r="M23" s="558"/>
      <c r="N23" s="558"/>
      <c r="O23" s="558"/>
      <c r="P23" s="558"/>
      <c r="Q23" s="558"/>
      <c r="R23" s="558"/>
      <c r="S23" s="558"/>
      <c r="T23" s="558"/>
      <c r="U23" s="558"/>
      <c r="V23" s="558"/>
      <c r="W23" s="558"/>
      <c r="X23" s="558"/>
      <c r="Y23" s="558"/>
      <c r="Z23" s="558"/>
      <c r="AA23" s="558"/>
      <c r="AB23" s="558"/>
      <c r="AC23" s="558"/>
      <c r="AD23" s="558"/>
      <c r="AE23" s="558"/>
      <c r="AF23" s="558"/>
      <c r="AG23" s="558"/>
      <c r="AH23" s="558"/>
      <c r="AI23" s="558"/>
      <c r="AJ23" s="558"/>
      <c r="AK23" s="558"/>
      <c r="AL23" s="558"/>
      <c r="AM23" s="558"/>
      <c r="AN23" s="558"/>
      <c r="AO23" s="558"/>
      <c r="AP23" s="558"/>
      <c r="AQ23" s="558"/>
      <c r="AR23" s="558"/>
      <c r="AS23" s="558"/>
      <c r="AT23" s="558"/>
      <c r="AU23" s="558"/>
      <c r="AV23" s="558"/>
      <c r="AW23" s="558"/>
      <c r="AX23" s="558"/>
      <c r="AY23" s="558"/>
      <c r="AZ23" s="558"/>
      <c r="BA23" s="558"/>
      <c r="BB23" s="558"/>
      <c r="BC23" s="558"/>
      <c r="BD23" s="558"/>
      <c r="BE23" s="558"/>
      <c r="BF23" s="558"/>
      <c r="BG23" s="558"/>
      <c r="BH23" s="558"/>
    </row>
    <row r="24" spans="1:60" ht="15" customHeight="1" x14ac:dyDescent="0.25">
      <c r="A24" s="1096" t="s">
        <v>1047</v>
      </c>
      <c r="B24" s="1097"/>
      <c r="C24" s="1097"/>
      <c r="D24" s="1097"/>
      <c r="E24" s="1097"/>
      <c r="F24" s="1098"/>
      <c r="G24" s="315"/>
      <c r="H24" s="315"/>
      <c r="I24" s="315"/>
      <c r="J24" s="315"/>
      <c r="K24" s="338"/>
      <c r="L24" s="339"/>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8"/>
      <c r="AK24" s="558"/>
      <c r="AL24" s="558"/>
      <c r="AM24" s="558"/>
      <c r="AN24" s="558"/>
      <c r="AO24" s="558"/>
      <c r="AP24" s="558"/>
      <c r="AQ24" s="558"/>
      <c r="AR24" s="558"/>
      <c r="AS24" s="558"/>
      <c r="AT24" s="558"/>
      <c r="AU24" s="558"/>
      <c r="AV24" s="558"/>
      <c r="AW24" s="558"/>
      <c r="AX24" s="558"/>
      <c r="AY24" s="558"/>
      <c r="AZ24" s="558"/>
      <c r="BA24" s="558"/>
      <c r="BB24" s="558"/>
      <c r="BC24" s="558"/>
      <c r="BD24" s="558"/>
      <c r="BE24" s="558"/>
      <c r="BF24" s="558"/>
      <c r="BG24" s="558"/>
      <c r="BH24" s="558"/>
    </row>
    <row r="25" spans="1:60" x14ac:dyDescent="0.25">
      <c r="A25" s="1099"/>
      <c r="B25" s="1100"/>
      <c r="C25" s="1100"/>
      <c r="D25" s="1100"/>
      <c r="E25" s="1100"/>
      <c r="F25" s="1101"/>
      <c r="G25" s="315"/>
      <c r="H25" s="315"/>
      <c r="I25" s="315"/>
      <c r="J25" s="315"/>
      <c r="K25" s="338"/>
      <c r="L25" s="339"/>
      <c r="M25" s="558"/>
      <c r="N25" s="558"/>
      <c r="O25" s="558"/>
      <c r="P25" s="558"/>
      <c r="Q25" s="558"/>
      <c r="R25" s="558"/>
      <c r="S25" s="558"/>
      <c r="T25" s="558"/>
      <c r="U25" s="558"/>
      <c r="V25" s="558"/>
      <c r="W25" s="558"/>
      <c r="X25" s="558"/>
      <c r="Y25" s="558"/>
      <c r="Z25" s="558"/>
      <c r="AA25" s="558"/>
      <c r="AB25" s="558"/>
      <c r="AC25" s="558"/>
      <c r="AD25" s="558"/>
      <c r="AE25" s="558"/>
      <c r="AF25" s="558"/>
      <c r="AG25" s="558"/>
      <c r="AH25" s="558"/>
      <c r="AI25" s="558"/>
      <c r="AJ25" s="558"/>
      <c r="AK25" s="558"/>
      <c r="AL25" s="558"/>
      <c r="AM25" s="558"/>
      <c r="AN25" s="558"/>
      <c r="AO25" s="558"/>
      <c r="AP25" s="558"/>
      <c r="AQ25" s="558"/>
      <c r="AR25" s="558"/>
      <c r="AS25" s="558"/>
      <c r="AT25" s="558"/>
      <c r="AU25" s="558"/>
      <c r="AV25" s="558"/>
      <c r="AW25" s="558"/>
      <c r="AX25" s="558"/>
      <c r="AY25" s="558"/>
      <c r="AZ25" s="558"/>
      <c r="BA25" s="558"/>
      <c r="BB25" s="558"/>
      <c r="BC25" s="558"/>
      <c r="BD25" s="558"/>
      <c r="BE25" s="558"/>
      <c r="BF25" s="558"/>
      <c r="BG25" s="558"/>
      <c r="BH25" s="558"/>
    </row>
    <row r="26" spans="1:60" ht="23.25" customHeight="1" thickBot="1" x14ac:dyDescent="0.3">
      <c r="A26" s="1102"/>
      <c r="B26" s="1103"/>
      <c r="C26" s="1103"/>
      <c r="D26" s="1103"/>
      <c r="E26" s="1103"/>
      <c r="F26" s="1104"/>
      <c r="G26" s="315"/>
      <c r="H26" s="315"/>
      <c r="I26" s="315"/>
      <c r="J26" s="315"/>
      <c r="K26" s="338"/>
      <c r="L26" s="339"/>
      <c r="M26" s="558"/>
      <c r="N26" s="558"/>
      <c r="O26" s="558"/>
      <c r="P26" s="558"/>
      <c r="Q26" s="558"/>
      <c r="R26" s="558"/>
      <c r="S26" s="558"/>
      <c r="T26" s="558"/>
      <c r="U26" s="558"/>
      <c r="V26" s="558"/>
      <c r="W26" s="558"/>
      <c r="X26" s="558"/>
      <c r="Y26" s="558"/>
      <c r="Z26" s="558"/>
      <c r="AA26" s="558"/>
      <c r="AB26" s="558"/>
      <c r="AC26" s="558"/>
      <c r="AD26" s="558"/>
      <c r="AE26" s="558"/>
      <c r="AF26" s="558"/>
      <c r="AG26" s="558"/>
      <c r="AH26" s="558"/>
      <c r="AI26" s="558"/>
      <c r="AJ26" s="558"/>
      <c r="AK26" s="558"/>
      <c r="AL26" s="558"/>
      <c r="AM26" s="558"/>
      <c r="AN26" s="558"/>
      <c r="AO26" s="558"/>
      <c r="AP26" s="558"/>
      <c r="AQ26" s="558"/>
      <c r="AR26" s="558"/>
      <c r="AS26" s="558"/>
      <c r="AT26" s="558"/>
      <c r="AU26" s="558"/>
      <c r="AV26" s="558"/>
      <c r="AW26" s="558"/>
      <c r="AX26" s="558"/>
      <c r="AY26" s="558"/>
      <c r="AZ26" s="558"/>
      <c r="BA26" s="558"/>
      <c r="BB26" s="558"/>
      <c r="BC26" s="558"/>
      <c r="BD26" s="558"/>
      <c r="BE26" s="558"/>
      <c r="BF26" s="558"/>
      <c r="BG26" s="558"/>
      <c r="BH26" s="558"/>
    </row>
    <row r="27" spans="1:60" x14ac:dyDescent="0.25">
      <c r="A27" s="805"/>
      <c r="B27" s="805"/>
      <c r="C27" s="805"/>
      <c r="D27" s="805"/>
      <c r="E27" s="805"/>
      <c r="F27" s="805"/>
      <c r="G27" s="315"/>
      <c r="H27" s="315"/>
      <c r="I27" s="315"/>
      <c r="J27" s="315"/>
      <c r="K27" s="338"/>
      <c r="L27" s="339"/>
      <c r="M27" s="558"/>
      <c r="N27" s="558"/>
      <c r="O27" s="558"/>
      <c r="P27" s="558"/>
      <c r="Q27" s="558"/>
      <c r="R27" s="558"/>
      <c r="S27" s="558"/>
      <c r="T27" s="558"/>
      <c r="U27" s="558"/>
      <c r="V27" s="558"/>
      <c r="W27" s="558"/>
      <c r="X27" s="558"/>
      <c r="Y27" s="558"/>
      <c r="Z27" s="558"/>
      <c r="AA27" s="558"/>
      <c r="AB27" s="558"/>
      <c r="AC27" s="558"/>
      <c r="AD27" s="558"/>
      <c r="AE27" s="558"/>
      <c r="AF27" s="558"/>
      <c r="AG27" s="558"/>
      <c r="AH27" s="558"/>
      <c r="AI27" s="558"/>
      <c r="AJ27" s="558"/>
      <c r="AK27" s="558"/>
      <c r="AL27" s="558"/>
      <c r="AM27" s="558"/>
      <c r="AN27" s="558"/>
      <c r="AO27" s="558"/>
      <c r="AP27" s="558"/>
      <c r="AQ27" s="558"/>
      <c r="AR27" s="558"/>
      <c r="AS27" s="558"/>
      <c r="AT27" s="558"/>
      <c r="AU27" s="558"/>
      <c r="AV27" s="558"/>
      <c r="AW27" s="558"/>
      <c r="AX27" s="558"/>
      <c r="AY27" s="558"/>
      <c r="AZ27" s="558"/>
      <c r="BA27" s="558"/>
      <c r="BB27" s="558"/>
      <c r="BC27" s="558"/>
      <c r="BD27" s="558"/>
      <c r="BE27" s="558"/>
      <c r="BF27" s="558"/>
      <c r="BG27" s="558"/>
      <c r="BH27" s="558"/>
    </row>
    <row r="28" spans="1:60" x14ac:dyDescent="0.25">
      <c r="A28" s="558"/>
      <c r="B28" s="558"/>
      <c r="C28" s="558"/>
      <c r="D28" s="558"/>
      <c r="E28" s="558"/>
      <c r="F28" s="558"/>
      <c r="G28" s="558"/>
      <c r="H28" s="558"/>
      <c r="I28" s="558"/>
      <c r="J28" s="558"/>
      <c r="K28" s="558"/>
      <c r="L28" s="339"/>
      <c r="M28" s="558"/>
      <c r="N28" s="558"/>
      <c r="O28" s="558"/>
      <c r="P28" s="558"/>
      <c r="Q28" s="558"/>
      <c r="R28" s="558"/>
      <c r="S28" s="558"/>
      <c r="T28" s="558"/>
      <c r="U28" s="558"/>
      <c r="V28" s="558"/>
      <c r="W28" s="558"/>
      <c r="X28" s="558"/>
      <c r="Y28" s="558"/>
      <c r="Z28" s="558"/>
      <c r="AA28" s="558"/>
      <c r="AB28" s="558"/>
      <c r="AC28" s="558"/>
      <c r="AD28" s="558"/>
      <c r="AE28" s="558"/>
      <c r="AF28" s="558"/>
      <c r="AG28" s="558"/>
      <c r="AH28" s="558"/>
      <c r="AI28" s="558"/>
      <c r="AJ28" s="558"/>
      <c r="AK28" s="558"/>
      <c r="AL28" s="558"/>
      <c r="AM28" s="558"/>
      <c r="AN28" s="558"/>
      <c r="AO28" s="558"/>
      <c r="AP28" s="558"/>
      <c r="AQ28" s="558"/>
      <c r="AR28" s="558"/>
      <c r="AS28" s="558"/>
      <c r="AT28" s="558"/>
      <c r="AU28" s="558"/>
      <c r="AV28" s="558"/>
      <c r="AW28" s="558"/>
      <c r="AX28" s="558"/>
      <c r="AY28" s="558"/>
      <c r="AZ28" s="558"/>
      <c r="BA28" s="558"/>
      <c r="BB28" s="558"/>
      <c r="BC28" s="558"/>
      <c r="BD28" s="558"/>
      <c r="BE28" s="558"/>
      <c r="BF28" s="558"/>
      <c r="BG28" s="558"/>
      <c r="BH28" s="558"/>
    </row>
    <row r="29" spans="1:60" x14ac:dyDescent="0.25">
      <c r="A29" s="558"/>
      <c r="B29" s="558"/>
      <c r="C29" s="558"/>
      <c r="D29" s="558"/>
      <c r="E29" s="558"/>
      <c r="F29" s="558"/>
      <c r="G29" s="558"/>
      <c r="H29" s="558"/>
      <c r="I29" s="558"/>
      <c r="J29" s="558"/>
      <c r="K29" s="558"/>
      <c r="L29" s="339"/>
      <c r="M29" s="558"/>
      <c r="N29" s="558"/>
      <c r="O29" s="558"/>
      <c r="P29" s="558"/>
      <c r="Q29" s="558"/>
      <c r="R29" s="558"/>
      <c r="S29" s="558"/>
      <c r="T29" s="558"/>
      <c r="U29" s="558"/>
      <c r="V29" s="558"/>
      <c r="W29" s="558"/>
      <c r="X29" s="558"/>
      <c r="Y29" s="558"/>
      <c r="Z29" s="558"/>
      <c r="AA29" s="558"/>
      <c r="AB29" s="558"/>
      <c r="AC29" s="558"/>
      <c r="AD29" s="558"/>
      <c r="AE29" s="558"/>
      <c r="AF29" s="558"/>
      <c r="AG29" s="558"/>
      <c r="AH29" s="558"/>
      <c r="AI29" s="558"/>
      <c r="AJ29" s="558"/>
      <c r="AK29" s="558"/>
      <c r="AL29" s="558"/>
      <c r="AM29" s="558"/>
      <c r="AN29" s="558"/>
      <c r="AO29" s="558"/>
      <c r="AP29" s="558"/>
      <c r="AQ29" s="558"/>
      <c r="AR29" s="558"/>
      <c r="AS29" s="558"/>
      <c r="AT29" s="558"/>
      <c r="AU29" s="558"/>
      <c r="AV29" s="558"/>
      <c r="AW29" s="558"/>
      <c r="AX29" s="558"/>
      <c r="AY29" s="558"/>
      <c r="AZ29" s="558"/>
      <c r="BA29" s="558"/>
      <c r="BB29" s="558"/>
      <c r="BC29" s="558"/>
      <c r="BD29" s="558"/>
      <c r="BE29" s="558"/>
      <c r="BF29" s="558"/>
      <c r="BG29" s="558"/>
      <c r="BH29" s="558"/>
    </row>
    <row r="30" spans="1:60" x14ac:dyDescent="0.25">
      <c r="A30" s="558"/>
      <c r="B30" s="558"/>
      <c r="C30" s="558"/>
      <c r="D30" s="558"/>
      <c r="E30" s="558"/>
      <c r="F30" s="558"/>
      <c r="G30" s="558"/>
      <c r="H30" s="558"/>
      <c r="I30" s="558"/>
      <c r="J30" s="558"/>
      <c r="K30" s="558"/>
      <c r="L30" s="334"/>
      <c r="M30" s="558"/>
      <c r="N30" s="558"/>
      <c r="O30" s="558"/>
      <c r="P30" s="558"/>
      <c r="Q30" s="558"/>
      <c r="R30" s="558"/>
      <c r="S30" s="558"/>
      <c r="T30" s="558"/>
      <c r="U30" s="558"/>
      <c r="V30" s="558"/>
      <c r="W30" s="558"/>
      <c r="X30" s="558"/>
      <c r="Y30" s="558"/>
      <c r="Z30" s="558"/>
      <c r="AA30" s="558"/>
      <c r="AB30" s="558"/>
      <c r="AC30" s="558"/>
      <c r="AD30" s="558"/>
      <c r="AE30" s="558"/>
      <c r="AF30" s="558"/>
      <c r="AG30" s="558"/>
      <c r="AH30" s="558"/>
      <c r="AI30" s="558"/>
      <c r="AJ30" s="558"/>
      <c r="AK30" s="558"/>
      <c r="AL30" s="558"/>
      <c r="AM30" s="558"/>
      <c r="AN30" s="558"/>
      <c r="AO30" s="558"/>
      <c r="AP30" s="558"/>
      <c r="AQ30" s="558"/>
      <c r="AR30" s="558"/>
      <c r="AS30" s="558"/>
      <c r="AT30" s="558"/>
      <c r="AU30" s="558"/>
      <c r="AV30" s="558"/>
      <c r="AW30" s="558"/>
      <c r="AX30" s="558"/>
      <c r="AY30" s="558"/>
      <c r="AZ30" s="558"/>
      <c r="BA30" s="558"/>
      <c r="BB30" s="558"/>
      <c r="BC30" s="558"/>
      <c r="BD30" s="558"/>
      <c r="BE30" s="558"/>
      <c r="BF30" s="558"/>
      <c r="BG30" s="558"/>
      <c r="BH30" s="558"/>
    </row>
    <row r="31" spans="1:60" x14ac:dyDescent="0.25">
      <c r="A31" s="558"/>
      <c r="B31" s="558"/>
      <c r="C31" s="558"/>
      <c r="D31" s="558"/>
      <c r="E31" s="558"/>
      <c r="F31" s="558"/>
      <c r="G31" s="558"/>
      <c r="H31" s="558"/>
      <c r="I31" s="558"/>
      <c r="J31" s="558"/>
      <c r="K31" s="558"/>
      <c r="L31" s="558"/>
      <c r="M31" s="558"/>
      <c r="N31" s="558"/>
      <c r="O31" s="558"/>
      <c r="P31" s="558"/>
      <c r="Q31" s="558"/>
      <c r="R31" s="558"/>
      <c r="S31" s="558"/>
      <c r="T31" s="558"/>
      <c r="U31" s="558"/>
      <c r="V31" s="558"/>
      <c r="W31" s="558"/>
      <c r="X31" s="558"/>
      <c r="Y31" s="558"/>
      <c r="Z31" s="558"/>
      <c r="AA31" s="558"/>
      <c r="AB31" s="558"/>
      <c r="AC31" s="558"/>
      <c r="AD31" s="558"/>
      <c r="AE31" s="558"/>
      <c r="AF31" s="558"/>
      <c r="AG31" s="558"/>
      <c r="AH31" s="558"/>
      <c r="AI31" s="558"/>
      <c r="AJ31" s="558"/>
      <c r="AK31" s="558"/>
      <c r="AL31" s="558"/>
      <c r="AM31" s="558"/>
      <c r="AN31" s="558"/>
      <c r="AO31" s="558"/>
      <c r="AP31" s="558"/>
      <c r="AQ31" s="558"/>
      <c r="AR31" s="558"/>
      <c r="AS31" s="558"/>
      <c r="AT31" s="558"/>
      <c r="AU31" s="558"/>
      <c r="AV31" s="558"/>
      <c r="AW31" s="558"/>
      <c r="AX31" s="558"/>
      <c r="AY31" s="558"/>
      <c r="AZ31" s="558"/>
      <c r="BA31" s="558"/>
      <c r="BB31" s="558"/>
      <c r="BC31" s="558"/>
      <c r="BD31" s="558"/>
      <c r="BE31" s="558"/>
      <c r="BF31" s="558"/>
      <c r="BG31" s="558"/>
      <c r="BH31" s="558"/>
    </row>
    <row r="32" spans="1:60" x14ac:dyDescent="0.25">
      <c r="A32" s="558"/>
      <c r="B32" s="558"/>
      <c r="C32" s="558"/>
      <c r="D32" s="558"/>
      <c r="E32" s="558"/>
      <c r="F32" s="558"/>
      <c r="G32" s="558"/>
      <c r="H32" s="558"/>
      <c r="I32" s="558"/>
      <c r="J32" s="558"/>
      <c r="K32" s="558"/>
      <c r="L32" s="558"/>
      <c r="M32" s="558"/>
      <c r="N32" s="558"/>
      <c r="O32" s="558"/>
      <c r="P32" s="558"/>
      <c r="Q32" s="558"/>
      <c r="R32" s="558"/>
      <c r="S32" s="558"/>
      <c r="T32" s="558"/>
      <c r="U32" s="558"/>
      <c r="V32" s="558"/>
      <c r="W32" s="558"/>
      <c r="X32" s="558"/>
      <c r="Y32" s="558"/>
      <c r="Z32" s="558"/>
      <c r="AA32" s="558"/>
      <c r="AB32" s="558"/>
      <c r="AC32" s="558"/>
      <c r="AD32" s="558"/>
      <c r="AE32" s="558"/>
      <c r="AF32" s="558"/>
      <c r="AG32" s="558"/>
      <c r="AH32" s="558"/>
      <c r="AI32" s="558"/>
      <c r="AJ32" s="558"/>
      <c r="AK32" s="558"/>
      <c r="AL32" s="558"/>
      <c r="AM32" s="558"/>
      <c r="AN32" s="558"/>
      <c r="AO32" s="558"/>
      <c r="AP32" s="558"/>
      <c r="AQ32" s="558"/>
      <c r="AR32" s="558"/>
      <c r="AS32" s="558"/>
      <c r="AT32" s="558"/>
      <c r="AU32" s="558"/>
      <c r="AV32" s="558"/>
      <c r="AW32" s="558"/>
      <c r="AX32" s="558"/>
      <c r="AY32" s="558"/>
      <c r="AZ32" s="558"/>
      <c r="BA32" s="558"/>
      <c r="BB32" s="558"/>
      <c r="BC32" s="558"/>
      <c r="BD32" s="558"/>
      <c r="BE32" s="558"/>
      <c r="BF32" s="558"/>
      <c r="BG32" s="558"/>
      <c r="BH32" s="558"/>
    </row>
    <row r="33" spans="1:60" x14ac:dyDescent="0.25">
      <c r="A33" s="558"/>
      <c r="B33" s="558"/>
      <c r="C33" s="558"/>
      <c r="D33" s="558"/>
      <c r="E33" s="558"/>
      <c r="F33" s="558"/>
      <c r="G33" s="558"/>
      <c r="H33" s="558"/>
      <c r="I33" s="558"/>
      <c r="J33" s="558"/>
      <c r="K33" s="558"/>
      <c r="L33" s="558"/>
      <c r="M33" s="558"/>
      <c r="N33" s="558"/>
      <c r="O33" s="558"/>
      <c r="P33" s="558"/>
      <c r="Q33" s="558"/>
      <c r="R33" s="558"/>
      <c r="S33" s="558"/>
      <c r="T33" s="558"/>
      <c r="U33" s="558"/>
      <c r="V33" s="558"/>
      <c r="W33" s="558"/>
      <c r="X33" s="558"/>
      <c r="Y33" s="558"/>
      <c r="Z33" s="558"/>
      <c r="AA33" s="558"/>
      <c r="AB33" s="558"/>
      <c r="AC33" s="558"/>
      <c r="AD33" s="558"/>
      <c r="AE33" s="558"/>
      <c r="AF33" s="558"/>
      <c r="AG33" s="558"/>
      <c r="AH33" s="558"/>
      <c r="AI33" s="558"/>
      <c r="AJ33" s="558"/>
      <c r="AK33" s="558"/>
      <c r="AL33" s="558"/>
      <c r="AM33" s="558"/>
      <c r="AN33" s="558"/>
      <c r="AO33" s="558"/>
      <c r="AP33" s="558"/>
      <c r="AQ33" s="558"/>
      <c r="AR33" s="558"/>
      <c r="AS33" s="558"/>
      <c r="AT33" s="558"/>
      <c r="AU33" s="558"/>
      <c r="AV33" s="558"/>
      <c r="AW33" s="558"/>
      <c r="AX33" s="558"/>
      <c r="AY33" s="558"/>
      <c r="AZ33" s="558"/>
      <c r="BA33" s="558"/>
      <c r="BB33" s="558"/>
      <c r="BC33" s="558"/>
      <c r="BD33" s="558"/>
      <c r="BE33" s="558"/>
      <c r="BF33" s="558"/>
      <c r="BG33" s="558"/>
      <c r="BH33" s="558"/>
    </row>
    <row r="34" spans="1:60" x14ac:dyDescent="0.25">
      <c r="A34" s="558"/>
      <c r="B34" s="558"/>
      <c r="C34" s="558"/>
      <c r="D34" s="558"/>
      <c r="E34" s="558"/>
      <c r="F34" s="558"/>
      <c r="G34" s="558"/>
      <c r="H34" s="558"/>
      <c r="I34" s="558"/>
      <c r="J34" s="558"/>
      <c r="K34" s="558"/>
      <c r="L34" s="558"/>
      <c r="M34" s="558"/>
      <c r="N34" s="558"/>
      <c r="O34" s="558"/>
      <c r="P34" s="558"/>
      <c r="Q34" s="558"/>
      <c r="R34" s="558"/>
      <c r="S34" s="558"/>
      <c r="T34" s="558"/>
      <c r="U34" s="558"/>
      <c r="V34" s="558"/>
      <c r="W34" s="558"/>
      <c r="X34" s="558"/>
      <c r="Y34" s="558"/>
      <c r="Z34" s="558"/>
      <c r="AA34" s="558"/>
      <c r="AB34" s="558"/>
      <c r="AC34" s="558"/>
      <c r="AD34" s="558"/>
      <c r="AE34" s="558"/>
      <c r="AF34" s="558"/>
      <c r="AG34" s="558"/>
      <c r="AH34" s="558"/>
      <c r="AI34" s="558"/>
      <c r="AJ34" s="558"/>
      <c r="AK34" s="558"/>
      <c r="AL34" s="558"/>
      <c r="AM34" s="558"/>
      <c r="AN34" s="558"/>
      <c r="AO34" s="558"/>
      <c r="AP34" s="558"/>
      <c r="AQ34" s="558"/>
      <c r="AR34" s="558"/>
      <c r="AS34" s="558"/>
      <c r="AT34" s="558"/>
      <c r="AU34" s="558"/>
      <c r="AV34" s="558"/>
      <c r="AW34" s="558"/>
      <c r="AX34" s="558"/>
      <c r="AY34" s="558"/>
      <c r="AZ34" s="558"/>
      <c r="BA34" s="558"/>
      <c r="BB34" s="558"/>
      <c r="BC34" s="558"/>
      <c r="BD34" s="558"/>
      <c r="BE34" s="558"/>
      <c r="BF34" s="558"/>
      <c r="BG34" s="558"/>
      <c r="BH34" s="558"/>
    </row>
    <row r="35" spans="1:60" x14ac:dyDescent="0.25">
      <c r="A35" s="558"/>
      <c r="B35" s="558"/>
      <c r="C35" s="558"/>
      <c r="D35" s="558"/>
      <c r="E35" s="558"/>
      <c r="F35" s="558"/>
      <c r="G35" s="558"/>
      <c r="H35" s="558"/>
      <c r="I35" s="558"/>
      <c r="J35" s="558"/>
      <c r="K35" s="558"/>
      <c r="L35" s="558"/>
      <c r="M35" s="558"/>
      <c r="N35" s="558"/>
      <c r="O35" s="558"/>
      <c r="P35" s="558"/>
      <c r="Q35" s="558"/>
      <c r="R35" s="558"/>
      <c r="S35" s="558"/>
      <c r="T35" s="558"/>
      <c r="U35" s="558"/>
      <c r="V35" s="558"/>
      <c r="W35" s="558"/>
      <c r="X35" s="558"/>
      <c r="Y35" s="558"/>
      <c r="Z35" s="558"/>
      <c r="AA35" s="558"/>
      <c r="AB35" s="558"/>
      <c r="AC35" s="558"/>
      <c r="AD35" s="558"/>
      <c r="AE35" s="558"/>
      <c r="AF35" s="558"/>
      <c r="AG35" s="558"/>
      <c r="AH35" s="558"/>
      <c r="AI35" s="558"/>
      <c r="AJ35" s="558"/>
      <c r="AK35" s="558"/>
      <c r="AL35" s="558"/>
      <c r="AM35" s="558"/>
      <c r="AN35" s="558"/>
      <c r="AO35" s="558"/>
      <c r="AP35" s="558"/>
      <c r="AQ35" s="558"/>
      <c r="AR35" s="558"/>
      <c r="AS35" s="558"/>
      <c r="AT35" s="558"/>
      <c r="AU35" s="558"/>
      <c r="AV35" s="558"/>
      <c r="AW35" s="558"/>
      <c r="AX35" s="558"/>
      <c r="AY35" s="558"/>
      <c r="AZ35" s="558"/>
      <c r="BA35" s="558"/>
      <c r="BB35" s="558"/>
      <c r="BC35" s="558"/>
      <c r="BD35" s="558"/>
      <c r="BE35" s="558"/>
      <c r="BF35" s="558"/>
      <c r="BG35" s="558"/>
      <c r="BH35" s="558"/>
    </row>
    <row r="36" spans="1:60" x14ac:dyDescent="0.25">
      <c r="A36" s="558"/>
      <c r="B36" s="558"/>
      <c r="C36" s="558"/>
      <c r="D36" s="558"/>
      <c r="E36" s="558"/>
      <c r="F36" s="558"/>
      <c r="G36" s="558"/>
      <c r="H36" s="558"/>
      <c r="I36" s="558"/>
      <c r="J36" s="558"/>
      <c r="K36" s="558"/>
      <c r="L36" s="558"/>
      <c r="M36" s="558"/>
      <c r="N36" s="558"/>
      <c r="O36" s="558"/>
      <c r="P36" s="558"/>
      <c r="Q36" s="558"/>
      <c r="R36" s="558"/>
      <c r="S36" s="558"/>
      <c r="T36" s="558"/>
      <c r="U36" s="558"/>
      <c r="V36" s="558"/>
      <c r="W36" s="558"/>
      <c r="X36" s="558"/>
      <c r="Y36" s="558"/>
      <c r="Z36" s="558"/>
      <c r="AA36" s="558"/>
      <c r="AB36" s="558"/>
      <c r="AC36" s="558"/>
      <c r="AD36" s="558"/>
      <c r="AE36" s="558"/>
      <c r="AF36" s="558"/>
      <c r="AG36" s="558"/>
      <c r="AH36" s="558"/>
      <c r="AI36" s="558"/>
      <c r="AJ36" s="558"/>
      <c r="AK36" s="558"/>
      <c r="AL36" s="558"/>
      <c r="AM36" s="558"/>
      <c r="AN36" s="558"/>
      <c r="AO36" s="558"/>
      <c r="AP36" s="558"/>
      <c r="AQ36" s="558"/>
      <c r="AR36" s="558"/>
      <c r="AS36" s="558"/>
      <c r="AT36" s="558"/>
      <c r="AU36" s="558"/>
      <c r="AV36" s="558"/>
      <c r="AW36" s="558"/>
      <c r="AX36" s="558"/>
      <c r="AY36" s="558"/>
      <c r="AZ36" s="558"/>
      <c r="BA36" s="558"/>
      <c r="BB36" s="558"/>
      <c r="BC36" s="558"/>
      <c r="BD36" s="558"/>
      <c r="BE36" s="558"/>
      <c r="BF36" s="558"/>
      <c r="BG36" s="558"/>
      <c r="BH36" s="558"/>
    </row>
    <row r="37" spans="1:60" x14ac:dyDescent="0.25">
      <c r="A37" s="558"/>
      <c r="B37" s="558"/>
      <c r="C37" s="558"/>
      <c r="D37" s="558"/>
      <c r="E37" s="558"/>
      <c r="F37" s="558"/>
      <c r="G37" s="558"/>
      <c r="H37" s="558"/>
      <c r="I37" s="558"/>
      <c r="J37" s="558"/>
      <c r="K37" s="558"/>
      <c r="L37" s="558"/>
      <c r="M37" s="558"/>
      <c r="N37" s="558"/>
      <c r="O37" s="558"/>
      <c r="P37" s="558"/>
      <c r="Q37" s="558"/>
      <c r="R37" s="558"/>
      <c r="S37" s="558"/>
      <c r="T37" s="558"/>
      <c r="U37" s="558"/>
      <c r="V37" s="558"/>
      <c r="W37" s="558"/>
      <c r="X37" s="558"/>
      <c r="Y37" s="558"/>
      <c r="Z37" s="558"/>
      <c r="AA37" s="558"/>
      <c r="AB37" s="558"/>
      <c r="AC37" s="558"/>
      <c r="AD37" s="558"/>
      <c r="AE37" s="558"/>
      <c r="AF37" s="558"/>
      <c r="AG37" s="558"/>
      <c r="AH37" s="558"/>
      <c r="AI37" s="558"/>
      <c r="AJ37" s="558"/>
      <c r="AK37" s="558"/>
      <c r="AL37" s="558"/>
      <c r="AM37" s="558"/>
      <c r="AN37" s="558"/>
      <c r="AO37" s="558"/>
      <c r="AP37" s="558"/>
      <c r="AQ37" s="558"/>
      <c r="AR37" s="558"/>
      <c r="AS37" s="558"/>
      <c r="AT37" s="558"/>
      <c r="AU37" s="558"/>
      <c r="AV37" s="558"/>
      <c r="AW37" s="558"/>
      <c r="AX37" s="558"/>
      <c r="AY37" s="558"/>
      <c r="AZ37" s="558"/>
      <c r="BA37" s="558"/>
      <c r="BB37" s="558"/>
      <c r="BC37" s="558"/>
      <c r="BD37" s="558"/>
      <c r="BE37" s="558"/>
      <c r="BF37" s="558"/>
      <c r="BG37" s="558"/>
      <c r="BH37" s="558"/>
    </row>
    <row r="38" spans="1:60" x14ac:dyDescent="0.25">
      <c r="A38" s="558"/>
      <c r="B38" s="558"/>
      <c r="C38" s="558"/>
      <c r="D38" s="558"/>
      <c r="E38" s="558"/>
      <c r="F38" s="558"/>
      <c r="G38" s="558"/>
      <c r="H38" s="558"/>
      <c r="I38" s="558"/>
      <c r="J38" s="558"/>
      <c r="K38" s="558"/>
      <c r="L38" s="558"/>
      <c r="M38" s="558"/>
      <c r="N38" s="558"/>
      <c r="O38" s="558"/>
      <c r="P38" s="558"/>
      <c r="Q38" s="558"/>
      <c r="R38" s="558"/>
      <c r="S38" s="558"/>
      <c r="T38" s="558"/>
      <c r="U38" s="558"/>
      <c r="V38" s="558"/>
      <c r="W38" s="558"/>
      <c r="X38" s="558"/>
      <c r="Y38" s="558"/>
      <c r="Z38" s="558"/>
      <c r="AA38" s="558"/>
      <c r="AB38" s="558"/>
      <c r="AC38" s="558"/>
      <c r="AD38" s="558"/>
      <c r="AE38" s="558"/>
      <c r="AF38" s="558"/>
      <c r="AG38" s="558"/>
      <c r="AH38" s="558"/>
      <c r="AI38" s="558"/>
      <c r="AJ38" s="558"/>
      <c r="AK38" s="558"/>
      <c r="AL38" s="558"/>
      <c r="AM38" s="558"/>
      <c r="AN38" s="558"/>
      <c r="AO38" s="558"/>
      <c r="AP38" s="558"/>
      <c r="AQ38" s="558"/>
      <c r="AR38" s="558"/>
      <c r="AS38" s="558"/>
      <c r="AT38" s="558"/>
      <c r="AU38" s="558"/>
      <c r="AV38" s="558"/>
      <c r="AW38" s="558"/>
      <c r="AX38" s="558"/>
      <c r="AY38" s="558"/>
      <c r="AZ38" s="558"/>
      <c r="BA38" s="558"/>
      <c r="BB38" s="558"/>
      <c r="BC38" s="558"/>
      <c r="BD38" s="558"/>
      <c r="BE38" s="558"/>
      <c r="BF38" s="558"/>
      <c r="BG38" s="558"/>
      <c r="BH38" s="558"/>
    </row>
    <row r="39" spans="1:60" x14ac:dyDescent="0.25">
      <c r="A39" s="558"/>
      <c r="B39" s="558"/>
      <c r="C39" s="558"/>
      <c r="D39" s="558"/>
      <c r="E39" s="558"/>
      <c r="F39" s="558"/>
      <c r="G39" s="558"/>
      <c r="H39" s="558"/>
      <c r="I39" s="558"/>
      <c r="J39" s="558"/>
      <c r="K39" s="558"/>
      <c r="L39" s="558"/>
      <c r="M39" s="558"/>
      <c r="N39" s="558"/>
      <c r="O39" s="558"/>
      <c r="P39" s="558"/>
      <c r="Q39" s="558"/>
      <c r="R39" s="558"/>
      <c r="S39" s="558"/>
      <c r="T39" s="558"/>
      <c r="U39" s="558"/>
      <c r="V39" s="558"/>
      <c r="W39" s="558"/>
      <c r="X39" s="558"/>
      <c r="Y39" s="558"/>
      <c r="Z39" s="558"/>
      <c r="AA39" s="558"/>
      <c r="AB39" s="558"/>
      <c r="AC39" s="558"/>
      <c r="AD39" s="558"/>
      <c r="AE39" s="558"/>
      <c r="AF39" s="558"/>
      <c r="AG39" s="558"/>
      <c r="AH39" s="558"/>
      <c r="AI39" s="558"/>
      <c r="AJ39" s="558"/>
      <c r="AK39" s="558"/>
      <c r="AL39" s="558"/>
      <c r="AM39" s="558"/>
      <c r="AN39" s="558"/>
      <c r="AO39" s="558"/>
      <c r="AP39" s="558"/>
      <c r="AQ39" s="558"/>
      <c r="AR39" s="558"/>
      <c r="AS39" s="558"/>
      <c r="AT39" s="558"/>
      <c r="AU39" s="558"/>
      <c r="AV39" s="558"/>
      <c r="AW39" s="558"/>
      <c r="AX39" s="558"/>
      <c r="AY39" s="558"/>
      <c r="AZ39" s="558"/>
      <c r="BA39" s="558"/>
      <c r="BB39" s="558"/>
      <c r="BC39" s="558"/>
      <c r="BD39" s="558"/>
      <c r="BE39" s="558"/>
      <c r="BF39" s="558"/>
      <c r="BG39" s="558"/>
      <c r="BH39" s="558"/>
    </row>
    <row r="40" spans="1:60" x14ac:dyDescent="0.25">
      <c r="A40" s="558"/>
      <c r="B40" s="558"/>
      <c r="C40" s="558"/>
      <c r="D40" s="558"/>
      <c r="E40" s="558"/>
      <c r="F40" s="558"/>
      <c r="G40" s="558"/>
      <c r="H40" s="558"/>
      <c r="I40" s="558"/>
      <c r="J40" s="558"/>
      <c r="K40" s="558"/>
      <c r="L40" s="558"/>
      <c r="M40" s="558"/>
      <c r="N40" s="558"/>
      <c r="O40" s="558"/>
      <c r="P40" s="558"/>
      <c r="Q40" s="558"/>
      <c r="R40" s="558"/>
      <c r="S40" s="558"/>
      <c r="T40" s="558"/>
      <c r="U40" s="558"/>
      <c r="V40" s="558"/>
      <c r="W40" s="558"/>
      <c r="X40" s="558"/>
      <c r="Y40" s="558"/>
      <c r="Z40" s="558"/>
      <c r="AA40" s="558"/>
      <c r="AB40" s="558"/>
      <c r="AC40" s="558"/>
      <c r="AD40" s="558"/>
      <c r="AE40" s="558"/>
      <c r="AF40" s="558"/>
      <c r="AG40" s="558"/>
      <c r="AH40" s="558"/>
      <c r="AI40" s="558"/>
      <c r="AJ40" s="558"/>
      <c r="AK40" s="558"/>
      <c r="AL40" s="558"/>
      <c r="AM40" s="558"/>
      <c r="AN40" s="558"/>
      <c r="AO40" s="558"/>
      <c r="AP40" s="558"/>
      <c r="AQ40" s="558"/>
      <c r="AR40" s="558"/>
      <c r="AS40" s="558"/>
      <c r="AT40" s="558"/>
      <c r="AU40" s="558"/>
      <c r="AV40" s="558"/>
      <c r="AW40" s="558"/>
      <c r="AX40" s="558"/>
      <c r="AY40" s="558"/>
      <c r="AZ40" s="558"/>
      <c r="BA40" s="558"/>
      <c r="BB40" s="558"/>
      <c r="BC40" s="558"/>
      <c r="BD40" s="558"/>
      <c r="BE40" s="558"/>
      <c r="BF40" s="558"/>
      <c r="BG40" s="558"/>
      <c r="BH40" s="558"/>
    </row>
    <row r="41" spans="1:60" x14ac:dyDescent="0.25">
      <c r="A41" s="558"/>
      <c r="B41" s="558"/>
      <c r="C41" s="558"/>
      <c r="D41" s="558"/>
      <c r="E41" s="558"/>
      <c r="F41" s="558"/>
      <c r="G41" s="558"/>
      <c r="H41" s="558"/>
      <c r="I41" s="558"/>
      <c r="J41" s="558"/>
      <c r="K41" s="558"/>
      <c r="L41" s="558"/>
      <c r="M41" s="558"/>
      <c r="N41" s="558"/>
      <c r="O41" s="558"/>
      <c r="P41" s="558"/>
      <c r="Q41" s="558"/>
      <c r="R41" s="558"/>
      <c r="S41" s="558"/>
      <c r="T41" s="558"/>
      <c r="U41" s="558"/>
      <c r="V41" s="558"/>
      <c r="W41" s="558"/>
      <c r="X41" s="558"/>
      <c r="Y41" s="558"/>
      <c r="Z41" s="558"/>
      <c r="AA41" s="558"/>
      <c r="AB41" s="558"/>
      <c r="AC41" s="558"/>
      <c r="AD41" s="558"/>
      <c r="AE41" s="558"/>
      <c r="AF41" s="558"/>
      <c r="AG41" s="558"/>
      <c r="AH41" s="558"/>
      <c r="AI41" s="558"/>
      <c r="AJ41" s="558"/>
      <c r="AK41" s="558"/>
      <c r="AL41" s="558"/>
      <c r="AM41" s="558"/>
      <c r="AN41" s="558"/>
      <c r="AO41" s="558"/>
      <c r="AP41" s="558"/>
      <c r="AQ41" s="558"/>
      <c r="AR41" s="558"/>
      <c r="AS41" s="558"/>
      <c r="AT41" s="558"/>
      <c r="AU41" s="558"/>
      <c r="AV41" s="558"/>
      <c r="AW41" s="558"/>
      <c r="AX41" s="558"/>
      <c r="AY41" s="558"/>
      <c r="AZ41" s="558"/>
      <c r="BA41" s="558"/>
      <c r="BB41" s="558"/>
      <c r="BC41" s="558"/>
      <c r="BD41" s="558"/>
      <c r="BE41" s="558"/>
      <c r="BF41" s="558"/>
      <c r="BG41" s="558"/>
      <c r="BH41" s="558"/>
    </row>
    <row r="42" spans="1:60" x14ac:dyDescent="0.25">
      <c r="A42" s="558"/>
      <c r="B42" s="558"/>
      <c r="C42" s="558"/>
      <c r="D42" s="558"/>
      <c r="E42" s="558"/>
      <c r="F42" s="558"/>
      <c r="G42" s="558"/>
      <c r="H42" s="558"/>
      <c r="I42" s="558"/>
      <c r="J42" s="558"/>
      <c r="K42" s="558"/>
      <c r="L42" s="558"/>
      <c r="M42" s="558"/>
      <c r="N42" s="558"/>
      <c r="O42" s="558"/>
      <c r="P42" s="558"/>
      <c r="Q42" s="558"/>
      <c r="R42" s="558"/>
      <c r="S42" s="558"/>
      <c r="T42" s="558"/>
      <c r="U42" s="558"/>
      <c r="V42" s="558"/>
      <c r="W42" s="558"/>
      <c r="X42" s="558"/>
      <c r="Y42" s="558"/>
      <c r="Z42" s="558"/>
      <c r="AA42" s="558"/>
      <c r="AB42" s="558"/>
      <c r="AC42" s="558"/>
      <c r="AD42" s="558"/>
      <c r="AE42" s="558"/>
      <c r="AF42" s="558"/>
      <c r="AG42" s="558"/>
      <c r="AH42" s="558"/>
      <c r="AI42" s="558"/>
      <c r="AJ42" s="558"/>
      <c r="AK42" s="558"/>
      <c r="AL42" s="558"/>
      <c r="AM42" s="558"/>
      <c r="AN42" s="558"/>
      <c r="AO42" s="558"/>
      <c r="AP42" s="558"/>
      <c r="AQ42" s="558"/>
      <c r="AR42" s="558"/>
      <c r="AS42" s="558"/>
      <c r="AT42" s="558"/>
      <c r="AU42" s="558"/>
      <c r="AV42" s="558"/>
      <c r="AW42" s="558"/>
      <c r="AX42" s="558"/>
      <c r="AY42" s="558"/>
      <c r="AZ42" s="558"/>
      <c r="BA42" s="558"/>
      <c r="BB42" s="558"/>
      <c r="BC42" s="558"/>
      <c r="BD42" s="558"/>
      <c r="BE42" s="558"/>
      <c r="BF42" s="558"/>
      <c r="BG42" s="558"/>
      <c r="BH42" s="558"/>
    </row>
    <row r="43" spans="1:60" x14ac:dyDescent="0.25">
      <c r="A43" s="558"/>
      <c r="B43" s="558"/>
      <c r="C43" s="558"/>
      <c r="D43" s="558"/>
      <c r="E43" s="558"/>
      <c r="F43" s="558"/>
      <c r="G43" s="558"/>
      <c r="H43" s="558"/>
      <c r="I43" s="558"/>
      <c r="J43" s="558"/>
      <c r="K43" s="558"/>
      <c r="L43" s="558"/>
      <c r="M43" s="558"/>
      <c r="N43" s="558"/>
      <c r="O43" s="558"/>
      <c r="P43" s="558"/>
      <c r="Q43" s="558"/>
      <c r="R43" s="558"/>
      <c r="S43" s="558"/>
      <c r="T43" s="558"/>
      <c r="U43" s="558"/>
      <c r="V43" s="558"/>
      <c r="W43" s="558"/>
      <c r="X43" s="558"/>
      <c r="Y43" s="558"/>
      <c r="Z43" s="558"/>
      <c r="AA43" s="558"/>
      <c r="AB43" s="558"/>
      <c r="AC43" s="558"/>
      <c r="AD43" s="558"/>
      <c r="AE43" s="558"/>
      <c r="AF43" s="558"/>
      <c r="AG43" s="558"/>
      <c r="AH43" s="558"/>
      <c r="AI43" s="558"/>
      <c r="AJ43" s="558"/>
      <c r="AK43" s="558"/>
      <c r="AL43" s="558"/>
      <c r="AM43" s="558"/>
      <c r="AN43" s="558"/>
      <c r="AO43" s="558"/>
      <c r="AP43" s="558"/>
      <c r="AQ43" s="558"/>
      <c r="AR43" s="558"/>
      <c r="AS43" s="558"/>
      <c r="AT43" s="558"/>
      <c r="AU43" s="558"/>
      <c r="AV43" s="558"/>
      <c r="AW43" s="558"/>
      <c r="AX43" s="558"/>
      <c r="AY43" s="558"/>
      <c r="AZ43" s="558"/>
      <c r="BA43" s="558"/>
      <c r="BB43" s="558"/>
      <c r="BC43" s="558"/>
      <c r="BD43" s="558"/>
      <c r="BE43" s="558"/>
      <c r="BF43" s="558"/>
      <c r="BG43" s="558"/>
      <c r="BH43" s="558"/>
    </row>
    <row r="44" spans="1:60" x14ac:dyDescent="0.25">
      <c r="A44" s="558"/>
      <c r="B44" s="558"/>
      <c r="C44" s="558"/>
      <c r="D44" s="558"/>
      <c r="E44" s="558"/>
      <c r="F44" s="558"/>
      <c r="G44" s="558"/>
      <c r="H44" s="558"/>
      <c r="I44" s="558"/>
      <c r="J44" s="558"/>
      <c r="K44" s="558"/>
      <c r="L44" s="558"/>
      <c r="M44" s="558"/>
      <c r="N44" s="558"/>
      <c r="O44" s="558"/>
      <c r="P44" s="558"/>
      <c r="Q44" s="558"/>
      <c r="R44" s="558"/>
      <c r="S44" s="558"/>
      <c r="T44" s="558"/>
      <c r="U44" s="558"/>
      <c r="V44" s="558"/>
      <c r="W44" s="558"/>
      <c r="X44" s="558"/>
      <c r="Y44" s="558"/>
      <c r="Z44" s="558"/>
      <c r="AA44" s="558"/>
      <c r="AB44" s="558"/>
      <c r="AC44" s="558"/>
      <c r="AD44" s="558"/>
      <c r="AE44" s="558"/>
      <c r="AF44" s="558"/>
      <c r="AG44" s="558"/>
      <c r="AH44" s="558"/>
      <c r="AI44" s="558"/>
      <c r="AJ44" s="558"/>
      <c r="AK44" s="558"/>
      <c r="AL44" s="558"/>
      <c r="AM44" s="558"/>
      <c r="AN44" s="558"/>
      <c r="AO44" s="558"/>
      <c r="AP44" s="558"/>
      <c r="AQ44" s="558"/>
      <c r="AR44" s="558"/>
      <c r="AS44" s="558"/>
      <c r="AT44" s="558"/>
      <c r="AU44" s="558"/>
      <c r="AV44" s="558"/>
      <c r="AW44" s="558"/>
      <c r="AX44" s="558"/>
      <c r="AY44" s="558"/>
      <c r="AZ44" s="558"/>
      <c r="BA44" s="558"/>
      <c r="BB44" s="558"/>
      <c r="BC44" s="558"/>
      <c r="BD44" s="558"/>
      <c r="BE44" s="558"/>
      <c r="BF44" s="558"/>
      <c r="BG44" s="558"/>
      <c r="BH44" s="558"/>
    </row>
    <row r="45" spans="1:60" x14ac:dyDescent="0.25">
      <c r="A45" s="558"/>
      <c r="B45" s="558"/>
      <c r="C45" s="558"/>
      <c r="D45" s="558"/>
      <c r="E45" s="558"/>
      <c r="F45" s="558"/>
      <c r="G45" s="558"/>
      <c r="H45" s="558"/>
      <c r="I45" s="558"/>
      <c r="J45" s="558"/>
      <c r="K45" s="558"/>
      <c r="L45" s="558"/>
      <c r="M45" s="558"/>
      <c r="N45" s="558"/>
      <c r="O45" s="558"/>
      <c r="P45" s="558"/>
      <c r="Q45" s="558"/>
      <c r="R45" s="558"/>
      <c r="S45" s="558"/>
      <c r="T45" s="558"/>
      <c r="U45" s="558"/>
      <c r="V45" s="558"/>
      <c r="W45" s="558"/>
      <c r="X45" s="558"/>
      <c r="Y45" s="558"/>
      <c r="Z45" s="558"/>
      <c r="AA45" s="558"/>
      <c r="AB45" s="558"/>
      <c r="AC45" s="558"/>
      <c r="AD45" s="558"/>
      <c r="AE45" s="558"/>
      <c r="AF45" s="558"/>
      <c r="AG45" s="558"/>
      <c r="AH45" s="558"/>
      <c r="AI45" s="558"/>
      <c r="AJ45" s="558"/>
      <c r="AK45" s="558"/>
      <c r="AL45" s="558"/>
      <c r="AM45" s="558"/>
      <c r="AN45" s="558"/>
      <c r="AO45" s="558"/>
      <c r="AP45" s="558"/>
      <c r="AQ45" s="558"/>
      <c r="AR45" s="558"/>
      <c r="AS45" s="558"/>
      <c r="AT45" s="558"/>
      <c r="AU45" s="558"/>
      <c r="AV45" s="558"/>
      <c r="AW45" s="558"/>
      <c r="AX45" s="558"/>
      <c r="AY45" s="558"/>
      <c r="AZ45" s="558"/>
      <c r="BA45" s="558"/>
      <c r="BB45" s="558"/>
      <c r="BC45" s="558"/>
      <c r="BD45" s="558"/>
      <c r="BE45" s="558"/>
      <c r="BF45" s="558"/>
      <c r="BG45" s="558"/>
      <c r="BH45" s="558"/>
    </row>
    <row r="46" spans="1:60" x14ac:dyDescent="0.25">
      <c r="A46" s="558"/>
      <c r="B46" s="558"/>
      <c r="C46" s="558"/>
      <c r="D46" s="558"/>
      <c r="E46" s="558"/>
      <c r="F46" s="558"/>
      <c r="G46" s="558"/>
      <c r="H46" s="558"/>
      <c r="I46" s="558"/>
      <c r="J46" s="558"/>
      <c r="K46" s="558"/>
      <c r="L46" s="558"/>
      <c r="M46" s="558"/>
      <c r="N46" s="558"/>
      <c r="O46" s="558"/>
      <c r="P46" s="558"/>
      <c r="Q46" s="558"/>
      <c r="R46" s="558"/>
      <c r="S46" s="558"/>
      <c r="T46" s="558"/>
      <c r="U46" s="558"/>
      <c r="V46" s="558"/>
      <c r="W46" s="558"/>
      <c r="X46" s="558"/>
      <c r="Y46" s="558"/>
      <c r="Z46" s="558"/>
      <c r="AA46" s="558"/>
      <c r="AB46" s="558"/>
      <c r="AC46" s="558"/>
      <c r="AD46" s="558"/>
      <c r="AE46" s="558"/>
      <c r="AF46" s="558"/>
      <c r="AG46" s="558"/>
      <c r="AH46" s="558"/>
      <c r="AI46" s="558"/>
      <c r="AJ46" s="558"/>
      <c r="AK46" s="558"/>
      <c r="AL46" s="558"/>
      <c r="AM46" s="558"/>
      <c r="AN46" s="558"/>
      <c r="AO46" s="558"/>
      <c r="AP46" s="558"/>
      <c r="AQ46" s="558"/>
      <c r="AR46" s="558"/>
      <c r="AS46" s="558"/>
      <c r="AT46" s="558"/>
      <c r="AU46" s="558"/>
      <c r="AV46" s="558"/>
      <c r="AW46" s="558"/>
      <c r="AX46" s="558"/>
      <c r="AY46" s="558"/>
      <c r="AZ46" s="558"/>
      <c r="BA46" s="558"/>
      <c r="BB46" s="558"/>
      <c r="BC46" s="558"/>
      <c r="BD46" s="558"/>
      <c r="BE46" s="558"/>
      <c r="BF46" s="558"/>
      <c r="BG46" s="558"/>
      <c r="BH46" s="558"/>
    </row>
    <row r="47" spans="1:60" x14ac:dyDescent="0.25">
      <c r="A47" s="558"/>
      <c r="B47" s="558"/>
      <c r="C47" s="558"/>
      <c r="D47" s="558"/>
      <c r="E47" s="558"/>
      <c r="F47" s="558"/>
      <c r="G47" s="558"/>
      <c r="H47" s="558"/>
      <c r="I47" s="558"/>
      <c r="J47" s="558"/>
      <c r="K47" s="558"/>
      <c r="L47" s="558"/>
      <c r="M47" s="558"/>
      <c r="N47" s="558"/>
      <c r="O47" s="558"/>
      <c r="P47" s="558"/>
      <c r="Q47" s="558"/>
      <c r="R47" s="558"/>
      <c r="S47" s="558"/>
      <c r="T47" s="558"/>
      <c r="U47" s="558"/>
      <c r="V47" s="558"/>
      <c r="W47" s="558"/>
      <c r="X47" s="558"/>
      <c r="Y47" s="558"/>
      <c r="Z47" s="558"/>
      <c r="AA47" s="558"/>
      <c r="AB47" s="558"/>
      <c r="AC47" s="558"/>
      <c r="AD47" s="558"/>
      <c r="AE47" s="558"/>
      <c r="AF47" s="558"/>
      <c r="AG47" s="558"/>
      <c r="AH47" s="558"/>
      <c r="AI47" s="558"/>
      <c r="AJ47" s="558"/>
      <c r="AK47" s="558"/>
      <c r="AL47" s="558"/>
      <c r="AM47" s="558"/>
      <c r="AN47" s="558"/>
      <c r="AO47" s="558"/>
      <c r="AP47" s="558"/>
      <c r="AQ47" s="558"/>
      <c r="AR47" s="558"/>
      <c r="AS47" s="558"/>
      <c r="AT47" s="558"/>
      <c r="AU47" s="558"/>
      <c r="AV47" s="558"/>
      <c r="AW47" s="558"/>
      <c r="AX47" s="558"/>
      <c r="AY47" s="558"/>
      <c r="AZ47" s="558"/>
      <c r="BA47" s="558"/>
      <c r="BB47" s="558"/>
      <c r="BC47" s="558"/>
      <c r="BD47" s="558"/>
      <c r="BE47" s="558"/>
      <c r="BF47" s="558"/>
      <c r="BG47" s="558"/>
      <c r="BH47" s="558"/>
    </row>
    <row r="48" spans="1:60" x14ac:dyDescent="0.25">
      <c r="A48" s="558"/>
      <c r="B48" s="558"/>
      <c r="C48" s="558"/>
      <c r="D48" s="558"/>
      <c r="E48" s="558"/>
      <c r="F48" s="558"/>
      <c r="G48" s="558"/>
      <c r="H48" s="558"/>
      <c r="I48" s="558"/>
      <c r="J48" s="558"/>
      <c r="K48" s="558"/>
      <c r="L48" s="558"/>
      <c r="M48" s="558"/>
      <c r="N48" s="558"/>
      <c r="O48" s="558"/>
      <c r="P48" s="558"/>
      <c r="Q48" s="558"/>
      <c r="R48" s="558"/>
      <c r="S48" s="558"/>
      <c r="T48" s="558"/>
      <c r="U48" s="558"/>
      <c r="V48" s="558"/>
      <c r="W48" s="558"/>
      <c r="X48" s="558"/>
      <c r="Y48" s="558"/>
      <c r="Z48" s="558"/>
      <c r="AA48" s="558"/>
      <c r="AB48" s="558"/>
      <c r="AC48" s="558"/>
      <c r="AD48" s="558"/>
      <c r="AE48" s="558"/>
      <c r="AF48" s="558"/>
      <c r="AG48" s="558"/>
      <c r="AH48" s="558"/>
      <c r="AI48" s="558"/>
      <c r="AJ48" s="558"/>
      <c r="AK48" s="558"/>
      <c r="AL48" s="558"/>
      <c r="AM48" s="558"/>
      <c r="AN48" s="558"/>
      <c r="AO48" s="558"/>
      <c r="AP48" s="558"/>
      <c r="AQ48" s="558"/>
      <c r="AR48" s="558"/>
      <c r="AS48" s="558"/>
      <c r="AT48" s="558"/>
      <c r="AU48" s="558"/>
      <c r="AV48" s="558"/>
      <c r="AW48" s="558"/>
      <c r="AX48" s="558"/>
      <c r="AY48" s="558"/>
      <c r="AZ48" s="558"/>
      <c r="BA48" s="558"/>
      <c r="BB48" s="558"/>
      <c r="BC48" s="558"/>
      <c r="BD48" s="558"/>
      <c r="BE48" s="558"/>
      <c r="BF48" s="558"/>
      <c r="BG48" s="558"/>
      <c r="BH48" s="558"/>
    </row>
    <row r="49" spans="1:60" x14ac:dyDescent="0.25">
      <c r="A49" s="558"/>
      <c r="B49" s="558"/>
      <c r="C49" s="558"/>
      <c r="D49" s="558"/>
      <c r="E49" s="558"/>
      <c r="F49" s="558"/>
      <c r="G49" s="558"/>
      <c r="H49" s="558"/>
      <c r="I49" s="558"/>
      <c r="J49" s="558"/>
      <c r="K49" s="558"/>
      <c r="L49" s="558"/>
      <c r="M49" s="558"/>
      <c r="N49" s="558"/>
      <c r="O49" s="558"/>
      <c r="P49" s="558"/>
      <c r="Q49" s="558"/>
      <c r="R49" s="558"/>
      <c r="S49" s="558"/>
      <c r="T49" s="558"/>
      <c r="U49" s="558"/>
      <c r="V49" s="558"/>
      <c r="W49" s="558"/>
      <c r="X49" s="558"/>
      <c r="Y49" s="558"/>
      <c r="Z49" s="558"/>
      <c r="AA49" s="558"/>
      <c r="AB49" s="558"/>
      <c r="AC49" s="558"/>
      <c r="AD49" s="558"/>
      <c r="AE49" s="558"/>
      <c r="AF49" s="558"/>
      <c r="AG49" s="558"/>
      <c r="AH49" s="558"/>
      <c r="AI49" s="558"/>
      <c r="AJ49" s="558"/>
      <c r="AK49" s="558"/>
      <c r="AL49" s="558"/>
      <c r="AM49" s="558"/>
      <c r="AN49" s="558"/>
      <c r="AO49" s="558"/>
      <c r="AP49" s="558"/>
      <c r="AQ49" s="558"/>
      <c r="AR49" s="558"/>
      <c r="AS49" s="558"/>
      <c r="AT49" s="558"/>
      <c r="AU49" s="558"/>
      <c r="AV49" s="558"/>
      <c r="AW49" s="558"/>
      <c r="AX49" s="558"/>
      <c r="AY49" s="558"/>
      <c r="AZ49" s="558"/>
      <c r="BA49" s="558"/>
      <c r="BB49" s="558"/>
      <c r="BC49" s="558"/>
      <c r="BD49" s="558"/>
      <c r="BE49" s="558"/>
      <c r="BF49" s="558"/>
      <c r="BG49" s="558"/>
      <c r="BH49" s="558"/>
    </row>
    <row r="50" spans="1:60" x14ac:dyDescent="0.25">
      <c r="A50" s="558"/>
      <c r="B50" s="558"/>
      <c r="C50" s="558"/>
      <c r="D50" s="558"/>
      <c r="E50" s="558"/>
      <c r="F50" s="558"/>
      <c r="G50" s="558"/>
      <c r="H50" s="558"/>
      <c r="I50" s="558"/>
      <c r="J50" s="558"/>
      <c r="K50" s="558"/>
      <c r="L50" s="558"/>
      <c r="M50" s="558"/>
      <c r="N50" s="558"/>
      <c r="O50" s="558"/>
      <c r="P50" s="558"/>
      <c r="Q50" s="558"/>
      <c r="R50" s="558"/>
      <c r="S50" s="558"/>
      <c r="T50" s="558"/>
      <c r="U50" s="558"/>
      <c r="V50" s="558"/>
      <c r="W50" s="558"/>
      <c r="X50" s="558"/>
      <c r="Y50" s="558"/>
      <c r="Z50" s="558"/>
      <c r="AA50" s="558"/>
      <c r="AB50" s="558"/>
      <c r="AC50" s="558"/>
      <c r="AD50" s="558"/>
      <c r="AE50" s="558"/>
      <c r="AF50" s="558"/>
      <c r="AG50" s="558"/>
      <c r="AH50" s="558"/>
      <c r="AI50" s="558"/>
      <c r="AJ50" s="558"/>
      <c r="AK50" s="558"/>
      <c r="AL50" s="558"/>
      <c r="AM50" s="558"/>
      <c r="AN50" s="558"/>
      <c r="AO50" s="558"/>
      <c r="AP50" s="558"/>
      <c r="AQ50" s="558"/>
      <c r="AR50" s="558"/>
      <c r="AS50" s="558"/>
      <c r="AT50" s="558"/>
      <c r="AU50" s="558"/>
      <c r="AV50" s="558"/>
      <c r="AW50" s="558"/>
      <c r="AX50" s="558"/>
      <c r="AY50" s="558"/>
      <c r="AZ50" s="558"/>
      <c r="BA50" s="558"/>
      <c r="BB50" s="558"/>
      <c r="BC50" s="558"/>
      <c r="BD50" s="558"/>
      <c r="BE50" s="558"/>
      <c r="BF50" s="558"/>
      <c r="BG50" s="558"/>
      <c r="BH50" s="558"/>
    </row>
    <row r="51" spans="1:60" x14ac:dyDescent="0.25">
      <c r="A51" s="558"/>
      <c r="B51" s="558"/>
      <c r="C51" s="558"/>
      <c r="D51" s="558"/>
      <c r="E51" s="558"/>
      <c r="F51" s="558"/>
      <c r="G51" s="558"/>
      <c r="H51" s="558"/>
      <c r="I51" s="558"/>
      <c r="J51" s="558"/>
      <c r="K51" s="558"/>
      <c r="L51" s="558"/>
      <c r="M51" s="558"/>
      <c r="N51" s="558"/>
      <c r="O51" s="558"/>
      <c r="P51" s="558"/>
      <c r="Q51" s="558"/>
      <c r="R51" s="558"/>
      <c r="S51" s="558"/>
      <c r="T51" s="558"/>
      <c r="U51" s="558"/>
      <c r="V51" s="558"/>
      <c r="W51" s="558"/>
      <c r="X51" s="558"/>
      <c r="Y51" s="558"/>
      <c r="Z51" s="558"/>
      <c r="AA51" s="558"/>
      <c r="AB51" s="558"/>
      <c r="AC51" s="558"/>
      <c r="AD51" s="558"/>
      <c r="AE51" s="558"/>
      <c r="AF51" s="558"/>
      <c r="AG51" s="558"/>
      <c r="AH51" s="558"/>
      <c r="AI51" s="558"/>
      <c r="AJ51" s="558"/>
      <c r="AK51" s="558"/>
      <c r="AL51" s="558"/>
      <c r="AM51" s="558"/>
      <c r="AN51" s="558"/>
      <c r="AO51" s="558"/>
      <c r="AP51" s="558"/>
      <c r="AQ51" s="558"/>
      <c r="AR51" s="558"/>
      <c r="AS51" s="558"/>
      <c r="AT51" s="558"/>
      <c r="AU51" s="558"/>
      <c r="AV51" s="558"/>
      <c r="AW51" s="558"/>
      <c r="AX51" s="558"/>
      <c r="AY51" s="558"/>
      <c r="AZ51" s="558"/>
      <c r="BA51" s="558"/>
      <c r="BB51" s="558"/>
      <c r="BC51" s="558"/>
      <c r="BD51" s="558"/>
      <c r="BE51" s="558"/>
      <c r="BF51" s="558"/>
      <c r="BG51" s="558"/>
      <c r="BH51" s="558"/>
    </row>
    <row r="52" spans="1:60" x14ac:dyDescent="0.25">
      <c r="A52" s="558"/>
      <c r="B52" s="558"/>
      <c r="C52" s="558"/>
      <c r="D52" s="558"/>
      <c r="E52" s="558"/>
      <c r="F52" s="558"/>
      <c r="G52" s="558"/>
      <c r="H52" s="558"/>
      <c r="I52" s="558"/>
      <c r="J52" s="558"/>
      <c r="K52" s="558"/>
      <c r="L52" s="558"/>
      <c r="M52" s="558"/>
      <c r="N52" s="558"/>
      <c r="O52" s="558"/>
      <c r="P52" s="558"/>
      <c r="Q52" s="558"/>
      <c r="R52" s="558"/>
      <c r="S52" s="558"/>
      <c r="T52" s="558"/>
      <c r="U52" s="558"/>
      <c r="V52" s="558"/>
      <c r="W52" s="558"/>
      <c r="X52" s="558"/>
      <c r="Y52" s="558"/>
      <c r="Z52" s="558"/>
      <c r="AA52" s="558"/>
      <c r="AB52" s="558"/>
      <c r="AC52" s="558"/>
      <c r="AD52" s="558"/>
      <c r="AE52" s="558"/>
      <c r="AF52" s="558"/>
      <c r="AG52" s="558"/>
      <c r="AH52" s="558"/>
      <c r="AI52" s="558"/>
      <c r="AJ52" s="558"/>
      <c r="AK52" s="558"/>
      <c r="AL52" s="558"/>
      <c r="AM52" s="558"/>
      <c r="AN52" s="558"/>
      <c r="AO52" s="558"/>
      <c r="AP52" s="558"/>
      <c r="AQ52" s="558"/>
      <c r="AR52" s="558"/>
      <c r="AS52" s="558"/>
      <c r="AT52" s="558"/>
      <c r="AU52" s="558"/>
      <c r="AV52" s="558"/>
      <c r="AW52" s="558"/>
      <c r="AX52" s="558"/>
      <c r="AY52" s="558"/>
      <c r="AZ52" s="558"/>
      <c r="BA52" s="558"/>
      <c r="BB52" s="558"/>
      <c r="BC52" s="558"/>
      <c r="BD52" s="558"/>
      <c r="BE52" s="558"/>
      <c r="BF52" s="558"/>
      <c r="BG52" s="558"/>
      <c r="BH52" s="558"/>
    </row>
    <row r="53" spans="1:60" x14ac:dyDescent="0.25">
      <c r="A53" s="558"/>
      <c r="B53" s="558"/>
      <c r="C53" s="558"/>
      <c r="D53" s="558"/>
      <c r="E53" s="558"/>
      <c r="F53" s="558"/>
      <c r="G53" s="558"/>
      <c r="H53" s="558"/>
      <c r="I53" s="558"/>
      <c r="J53" s="558"/>
      <c r="K53" s="558"/>
      <c r="L53" s="558"/>
      <c r="M53" s="558"/>
      <c r="N53" s="558"/>
      <c r="O53" s="558"/>
      <c r="P53" s="558"/>
      <c r="Q53" s="558"/>
      <c r="R53" s="558"/>
      <c r="S53" s="558"/>
      <c r="T53" s="558"/>
      <c r="U53" s="558"/>
      <c r="V53" s="558"/>
      <c r="W53" s="558"/>
      <c r="X53" s="558"/>
      <c r="Y53" s="558"/>
      <c r="Z53" s="558"/>
      <c r="AA53" s="558"/>
      <c r="AB53" s="558"/>
      <c r="AC53" s="558"/>
      <c r="AD53" s="558"/>
      <c r="AE53" s="558"/>
      <c r="AF53" s="558"/>
      <c r="AG53" s="558"/>
      <c r="AH53" s="558"/>
      <c r="AI53" s="558"/>
      <c r="AJ53" s="558"/>
      <c r="AK53" s="558"/>
      <c r="AL53" s="558"/>
      <c r="AM53" s="558"/>
      <c r="AN53" s="558"/>
      <c r="AO53" s="558"/>
      <c r="AP53" s="558"/>
      <c r="AQ53" s="558"/>
      <c r="AR53" s="558"/>
      <c r="AS53" s="558"/>
      <c r="AT53" s="558"/>
      <c r="AU53" s="558"/>
      <c r="AV53" s="558"/>
      <c r="AW53" s="558"/>
      <c r="AX53" s="558"/>
      <c r="AY53" s="558"/>
      <c r="AZ53" s="558"/>
      <c r="BA53" s="558"/>
      <c r="BB53" s="558"/>
      <c r="BC53" s="558"/>
      <c r="BD53" s="558"/>
      <c r="BE53" s="558"/>
      <c r="BF53" s="558"/>
      <c r="BG53" s="558"/>
      <c r="BH53" s="558"/>
    </row>
    <row r="54" spans="1:60" x14ac:dyDescent="0.25">
      <c r="A54" s="558"/>
      <c r="B54" s="558"/>
      <c r="C54" s="558"/>
      <c r="D54" s="558"/>
      <c r="E54" s="558"/>
      <c r="F54" s="558"/>
      <c r="G54" s="558"/>
      <c r="H54" s="558"/>
      <c r="I54" s="558"/>
      <c r="J54" s="558"/>
      <c r="K54" s="558"/>
      <c r="L54" s="558"/>
      <c r="M54" s="558"/>
      <c r="N54" s="558"/>
      <c r="O54" s="558"/>
      <c r="P54" s="558"/>
      <c r="Q54" s="558"/>
      <c r="R54" s="558"/>
      <c r="S54" s="558"/>
      <c r="T54" s="558"/>
      <c r="U54" s="558"/>
      <c r="V54" s="558"/>
      <c r="W54" s="558"/>
      <c r="X54" s="558"/>
      <c r="Y54" s="558"/>
      <c r="Z54" s="558"/>
      <c r="AA54" s="558"/>
      <c r="AB54" s="558"/>
      <c r="AC54" s="558"/>
      <c r="AD54" s="558"/>
      <c r="AE54" s="558"/>
      <c r="AF54" s="558"/>
      <c r="AG54" s="558"/>
      <c r="AH54" s="558"/>
      <c r="AI54" s="558"/>
      <c r="AJ54" s="558"/>
      <c r="AK54" s="558"/>
      <c r="AL54" s="558"/>
      <c r="AM54" s="558"/>
      <c r="AN54" s="558"/>
      <c r="AO54" s="558"/>
      <c r="AP54" s="558"/>
      <c r="AQ54" s="558"/>
      <c r="AR54" s="558"/>
      <c r="AS54" s="558"/>
      <c r="AT54" s="558"/>
      <c r="AU54" s="558"/>
      <c r="AV54" s="558"/>
      <c r="AW54" s="558"/>
      <c r="AX54" s="558"/>
      <c r="AY54" s="558"/>
      <c r="AZ54" s="558"/>
      <c r="BA54" s="558"/>
      <c r="BB54" s="558"/>
      <c r="BC54" s="558"/>
      <c r="BD54" s="558"/>
      <c r="BE54" s="558"/>
      <c r="BF54" s="558"/>
      <c r="BG54" s="558"/>
      <c r="BH54" s="558"/>
    </row>
    <row r="55" spans="1:60" x14ac:dyDescent="0.25">
      <c r="A55" s="558"/>
      <c r="B55" s="558"/>
      <c r="C55" s="558"/>
      <c r="D55" s="558"/>
      <c r="E55" s="558"/>
      <c r="F55" s="558"/>
      <c r="G55" s="558"/>
      <c r="H55" s="558"/>
      <c r="I55" s="558"/>
      <c r="J55" s="558"/>
      <c r="K55" s="558"/>
      <c r="L55" s="558"/>
      <c r="M55" s="558"/>
      <c r="N55" s="558"/>
      <c r="O55" s="558"/>
      <c r="P55" s="558"/>
      <c r="Q55" s="558"/>
      <c r="R55" s="558"/>
      <c r="S55" s="558"/>
      <c r="T55" s="558"/>
      <c r="U55" s="558"/>
      <c r="V55" s="558"/>
      <c r="W55" s="558"/>
      <c r="X55" s="558"/>
      <c r="Y55" s="558"/>
      <c r="Z55" s="558"/>
      <c r="AA55" s="558"/>
      <c r="AB55" s="558"/>
      <c r="AC55" s="558"/>
      <c r="AD55" s="558"/>
      <c r="AE55" s="558"/>
      <c r="AF55" s="558"/>
      <c r="AG55" s="558"/>
      <c r="AH55" s="558"/>
      <c r="AI55" s="558"/>
      <c r="AJ55" s="558"/>
      <c r="AK55" s="558"/>
      <c r="AL55" s="558"/>
      <c r="AM55" s="558"/>
      <c r="AN55" s="558"/>
      <c r="AO55" s="558"/>
      <c r="AP55" s="558"/>
      <c r="AQ55" s="558"/>
      <c r="AR55" s="558"/>
      <c r="AS55" s="558"/>
      <c r="AT55" s="558"/>
      <c r="AU55" s="558"/>
      <c r="AV55" s="558"/>
      <c r="AW55" s="558"/>
      <c r="AX55" s="558"/>
      <c r="AY55" s="558"/>
      <c r="AZ55" s="558"/>
      <c r="BA55" s="558"/>
      <c r="BB55" s="558"/>
      <c r="BC55" s="558"/>
      <c r="BD55" s="558"/>
      <c r="BE55" s="558"/>
      <c r="BF55" s="558"/>
      <c r="BG55" s="558"/>
      <c r="BH55" s="558"/>
    </row>
    <row r="56" spans="1:60" x14ac:dyDescent="0.25">
      <c r="A56" s="558"/>
      <c r="B56" s="558"/>
      <c r="C56" s="558"/>
      <c r="D56" s="558"/>
      <c r="E56" s="558"/>
      <c r="F56" s="558"/>
      <c r="G56" s="558"/>
      <c r="H56" s="558"/>
      <c r="I56" s="558"/>
      <c r="J56" s="558"/>
      <c r="K56" s="558"/>
      <c r="L56" s="558"/>
      <c r="M56" s="558"/>
      <c r="N56" s="558"/>
      <c r="O56" s="558"/>
      <c r="P56" s="558"/>
      <c r="Q56" s="558"/>
      <c r="R56" s="558"/>
      <c r="S56" s="558"/>
      <c r="T56" s="558"/>
      <c r="U56" s="558"/>
      <c r="V56" s="558"/>
      <c r="W56" s="558"/>
      <c r="X56" s="558"/>
      <c r="Y56" s="558"/>
      <c r="Z56" s="558"/>
      <c r="AA56" s="558"/>
      <c r="AB56" s="558"/>
      <c r="AC56" s="558"/>
      <c r="AD56" s="558"/>
      <c r="AE56" s="558"/>
      <c r="AF56" s="558"/>
      <c r="AG56" s="558"/>
      <c r="AH56" s="558"/>
      <c r="AI56" s="558"/>
      <c r="AJ56" s="558"/>
      <c r="AK56" s="558"/>
      <c r="AL56" s="558"/>
      <c r="AM56" s="558"/>
      <c r="AN56" s="558"/>
      <c r="AO56" s="558"/>
      <c r="AP56" s="558"/>
      <c r="AQ56" s="558"/>
      <c r="AR56" s="558"/>
      <c r="AS56" s="558"/>
      <c r="AT56" s="558"/>
      <c r="AU56" s="558"/>
      <c r="AV56" s="558"/>
      <c r="AW56" s="558"/>
      <c r="AX56" s="558"/>
      <c r="AY56" s="558"/>
      <c r="AZ56" s="558"/>
      <c r="BA56" s="558"/>
      <c r="BB56" s="558"/>
      <c r="BC56" s="558"/>
      <c r="BD56" s="558"/>
      <c r="BE56" s="558"/>
      <c r="BF56" s="558"/>
      <c r="BG56" s="558"/>
      <c r="BH56" s="558"/>
    </row>
    <row r="57" spans="1:60" x14ac:dyDescent="0.25">
      <c r="A57" s="558"/>
      <c r="B57" s="558"/>
      <c r="C57" s="558"/>
      <c r="D57" s="558"/>
      <c r="E57" s="558"/>
      <c r="F57" s="558"/>
      <c r="G57" s="558"/>
      <c r="H57" s="558"/>
      <c r="I57" s="558"/>
      <c r="J57" s="558"/>
      <c r="K57" s="558"/>
      <c r="L57" s="558"/>
      <c r="M57" s="558"/>
      <c r="N57" s="558"/>
      <c r="O57" s="558"/>
      <c r="P57" s="558"/>
      <c r="Q57" s="558"/>
      <c r="R57" s="558"/>
      <c r="S57" s="558"/>
      <c r="T57" s="558"/>
      <c r="U57" s="558"/>
      <c r="V57" s="558"/>
      <c r="W57" s="558"/>
      <c r="X57" s="558"/>
      <c r="Y57" s="558"/>
      <c r="Z57" s="558"/>
      <c r="AA57" s="558"/>
      <c r="AB57" s="558"/>
      <c r="AC57" s="558"/>
      <c r="AD57" s="558"/>
      <c r="AE57" s="558"/>
      <c r="AF57" s="558"/>
      <c r="AG57" s="558"/>
      <c r="AH57" s="558"/>
      <c r="AI57" s="558"/>
      <c r="AJ57" s="558"/>
      <c r="AK57" s="558"/>
      <c r="AL57" s="558"/>
      <c r="AM57" s="558"/>
      <c r="AN57" s="558"/>
      <c r="AO57" s="558"/>
      <c r="AP57" s="558"/>
      <c r="AQ57" s="558"/>
      <c r="AR57" s="558"/>
      <c r="AS57" s="558"/>
      <c r="AT57" s="558"/>
      <c r="AU57" s="558"/>
      <c r="AV57" s="558"/>
      <c r="AW57" s="558"/>
      <c r="AX57" s="558"/>
      <c r="AY57" s="558"/>
      <c r="AZ57" s="558"/>
      <c r="BA57" s="558"/>
      <c r="BB57" s="558"/>
      <c r="BC57" s="558"/>
      <c r="BD57" s="558"/>
      <c r="BE57" s="558"/>
      <c r="BF57" s="558"/>
      <c r="BG57" s="558"/>
      <c r="BH57" s="558"/>
    </row>
    <row r="58" spans="1:60" x14ac:dyDescent="0.25">
      <c r="A58" s="558"/>
      <c r="B58" s="558"/>
      <c r="C58" s="558"/>
      <c r="D58" s="558"/>
      <c r="E58" s="558"/>
      <c r="F58" s="558"/>
      <c r="G58" s="558"/>
      <c r="H58" s="558"/>
      <c r="I58" s="558"/>
      <c r="J58" s="558"/>
      <c r="K58" s="558"/>
      <c r="L58" s="558"/>
      <c r="M58" s="558"/>
      <c r="N58" s="558"/>
      <c r="O58" s="558"/>
      <c r="P58" s="558"/>
      <c r="Q58" s="558"/>
      <c r="R58" s="558"/>
      <c r="S58" s="558"/>
      <c r="T58" s="558"/>
      <c r="U58" s="558"/>
      <c r="V58" s="558"/>
      <c r="W58" s="558"/>
      <c r="X58" s="558"/>
      <c r="Y58" s="558"/>
      <c r="Z58" s="558"/>
      <c r="AA58" s="558"/>
      <c r="AB58" s="558"/>
      <c r="AC58" s="558"/>
      <c r="AD58" s="558"/>
      <c r="AE58" s="558"/>
      <c r="AF58" s="558"/>
      <c r="AG58" s="558"/>
      <c r="AH58" s="558"/>
      <c r="AI58" s="558"/>
      <c r="AJ58" s="558"/>
      <c r="AK58" s="558"/>
      <c r="AL58" s="558"/>
      <c r="AM58" s="558"/>
      <c r="AN58" s="558"/>
      <c r="AO58" s="558"/>
      <c r="AP58" s="558"/>
      <c r="AQ58" s="558"/>
      <c r="AR58" s="558"/>
      <c r="AS58" s="558"/>
      <c r="AT58" s="558"/>
      <c r="AU58" s="558"/>
      <c r="AV58" s="558"/>
      <c r="AW58" s="558"/>
      <c r="AX58" s="558"/>
      <c r="AY58" s="558"/>
      <c r="AZ58" s="558"/>
      <c r="BA58" s="558"/>
      <c r="BB58" s="558"/>
      <c r="BC58" s="558"/>
      <c r="BD58" s="558"/>
      <c r="BE58" s="558"/>
      <c r="BF58" s="558"/>
      <c r="BG58" s="558"/>
      <c r="BH58" s="558"/>
    </row>
    <row r="59" spans="1:60" x14ac:dyDescent="0.25">
      <c r="A59" s="558"/>
      <c r="B59" s="558"/>
      <c r="C59" s="558"/>
      <c r="D59" s="558"/>
      <c r="E59" s="558"/>
      <c r="F59" s="558"/>
      <c r="G59" s="558"/>
      <c r="H59" s="558"/>
      <c r="I59" s="558"/>
      <c r="J59" s="558"/>
      <c r="K59" s="558"/>
      <c r="L59" s="558"/>
      <c r="M59" s="558"/>
      <c r="N59" s="558"/>
      <c r="O59" s="558"/>
      <c r="P59" s="558"/>
      <c r="Q59" s="558"/>
      <c r="R59" s="558"/>
      <c r="S59" s="558"/>
      <c r="T59" s="558"/>
      <c r="U59" s="558"/>
      <c r="V59" s="558"/>
      <c r="W59" s="558"/>
      <c r="X59" s="558"/>
      <c r="Y59" s="558"/>
      <c r="Z59" s="558"/>
      <c r="AA59" s="558"/>
      <c r="AB59" s="558"/>
      <c r="AC59" s="558"/>
      <c r="AD59" s="558"/>
      <c r="AE59" s="558"/>
      <c r="AF59" s="558"/>
      <c r="AG59" s="558"/>
      <c r="AH59" s="558"/>
      <c r="AI59" s="558"/>
      <c r="AJ59" s="558"/>
      <c r="AK59" s="558"/>
      <c r="AL59" s="558"/>
      <c r="AM59" s="558"/>
      <c r="AN59" s="558"/>
      <c r="AO59" s="558"/>
      <c r="AP59" s="558"/>
      <c r="AQ59" s="558"/>
      <c r="AR59" s="558"/>
      <c r="AS59" s="558"/>
      <c r="AT59" s="558"/>
      <c r="AU59" s="558"/>
      <c r="AV59" s="558"/>
      <c r="AW59" s="558"/>
      <c r="AX59" s="558"/>
      <c r="AY59" s="558"/>
      <c r="AZ59" s="558"/>
      <c r="BA59" s="558"/>
      <c r="BB59" s="558"/>
      <c r="BC59" s="558"/>
      <c r="BD59" s="558"/>
      <c r="BE59" s="558"/>
      <c r="BF59" s="558"/>
      <c r="BG59" s="558"/>
      <c r="BH59" s="558"/>
    </row>
    <row r="60" spans="1:60" x14ac:dyDescent="0.25">
      <c r="A60" s="558"/>
      <c r="B60" s="558"/>
      <c r="C60" s="558"/>
      <c r="D60" s="558"/>
      <c r="E60" s="558"/>
      <c r="F60" s="558"/>
      <c r="G60" s="558"/>
      <c r="H60" s="558"/>
      <c r="I60" s="558"/>
      <c r="J60" s="558"/>
      <c r="K60" s="558"/>
      <c r="L60" s="558"/>
      <c r="M60" s="558"/>
      <c r="N60" s="558"/>
      <c r="O60" s="558"/>
      <c r="P60" s="558"/>
      <c r="Q60" s="558"/>
      <c r="R60" s="558"/>
      <c r="S60" s="558"/>
      <c r="T60" s="558"/>
      <c r="U60" s="558"/>
      <c r="V60" s="558"/>
      <c r="W60" s="558"/>
      <c r="X60" s="558"/>
      <c r="Y60" s="558"/>
      <c r="Z60" s="558"/>
      <c r="AA60" s="558"/>
      <c r="AB60" s="558"/>
      <c r="AC60" s="558"/>
      <c r="AD60" s="558"/>
      <c r="AE60" s="558"/>
      <c r="AF60" s="558"/>
      <c r="AG60" s="558"/>
      <c r="AH60" s="558"/>
      <c r="AI60" s="558"/>
      <c r="AJ60" s="558"/>
      <c r="AK60" s="558"/>
      <c r="AL60" s="558"/>
      <c r="AM60" s="558"/>
      <c r="AN60" s="558"/>
      <c r="AO60" s="558"/>
      <c r="AP60" s="558"/>
      <c r="AQ60" s="558"/>
      <c r="AR60" s="558"/>
      <c r="AS60" s="558"/>
      <c r="AT60" s="558"/>
      <c r="AU60" s="558"/>
      <c r="AV60" s="558"/>
      <c r="AW60" s="558"/>
      <c r="AX60" s="558"/>
      <c r="AY60" s="558"/>
      <c r="AZ60" s="558"/>
      <c r="BA60" s="558"/>
      <c r="BB60" s="558"/>
      <c r="BC60" s="558"/>
      <c r="BD60" s="558"/>
      <c r="BE60" s="558"/>
      <c r="BF60" s="558"/>
      <c r="BG60" s="558"/>
      <c r="BH60" s="558"/>
    </row>
    <row r="61" spans="1:60" x14ac:dyDescent="0.25">
      <c r="A61" s="558"/>
      <c r="B61" s="558"/>
      <c r="C61" s="558"/>
      <c r="D61" s="558"/>
      <c r="E61" s="558"/>
      <c r="F61" s="558"/>
      <c r="G61" s="558"/>
      <c r="H61" s="558"/>
      <c r="I61" s="558"/>
      <c r="J61" s="558"/>
      <c r="K61" s="558"/>
      <c r="L61" s="558"/>
      <c r="M61" s="558"/>
      <c r="N61" s="558"/>
      <c r="O61" s="558"/>
      <c r="P61" s="558"/>
      <c r="Q61" s="558"/>
      <c r="R61" s="558"/>
      <c r="S61" s="558"/>
      <c r="T61" s="558"/>
      <c r="U61" s="558"/>
      <c r="V61" s="558"/>
      <c r="W61" s="558"/>
      <c r="X61" s="558"/>
      <c r="Y61" s="558"/>
      <c r="Z61" s="558"/>
      <c r="AA61" s="558"/>
      <c r="AB61" s="558"/>
      <c r="AC61" s="558"/>
      <c r="AD61" s="558"/>
      <c r="AE61" s="558"/>
      <c r="AF61" s="558"/>
      <c r="AG61" s="558"/>
      <c r="AH61" s="558"/>
      <c r="AI61" s="558"/>
      <c r="AJ61" s="558"/>
      <c r="AK61" s="558"/>
      <c r="AL61" s="558"/>
      <c r="AM61" s="558"/>
      <c r="AN61" s="558"/>
      <c r="AO61" s="558"/>
      <c r="AP61" s="558"/>
      <c r="AQ61" s="558"/>
      <c r="AR61" s="558"/>
      <c r="AS61" s="558"/>
      <c r="AT61" s="558"/>
      <c r="AU61" s="558"/>
      <c r="AV61" s="558"/>
      <c r="AW61" s="558"/>
      <c r="AX61" s="558"/>
      <c r="AY61" s="558"/>
      <c r="AZ61" s="558"/>
      <c r="BA61" s="558"/>
      <c r="BB61" s="558"/>
      <c r="BC61" s="558"/>
      <c r="BD61" s="558"/>
      <c r="BE61" s="558"/>
      <c r="BF61" s="558"/>
      <c r="BG61" s="558"/>
      <c r="BH61" s="558"/>
    </row>
    <row r="62" spans="1:60" x14ac:dyDescent="0.25">
      <c r="A62" s="558"/>
      <c r="B62" s="558"/>
      <c r="C62" s="558"/>
      <c r="D62" s="558"/>
      <c r="E62" s="558"/>
      <c r="F62" s="558"/>
      <c r="G62" s="558"/>
      <c r="H62" s="558"/>
      <c r="I62" s="558"/>
      <c r="J62" s="558"/>
      <c r="K62" s="558"/>
      <c r="L62" s="558"/>
      <c r="M62" s="558"/>
      <c r="N62" s="558"/>
      <c r="O62" s="558"/>
      <c r="P62" s="558"/>
      <c r="Q62" s="558"/>
      <c r="R62" s="558"/>
      <c r="S62" s="558"/>
      <c r="T62" s="558"/>
      <c r="U62" s="558"/>
      <c r="V62" s="558"/>
      <c r="W62" s="558"/>
      <c r="X62" s="558"/>
      <c r="Y62" s="558"/>
      <c r="Z62" s="558"/>
      <c r="AA62" s="558"/>
      <c r="AB62" s="558"/>
      <c r="AC62" s="558"/>
      <c r="AD62" s="558"/>
      <c r="AE62" s="558"/>
      <c r="AF62" s="558"/>
      <c r="AG62" s="558"/>
      <c r="AH62" s="558"/>
      <c r="AI62" s="558"/>
      <c r="AJ62" s="558"/>
      <c r="AK62" s="558"/>
      <c r="AL62" s="558"/>
      <c r="AM62" s="558"/>
      <c r="AN62" s="558"/>
      <c r="AO62" s="558"/>
      <c r="AP62" s="558"/>
      <c r="AQ62" s="558"/>
      <c r="AR62" s="558"/>
      <c r="AS62" s="558"/>
      <c r="AT62" s="558"/>
      <c r="AU62" s="558"/>
      <c r="AV62" s="558"/>
      <c r="AW62" s="558"/>
      <c r="AX62" s="558"/>
      <c r="AY62" s="558"/>
      <c r="AZ62" s="558"/>
      <c r="BA62" s="558"/>
      <c r="BB62" s="558"/>
      <c r="BC62" s="558"/>
      <c r="BD62" s="558"/>
      <c r="BE62" s="558"/>
      <c r="BF62" s="558"/>
      <c r="BG62" s="558"/>
      <c r="BH62" s="558"/>
    </row>
    <row r="63" spans="1:60" x14ac:dyDescent="0.25">
      <c r="A63" s="558"/>
      <c r="B63" s="558"/>
      <c r="C63" s="558"/>
      <c r="D63" s="558"/>
      <c r="E63" s="558"/>
      <c r="F63" s="558"/>
      <c r="G63" s="558"/>
      <c r="H63" s="558"/>
      <c r="I63" s="558"/>
      <c r="J63" s="558"/>
      <c r="K63" s="558"/>
      <c r="L63" s="558"/>
      <c r="M63" s="558"/>
      <c r="N63" s="558"/>
      <c r="O63" s="558"/>
      <c r="P63" s="558"/>
      <c r="Q63" s="558"/>
      <c r="R63" s="558"/>
      <c r="S63" s="558"/>
      <c r="T63" s="558"/>
      <c r="U63" s="558"/>
      <c r="V63" s="558"/>
      <c r="W63" s="558"/>
      <c r="X63" s="558"/>
      <c r="Y63" s="558"/>
      <c r="Z63" s="558"/>
      <c r="AA63" s="558"/>
      <c r="AB63" s="558"/>
      <c r="AC63" s="558"/>
      <c r="AD63" s="558"/>
      <c r="AE63" s="558"/>
      <c r="AF63" s="558"/>
      <c r="AG63" s="558"/>
      <c r="AH63" s="558"/>
      <c r="AI63" s="558"/>
      <c r="AJ63" s="558"/>
      <c r="AK63" s="558"/>
      <c r="AL63" s="558"/>
      <c r="AM63" s="558"/>
      <c r="AN63" s="558"/>
      <c r="AO63" s="558"/>
      <c r="AP63" s="558"/>
      <c r="AQ63" s="558"/>
      <c r="AR63" s="558"/>
      <c r="AS63" s="558"/>
      <c r="AT63" s="558"/>
      <c r="AU63" s="558"/>
      <c r="AV63" s="558"/>
      <c r="AW63" s="558"/>
      <c r="AX63" s="558"/>
      <c r="AY63" s="558"/>
      <c r="AZ63" s="558"/>
      <c r="BA63" s="558"/>
      <c r="BB63" s="558"/>
      <c r="BC63" s="558"/>
      <c r="BD63" s="558"/>
      <c r="BE63" s="558"/>
      <c r="BF63" s="558"/>
      <c r="BG63" s="558"/>
      <c r="BH63" s="558"/>
    </row>
    <row r="64" spans="1:60" x14ac:dyDescent="0.25">
      <c r="A64" s="558"/>
      <c r="B64" s="558"/>
      <c r="C64" s="558"/>
      <c r="D64" s="558"/>
      <c r="E64" s="558"/>
      <c r="F64" s="558"/>
      <c r="G64" s="558"/>
      <c r="H64" s="558"/>
      <c r="I64" s="558"/>
      <c r="J64" s="558"/>
      <c r="K64" s="558"/>
      <c r="L64" s="558"/>
      <c r="M64" s="558"/>
      <c r="N64" s="558"/>
      <c r="O64" s="558"/>
      <c r="P64" s="558"/>
      <c r="Q64" s="558"/>
      <c r="R64" s="558"/>
      <c r="S64" s="558"/>
      <c r="T64" s="558"/>
      <c r="U64" s="558"/>
      <c r="V64" s="558"/>
      <c r="W64" s="558"/>
      <c r="X64" s="558"/>
      <c r="Y64" s="558"/>
      <c r="Z64" s="558"/>
      <c r="AA64" s="558"/>
      <c r="AB64" s="558"/>
      <c r="AC64" s="558"/>
      <c r="AD64" s="558"/>
      <c r="AE64" s="558"/>
      <c r="AF64" s="558"/>
      <c r="AG64" s="558"/>
      <c r="AH64" s="558"/>
      <c r="AI64" s="558"/>
      <c r="AJ64" s="558"/>
      <c r="AK64" s="558"/>
      <c r="AL64" s="558"/>
      <c r="AM64" s="558"/>
      <c r="AN64" s="558"/>
      <c r="AO64" s="558"/>
      <c r="AP64" s="558"/>
      <c r="AQ64" s="558"/>
      <c r="AR64" s="558"/>
      <c r="AS64" s="558"/>
      <c r="AT64" s="558"/>
      <c r="AU64" s="558"/>
      <c r="AV64" s="558"/>
      <c r="AW64" s="558"/>
      <c r="AX64" s="558"/>
      <c r="AY64" s="558"/>
      <c r="AZ64" s="558"/>
      <c r="BA64" s="558"/>
      <c r="BB64" s="558"/>
      <c r="BC64" s="558"/>
      <c r="BD64" s="558"/>
      <c r="BE64" s="558"/>
      <c r="BF64" s="558"/>
      <c r="BG64" s="558"/>
      <c r="BH64" s="558"/>
    </row>
    <row r="65" spans="1:60" x14ac:dyDescent="0.25">
      <c r="A65" s="558"/>
      <c r="B65" s="558"/>
      <c r="C65" s="558"/>
      <c r="D65" s="558"/>
      <c r="E65" s="558"/>
      <c r="F65" s="558"/>
      <c r="G65" s="558"/>
      <c r="H65" s="558"/>
      <c r="I65" s="558"/>
      <c r="J65" s="558"/>
      <c r="K65" s="558"/>
      <c r="L65" s="558"/>
      <c r="M65" s="558"/>
      <c r="N65" s="558"/>
      <c r="O65" s="558"/>
      <c r="P65" s="558"/>
      <c r="Q65" s="558"/>
      <c r="R65" s="558"/>
      <c r="S65" s="558"/>
      <c r="T65" s="558"/>
      <c r="U65" s="558"/>
      <c r="V65" s="558"/>
      <c r="W65" s="558"/>
      <c r="X65" s="558"/>
      <c r="Y65" s="558"/>
      <c r="Z65" s="558"/>
      <c r="AA65" s="558"/>
      <c r="AB65" s="558"/>
      <c r="AC65" s="558"/>
      <c r="AD65" s="558"/>
      <c r="AE65" s="558"/>
      <c r="AF65" s="558"/>
      <c r="AG65" s="558"/>
      <c r="AH65" s="558"/>
      <c r="AI65" s="558"/>
      <c r="AJ65" s="558"/>
      <c r="AK65" s="558"/>
      <c r="AL65" s="558"/>
      <c r="AM65" s="558"/>
      <c r="AN65" s="558"/>
      <c r="AO65" s="558"/>
      <c r="AP65" s="558"/>
      <c r="AQ65" s="558"/>
      <c r="AR65" s="558"/>
      <c r="AS65" s="558"/>
      <c r="AT65" s="558"/>
      <c r="AU65" s="558"/>
      <c r="AV65" s="558"/>
      <c r="AW65" s="558"/>
      <c r="AX65" s="558"/>
      <c r="AY65" s="558"/>
      <c r="AZ65" s="558"/>
      <c r="BA65" s="558"/>
      <c r="BB65" s="558"/>
      <c r="BC65" s="558"/>
      <c r="BD65" s="558"/>
      <c r="BE65" s="558"/>
      <c r="BF65" s="558"/>
      <c r="BG65" s="558"/>
      <c r="BH65" s="558"/>
    </row>
    <row r="66" spans="1:60" x14ac:dyDescent="0.25">
      <c r="A66" s="558"/>
      <c r="B66" s="558"/>
      <c r="C66" s="558"/>
      <c r="D66" s="558"/>
      <c r="E66" s="558"/>
      <c r="F66" s="558"/>
      <c r="G66" s="558"/>
      <c r="H66" s="558"/>
      <c r="I66" s="558"/>
      <c r="J66" s="558"/>
      <c r="K66" s="558"/>
      <c r="L66" s="558"/>
      <c r="M66" s="558"/>
      <c r="N66" s="558"/>
      <c r="O66" s="558"/>
      <c r="P66" s="558"/>
      <c r="Q66" s="558"/>
      <c r="R66" s="558"/>
      <c r="S66" s="558"/>
      <c r="T66" s="558"/>
      <c r="U66" s="558"/>
      <c r="V66" s="558"/>
      <c r="W66" s="558"/>
      <c r="X66" s="558"/>
      <c r="Y66" s="558"/>
      <c r="Z66" s="558"/>
      <c r="AA66" s="558"/>
      <c r="AB66" s="558"/>
      <c r="AC66" s="558"/>
      <c r="AD66" s="558"/>
      <c r="AE66" s="558"/>
      <c r="AF66" s="558"/>
      <c r="AG66" s="558"/>
      <c r="AH66" s="558"/>
      <c r="AI66" s="558"/>
      <c r="AJ66" s="558"/>
      <c r="AK66" s="558"/>
      <c r="AL66" s="558"/>
      <c r="AM66" s="558"/>
      <c r="AN66" s="558"/>
      <c r="AO66" s="558"/>
      <c r="AP66" s="558"/>
      <c r="AQ66" s="558"/>
      <c r="AR66" s="558"/>
      <c r="AS66" s="558"/>
      <c r="AT66" s="558"/>
      <c r="AU66" s="558"/>
      <c r="AV66" s="558"/>
      <c r="AW66" s="558"/>
      <c r="AX66" s="558"/>
      <c r="AY66" s="558"/>
      <c r="AZ66" s="558"/>
      <c r="BA66" s="558"/>
      <c r="BB66" s="558"/>
      <c r="BC66" s="558"/>
      <c r="BD66" s="558"/>
      <c r="BE66" s="558"/>
      <c r="BF66" s="558"/>
      <c r="BG66" s="558"/>
      <c r="BH66" s="558"/>
    </row>
    <row r="67" spans="1:60" x14ac:dyDescent="0.25">
      <c r="A67" s="558"/>
      <c r="B67" s="558"/>
      <c r="C67" s="558"/>
      <c r="D67" s="558"/>
      <c r="E67" s="558"/>
      <c r="F67" s="558"/>
      <c r="G67" s="558"/>
      <c r="H67" s="558"/>
      <c r="I67" s="558"/>
      <c r="J67" s="558"/>
      <c r="K67" s="558"/>
      <c r="L67" s="558"/>
      <c r="M67" s="558"/>
      <c r="N67" s="558"/>
      <c r="O67" s="558"/>
      <c r="P67" s="558"/>
      <c r="Q67" s="558"/>
      <c r="R67" s="558"/>
      <c r="S67" s="558"/>
      <c r="T67" s="558"/>
      <c r="U67" s="558"/>
      <c r="V67" s="558"/>
      <c r="W67" s="558"/>
      <c r="X67" s="558"/>
      <c r="Y67" s="558"/>
      <c r="Z67" s="558"/>
      <c r="AA67" s="558"/>
      <c r="AB67" s="558"/>
      <c r="AC67" s="558"/>
      <c r="AD67" s="558"/>
      <c r="AE67" s="558"/>
      <c r="AF67" s="558"/>
      <c r="AG67" s="558"/>
      <c r="AH67" s="558"/>
      <c r="AI67" s="558"/>
      <c r="AJ67" s="558"/>
      <c r="AK67" s="558"/>
      <c r="AL67" s="558"/>
      <c r="AM67" s="558"/>
      <c r="AN67" s="558"/>
      <c r="AO67" s="558"/>
      <c r="AP67" s="558"/>
      <c r="AQ67" s="558"/>
      <c r="AR67" s="558"/>
      <c r="AS67" s="558"/>
      <c r="AT67" s="558"/>
      <c r="AU67" s="558"/>
      <c r="AV67" s="558"/>
      <c r="AW67" s="558"/>
      <c r="AX67" s="558"/>
      <c r="AY67" s="558"/>
      <c r="AZ67" s="558"/>
      <c r="BA67" s="558"/>
      <c r="BB67" s="558"/>
      <c r="BC67" s="558"/>
      <c r="BD67" s="558"/>
      <c r="BE67" s="558"/>
      <c r="BF67" s="558"/>
      <c r="BG67" s="558"/>
      <c r="BH67" s="558"/>
    </row>
    <row r="68" spans="1:60" x14ac:dyDescent="0.25">
      <c r="A68" s="558"/>
      <c r="B68" s="558"/>
      <c r="C68" s="558"/>
      <c r="D68" s="558"/>
      <c r="E68" s="558"/>
      <c r="F68" s="558"/>
      <c r="G68" s="558"/>
      <c r="H68" s="558"/>
      <c r="I68" s="558"/>
      <c r="J68" s="558"/>
      <c r="K68" s="558"/>
      <c r="L68" s="558"/>
      <c r="M68" s="558"/>
      <c r="N68" s="558"/>
      <c r="O68" s="558"/>
      <c r="P68" s="558"/>
      <c r="Q68" s="558"/>
      <c r="R68" s="558"/>
      <c r="S68" s="558"/>
      <c r="T68" s="558"/>
      <c r="U68" s="558"/>
      <c r="V68" s="558"/>
      <c r="W68" s="558"/>
      <c r="X68" s="558"/>
      <c r="Y68" s="558"/>
      <c r="Z68" s="558"/>
      <c r="AA68" s="558"/>
      <c r="AB68" s="558"/>
      <c r="AC68" s="558"/>
      <c r="AD68" s="558"/>
      <c r="AE68" s="558"/>
      <c r="AF68" s="558"/>
      <c r="AG68" s="558"/>
      <c r="AH68" s="558"/>
      <c r="AI68" s="558"/>
      <c r="AJ68" s="558"/>
      <c r="AK68" s="558"/>
      <c r="AL68" s="558"/>
      <c r="AM68" s="558"/>
      <c r="AN68" s="558"/>
      <c r="AO68" s="558"/>
      <c r="AP68" s="558"/>
      <c r="AQ68" s="558"/>
      <c r="AR68" s="558"/>
      <c r="AS68" s="558"/>
      <c r="AT68" s="558"/>
      <c r="AU68" s="558"/>
      <c r="AV68" s="558"/>
      <c r="AW68" s="558"/>
      <c r="AX68" s="558"/>
      <c r="AY68" s="558"/>
      <c r="AZ68" s="558"/>
      <c r="BA68" s="558"/>
      <c r="BB68" s="558"/>
      <c r="BC68" s="558"/>
      <c r="BD68" s="558"/>
      <c r="BE68" s="558"/>
      <c r="BF68" s="558"/>
      <c r="BG68" s="558"/>
      <c r="BH68" s="558"/>
    </row>
    <row r="69" spans="1:60" x14ac:dyDescent="0.25">
      <c r="A69" s="558"/>
      <c r="B69" s="558"/>
      <c r="C69" s="558"/>
      <c r="D69" s="558"/>
      <c r="E69" s="558"/>
      <c r="F69" s="558"/>
      <c r="G69" s="558"/>
      <c r="H69" s="558"/>
      <c r="I69" s="558"/>
      <c r="J69" s="558"/>
      <c r="K69" s="558"/>
      <c r="L69" s="558"/>
      <c r="M69" s="558"/>
      <c r="N69" s="558"/>
      <c r="O69" s="558"/>
      <c r="P69" s="558"/>
      <c r="Q69" s="558"/>
      <c r="R69" s="558"/>
      <c r="S69" s="558"/>
      <c r="T69" s="558"/>
      <c r="U69" s="558"/>
      <c r="V69" s="558"/>
      <c r="W69" s="558"/>
      <c r="X69" s="558"/>
      <c r="Y69" s="558"/>
      <c r="Z69" s="558"/>
      <c r="AA69" s="558"/>
      <c r="AB69" s="558"/>
      <c r="AC69" s="558"/>
      <c r="AD69" s="558"/>
      <c r="AE69" s="558"/>
      <c r="AF69" s="558"/>
      <c r="AG69" s="558"/>
      <c r="AH69" s="558"/>
      <c r="AI69" s="558"/>
      <c r="AJ69" s="558"/>
      <c r="AK69" s="558"/>
      <c r="AL69" s="558"/>
      <c r="AM69" s="558"/>
      <c r="AN69" s="558"/>
      <c r="AO69" s="558"/>
      <c r="AP69" s="558"/>
      <c r="AQ69" s="558"/>
      <c r="AR69" s="558"/>
      <c r="AS69" s="558"/>
      <c r="AT69" s="558"/>
      <c r="AU69" s="558"/>
      <c r="AV69" s="558"/>
      <c r="AW69" s="558"/>
      <c r="AX69" s="558"/>
      <c r="AY69" s="558"/>
      <c r="AZ69" s="558"/>
      <c r="BA69" s="558"/>
      <c r="BB69" s="558"/>
      <c r="BC69" s="558"/>
      <c r="BD69" s="558"/>
      <c r="BE69" s="558"/>
      <c r="BF69" s="558"/>
      <c r="BG69" s="558"/>
      <c r="BH69" s="558"/>
    </row>
    <row r="70" spans="1:60" x14ac:dyDescent="0.25">
      <c r="A70" s="558"/>
      <c r="B70" s="558"/>
      <c r="C70" s="558"/>
      <c r="D70" s="558"/>
      <c r="E70" s="558"/>
      <c r="F70" s="558"/>
      <c r="G70" s="558"/>
      <c r="H70" s="558"/>
      <c r="I70" s="558"/>
      <c r="J70" s="558"/>
      <c r="K70" s="558"/>
      <c r="L70" s="558"/>
      <c r="M70" s="558"/>
      <c r="N70" s="558"/>
      <c r="O70" s="558"/>
      <c r="P70" s="558"/>
      <c r="Q70" s="558"/>
      <c r="R70" s="558"/>
      <c r="S70" s="558"/>
      <c r="T70" s="558"/>
      <c r="U70" s="558"/>
      <c r="V70" s="558"/>
      <c r="W70" s="558"/>
      <c r="X70" s="558"/>
      <c r="Y70" s="558"/>
      <c r="Z70" s="558"/>
      <c r="AA70" s="558"/>
      <c r="AB70" s="558"/>
      <c r="AC70" s="558"/>
      <c r="AD70" s="558"/>
      <c r="AE70" s="558"/>
      <c r="AF70" s="558"/>
      <c r="AG70" s="558"/>
      <c r="AH70" s="558"/>
      <c r="AI70" s="558"/>
      <c r="AJ70" s="558"/>
      <c r="AK70" s="558"/>
      <c r="AL70" s="558"/>
      <c r="AM70" s="558"/>
      <c r="AN70" s="558"/>
      <c r="AO70" s="558"/>
      <c r="AP70" s="558"/>
      <c r="AQ70" s="558"/>
      <c r="AR70" s="558"/>
      <c r="AS70" s="558"/>
      <c r="AT70" s="558"/>
      <c r="AU70" s="558"/>
      <c r="AV70" s="558"/>
      <c r="AW70" s="558"/>
      <c r="AX70" s="558"/>
      <c r="AY70" s="558"/>
      <c r="AZ70" s="558"/>
      <c r="BA70" s="558"/>
      <c r="BB70" s="558"/>
      <c r="BC70" s="558"/>
      <c r="BD70" s="558"/>
      <c r="BE70" s="558"/>
      <c r="BF70" s="558"/>
      <c r="BG70" s="558"/>
      <c r="BH70" s="558"/>
    </row>
    <row r="71" spans="1:60" x14ac:dyDescent="0.25">
      <c r="A71" s="558"/>
      <c r="B71" s="558"/>
      <c r="C71" s="558"/>
      <c r="D71" s="558"/>
      <c r="E71" s="558"/>
      <c r="F71" s="558"/>
      <c r="G71" s="558"/>
      <c r="H71" s="558"/>
      <c r="I71" s="558"/>
      <c r="J71" s="558"/>
      <c r="K71" s="558"/>
      <c r="L71" s="558"/>
      <c r="M71" s="558"/>
      <c r="N71" s="558"/>
      <c r="O71" s="558"/>
      <c r="P71" s="558"/>
      <c r="Q71" s="558"/>
      <c r="R71" s="558"/>
      <c r="S71" s="558"/>
      <c r="T71" s="558"/>
      <c r="U71" s="558"/>
      <c r="V71" s="558"/>
      <c r="W71" s="558"/>
      <c r="X71" s="558"/>
      <c r="Y71" s="558"/>
      <c r="Z71" s="558"/>
      <c r="AA71" s="558"/>
      <c r="AB71" s="558"/>
      <c r="AC71" s="558"/>
      <c r="AD71" s="558"/>
      <c r="AE71" s="558"/>
      <c r="AF71" s="558"/>
      <c r="AG71" s="558"/>
      <c r="AH71" s="558"/>
      <c r="AI71" s="558"/>
      <c r="AJ71" s="558"/>
      <c r="AK71" s="558"/>
      <c r="AL71" s="558"/>
      <c r="AM71" s="558"/>
      <c r="AN71" s="558"/>
      <c r="AO71" s="558"/>
      <c r="AP71" s="558"/>
      <c r="AQ71" s="558"/>
      <c r="AR71" s="558"/>
      <c r="AS71" s="558"/>
      <c r="AT71" s="558"/>
      <c r="AU71" s="558"/>
      <c r="AV71" s="558"/>
      <c r="AW71" s="558"/>
      <c r="AX71" s="558"/>
      <c r="AY71" s="558"/>
      <c r="AZ71" s="558"/>
      <c r="BA71" s="558"/>
      <c r="BB71" s="558"/>
      <c r="BC71" s="558"/>
      <c r="BD71" s="558"/>
      <c r="BE71" s="558"/>
      <c r="BF71" s="558"/>
      <c r="BG71" s="558"/>
      <c r="BH71" s="558"/>
    </row>
  </sheetData>
  <customSheetViews>
    <customSheetView guid="{A8748736-0722-49EB-85B6-C9B52DDCFE0E}">
      <selection activeCell="G52" sqref="A2:G52"/>
      <pageMargins left="0.75" right="0.75" top="1" bottom="1" header="0.5" footer="0.5"/>
      <printOptions horizontalCentered="1"/>
      <pageSetup scale="86" firstPageNumber="140" fitToHeight="0" orientation="portrait" useFirstPageNumber="1" r:id="rId1"/>
      <headerFooter alignWithMargins="0"/>
    </customSheetView>
    <customSheetView guid="{E0C60316-4586-4AAF-92CB-FA82BB1EB755}">
      <selection activeCell="D17" sqref="D17"/>
      <pageMargins left="0" right="0" top="0" bottom="0" header="0" footer="0"/>
      <printOptions horizontalCentered="1"/>
      <pageSetup scale="86" firstPageNumber="140" fitToHeight="0" orientation="portrait" useFirstPageNumber="1" r:id="rId2"/>
      <headerFooter alignWithMargins="0"/>
    </customSheetView>
  </customSheetViews>
  <mergeCells count="1">
    <mergeCell ref="A24:F26"/>
  </mergeCells>
  <phoneticPr fontId="0" type="noConversion"/>
  <printOptions horizontalCentered="1"/>
  <pageMargins left="0.75" right="0.75" top="1" bottom="1" header="0.5" footer="0.5"/>
  <pageSetup scale="86" firstPageNumber="140" fitToHeight="0" orientation="portrait" useFirstPageNumber="1" r:id="rId3"/>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L46"/>
  <sheetViews>
    <sheetView workbookViewId="0">
      <selection sqref="A1:E1"/>
    </sheetView>
  </sheetViews>
  <sheetFormatPr defaultColWidth="9.109375" defaultRowHeight="13.2" x14ac:dyDescent="0.25"/>
  <cols>
    <col min="1" max="1" width="29.44140625" style="71" customWidth="1"/>
    <col min="2" max="2" width="13.44140625" style="71" customWidth="1"/>
    <col min="3" max="3" width="18" style="71" customWidth="1"/>
    <col min="4" max="4" width="14.5546875" style="71" customWidth="1"/>
    <col min="5" max="5" width="15.6640625" style="71" customWidth="1"/>
    <col min="6" max="11" width="9.109375" style="71"/>
    <col min="12" max="12" width="10" style="71" bestFit="1" customWidth="1"/>
    <col min="13" max="16384" width="9.109375" style="71"/>
  </cols>
  <sheetData>
    <row r="1" spans="1:12" x14ac:dyDescent="0.25">
      <c r="A1" s="964" t="s">
        <v>1</v>
      </c>
      <c r="B1" s="964"/>
      <c r="C1" s="964"/>
      <c r="D1" s="964"/>
      <c r="E1" s="964"/>
    </row>
    <row r="2" spans="1:12" x14ac:dyDescent="0.25">
      <c r="A2" s="964" t="s">
        <v>1048</v>
      </c>
      <c r="B2" s="964"/>
      <c r="C2" s="964"/>
      <c r="D2" s="964"/>
      <c r="E2" s="964"/>
    </row>
    <row r="3" spans="1:12" x14ac:dyDescent="0.25">
      <c r="A3" s="964" t="s">
        <v>1049</v>
      </c>
      <c r="B3" s="964"/>
      <c r="C3" s="964"/>
      <c r="D3" s="964"/>
      <c r="E3" s="964"/>
    </row>
    <row r="4" spans="1:12" x14ac:dyDescent="0.25">
      <c r="A4" s="1127" t="str">
        <f>TaxesRec!A4</f>
        <v>For the Year Ended June 30, 2022</v>
      </c>
      <c r="B4" s="964"/>
      <c r="C4" s="964"/>
      <c r="D4" s="964"/>
      <c r="E4" s="964"/>
    </row>
    <row r="6" spans="1:12" ht="43.5" customHeight="1" x14ac:dyDescent="0.25">
      <c r="A6" s="1128" t="s">
        <v>1050</v>
      </c>
      <c r="B6" s="1108"/>
      <c r="C6" s="1108"/>
      <c r="D6" s="658"/>
      <c r="I6" s="87"/>
      <c r="J6" s="73"/>
      <c r="K6" s="73"/>
      <c r="L6" s="88"/>
    </row>
    <row r="7" spans="1:12" ht="18.75" customHeight="1" x14ac:dyDescent="0.25">
      <c r="A7" s="1128" t="s">
        <v>1051</v>
      </c>
      <c r="B7" s="1128"/>
      <c r="C7" s="1128"/>
      <c r="D7" s="658"/>
      <c r="E7" s="93">
        <v>-8550</v>
      </c>
      <c r="I7" s="87"/>
      <c r="J7" s="73"/>
      <c r="K7" s="73"/>
      <c r="L7" s="88"/>
    </row>
    <row r="8" spans="1:12" ht="27.75" customHeight="1" x14ac:dyDescent="0.25">
      <c r="A8" s="1105" t="s">
        <v>1052</v>
      </c>
      <c r="B8" s="1106"/>
      <c r="C8" s="1106"/>
      <c r="D8" s="657"/>
      <c r="E8" s="84">
        <v>0</v>
      </c>
      <c r="I8" s="87"/>
      <c r="J8" s="73"/>
      <c r="K8" s="73"/>
      <c r="L8" s="88"/>
    </row>
    <row r="9" spans="1:12" ht="20.25" customHeight="1" x14ac:dyDescent="0.25">
      <c r="A9" s="1105" t="s">
        <v>1053</v>
      </c>
      <c r="B9" s="1105"/>
      <c r="C9" s="1105"/>
      <c r="D9" s="656"/>
      <c r="E9" s="86">
        <v>1720</v>
      </c>
      <c r="I9" s="87"/>
      <c r="J9" s="73"/>
      <c r="K9" s="73"/>
      <c r="L9" s="85"/>
    </row>
    <row r="10" spans="1:12" ht="30.75" customHeight="1" x14ac:dyDescent="0.25">
      <c r="A10" s="1105" t="s">
        <v>1054</v>
      </c>
      <c r="B10" s="1106"/>
      <c r="C10" s="1106"/>
      <c r="D10" s="657"/>
      <c r="E10" s="84">
        <v>-20177</v>
      </c>
      <c r="I10" s="87"/>
      <c r="J10" s="73"/>
      <c r="K10" s="73"/>
      <c r="L10" s="88"/>
    </row>
    <row r="11" spans="1:12" ht="15.75" customHeight="1" x14ac:dyDescent="0.25">
      <c r="A11" s="72" t="s">
        <v>1055</v>
      </c>
      <c r="B11" s="72"/>
      <c r="C11" s="72"/>
      <c r="D11" s="657"/>
      <c r="E11" s="84">
        <v>2000</v>
      </c>
      <c r="I11" s="87"/>
      <c r="J11" s="73"/>
      <c r="K11" s="73"/>
      <c r="L11" s="88"/>
    </row>
    <row r="12" spans="1:12" ht="17.25" customHeight="1" x14ac:dyDescent="0.25">
      <c r="A12" s="1107" t="s">
        <v>1056</v>
      </c>
      <c r="B12" s="1108"/>
      <c r="C12" s="1108"/>
      <c r="D12" s="658"/>
      <c r="E12" s="90">
        <v>30000</v>
      </c>
      <c r="I12" s="87"/>
      <c r="J12" s="73"/>
      <c r="K12" s="73"/>
      <c r="L12" s="89"/>
    </row>
    <row r="13" spans="1:12" ht="18.75" customHeight="1" thickBot="1" x14ac:dyDescent="0.3">
      <c r="A13" s="1107" t="s">
        <v>1057</v>
      </c>
      <c r="B13" s="1108"/>
      <c r="C13" s="1108"/>
      <c r="D13" s="658"/>
      <c r="E13" s="341">
        <f>SUM(E7:E12)</f>
        <v>4993</v>
      </c>
      <c r="I13" s="87"/>
      <c r="J13" s="73"/>
      <c r="K13" s="73"/>
      <c r="L13" s="89"/>
    </row>
    <row r="14" spans="1:12" ht="14.4" thickTop="1" thickBot="1" x14ac:dyDescent="0.3">
      <c r="I14" s="87"/>
      <c r="J14" s="73"/>
      <c r="K14" s="73"/>
      <c r="L14" s="89"/>
    </row>
    <row r="15" spans="1:12" x14ac:dyDescent="0.25">
      <c r="A15" s="1118" t="s">
        <v>1058</v>
      </c>
      <c r="B15" s="1119"/>
      <c r="C15" s="1119"/>
      <c r="D15" s="1119"/>
      <c r="E15" s="1120"/>
      <c r="I15" s="87"/>
      <c r="J15" s="73"/>
      <c r="K15" s="73"/>
      <c r="L15" s="89"/>
    </row>
    <row r="16" spans="1:12" x14ac:dyDescent="0.25">
      <c r="A16" s="1121"/>
      <c r="B16" s="1122"/>
      <c r="C16" s="1122"/>
      <c r="D16" s="1122"/>
      <c r="E16" s="1123"/>
    </row>
    <row r="17" spans="1:5" ht="51.75" customHeight="1" thickBot="1" x14ac:dyDescent="0.3">
      <c r="A17" s="1124"/>
      <c r="B17" s="1125"/>
      <c r="C17" s="1125"/>
      <c r="D17" s="1125"/>
      <c r="E17" s="1126"/>
    </row>
    <row r="18" spans="1:5" ht="13.8" thickBot="1" x14ac:dyDescent="0.3"/>
    <row r="19" spans="1:5" x14ac:dyDescent="0.25">
      <c r="A19" s="1109" t="s">
        <v>1059</v>
      </c>
      <c r="B19" s="1110"/>
      <c r="C19" s="1110"/>
      <c r="D19" s="1110"/>
      <c r="E19" s="1111"/>
    </row>
    <row r="20" spans="1:5" x14ac:dyDescent="0.25">
      <c r="A20" s="1112"/>
      <c r="B20" s="1113"/>
      <c r="C20" s="1113"/>
      <c r="D20" s="1113"/>
      <c r="E20" s="1114"/>
    </row>
    <row r="21" spans="1:5" x14ac:dyDescent="0.25">
      <c r="A21" s="1112"/>
      <c r="B21" s="1113"/>
      <c r="C21" s="1113"/>
      <c r="D21" s="1113"/>
      <c r="E21" s="1114"/>
    </row>
    <row r="22" spans="1:5" x14ac:dyDescent="0.25">
      <c r="A22" s="1112"/>
      <c r="B22" s="1113"/>
      <c r="C22" s="1113"/>
      <c r="D22" s="1113"/>
      <c r="E22" s="1114"/>
    </row>
    <row r="23" spans="1:5" ht="13.8" thickBot="1" x14ac:dyDescent="0.3">
      <c r="A23" s="1115"/>
      <c r="B23" s="1116"/>
      <c r="C23" s="1116"/>
      <c r="D23" s="1116"/>
      <c r="E23" s="1117"/>
    </row>
    <row r="24" spans="1:5" ht="13.8" thickBot="1" x14ac:dyDescent="0.3"/>
    <row r="25" spans="1:5" x14ac:dyDescent="0.25">
      <c r="A25" s="1109" t="s">
        <v>1060</v>
      </c>
      <c r="B25" s="1110"/>
      <c r="C25" s="1110"/>
      <c r="D25" s="1110"/>
      <c r="E25" s="1111"/>
    </row>
    <row r="26" spans="1:5" x14ac:dyDescent="0.25">
      <c r="A26" s="1112"/>
      <c r="B26" s="1113"/>
      <c r="C26" s="1113"/>
      <c r="D26" s="1113"/>
      <c r="E26" s="1114"/>
    </row>
    <row r="27" spans="1:5" x14ac:dyDescent="0.25">
      <c r="A27" s="1112"/>
      <c r="B27" s="1113"/>
      <c r="C27" s="1113"/>
      <c r="D27" s="1113"/>
      <c r="E27" s="1114"/>
    </row>
    <row r="28" spans="1:5" x14ac:dyDescent="0.25">
      <c r="A28" s="1112"/>
      <c r="B28" s="1113"/>
      <c r="C28" s="1113"/>
      <c r="D28" s="1113"/>
      <c r="E28" s="1114"/>
    </row>
    <row r="29" spans="1:5" x14ac:dyDescent="0.25">
      <c r="A29" s="1112"/>
      <c r="B29" s="1113"/>
      <c r="C29" s="1113"/>
      <c r="D29" s="1113"/>
      <c r="E29" s="1114"/>
    </row>
    <row r="30" spans="1:5" ht="13.8" thickBot="1" x14ac:dyDescent="0.3">
      <c r="A30" s="1115"/>
      <c r="B30" s="1116"/>
      <c r="C30" s="1116"/>
      <c r="D30" s="1116"/>
      <c r="E30" s="1117"/>
    </row>
    <row r="31" spans="1:5" ht="17.25" customHeight="1" x14ac:dyDescent="0.25"/>
    <row r="32" spans="1:5" ht="14.25" customHeight="1" x14ac:dyDescent="0.25"/>
    <row r="33" ht="12.75" customHeight="1" x14ac:dyDescent="0.25"/>
    <row r="34" ht="13.5" customHeight="1" x14ac:dyDescent="0.25"/>
    <row r="35" ht="12" customHeight="1" x14ac:dyDescent="0.25"/>
    <row r="36" ht="9" customHeight="1" x14ac:dyDescent="0.25"/>
    <row r="37" ht="26.25" customHeight="1" x14ac:dyDescent="0.25"/>
    <row r="38" ht="16.5" customHeight="1" x14ac:dyDescent="0.25"/>
    <row r="39" ht="41.25" customHeight="1" x14ac:dyDescent="0.25"/>
    <row r="40" ht="18" customHeight="1" x14ac:dyDescent="0.25"/>
    <row r="41" ht="25.5" customHeight="1" x14ac:dyDescent="0.25"/>
    <row r="42" ht="26.25" customHeight="1" x14ac:dyDescent="0.25"/>
    <row r="43" ht="15.75" customHeight="1" x14ac:dyDescent="0.25"/>
    <row r="44" ht="39" customHeight="1" x14ac:dyDescent="0.25"/>
    <row r="45" ht="20.100000000000001" customHeight="1" x14ac:dyDescent="0.25"/>
    <row r="46" ht="9" customHeight="1" x14ac:dyDescent="0.25"/>
  </sheetData>
  <customSheetViews>
    <customSheetView guid="{A8748736-0722-49EB-85B6-C9B52DDCFE0E}" showPageBreaks="1" printArea="1" state="hidden">
      <selection sqref="A1:E1"/>
      <pageMargins left="0.75" right="0.75" top="1" bottom="1" header="0.5" footer="0.5"/>
      <printOptions horizontalCentered="1"/>
      <pageSetup scale="86" firstPageNumber="31" fitToHeight="0" orientation="portrait" useFirstPageNumber="1" r:id="rId1"/>
      <headerFooter alignWithMargins="0"/>
    </customSheetView>
    <customSheetView guid="{E0C60316-4586-4AAF-92CB-FA82BB1EB755}" state="hidden">
      <selection sqref="A1:E1"/>
      <pageMargins left="0" right="0" top="0" bottom="0" header="0" footer="0"/>
      <printOptions horizontalCentered="1"/>
      <pageSetup scale="86" firstPageNumber="31" fitToHeight="0" orientation="portrait" useFirstPageNumber="1" r:id="rId2"/>
      <headerFooter alignWithMargins="0"/>
    </customSheetView>
  </customSheetViews>
  <mergeCells count="14">
    <mergeCell ref="A8:C8"/>
    <mergeCell ref="A1:E1"/>
    <mergeCell ref="A2:E2"/>
    <mergeCell ref="A3:E3"/>
    <mergeCell ref="A4:E4"/>
    <mergeCell ref="A6:C6"/>
    <mergeCell ref="A7:C7"/>
    <mergeCell ref="A9:C9"/>
    <mergeCell ref="A10:C10"/>
    <mergeCell ref="A12:C12"/>
    <mergeCell ref="A13:C13"/>
    <mergeCell ref="A25:E30"/>
    <mergeCell ref="A19:E23"/>
    <mergeCell ref="A15:E17"/>
  </mergeCells>
  <printOptions horizontalCentered="1"/>
  <pageMargins left="0.75" right="0.75" top="1" bottom="1" header="0.5" footer="0.5"/>
  <pageSetup scale="86" firstPageNumber="31" fitToHeight="0" orientation="portrait" useFirstPageNumber="1" r:id="rId3"/>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FFFF00"/>
    <pageSetUpPr fitToPage="1"/>
  </sheetPr>
  <dimension ref="A1:O60"/>
  <sheetViews>
    <sheetView workbookViewId="0"/>
  </sheetViews>
  <sheetFormatPr defaultColWidth="10" defaultRowHeight="10.199999999999999" x14ac:dyDescent="0.2"/>
  <cols>
    <col min="1" max="1" width="32.33203125" style="11" customWidth="1"/>
    <col min="2" max="2" width="9.88671875" style="11" bestFit="1" customWidth="1"/>
    <col min="3" max="3" width="7.5546875" style="11" bestFit="1" customWidth="1"/>
    <col min="4" max="4" width="8.109375" style="11" customWidth="1"/>
    <col min="5" max="5" width="9.88671875" style="11" bestFit="1" customWidth="1"/>
    <col min="6" max="6" width="7.5546875" style="11" bestFit="1" customWidth="1"/>
    <col min="7" max="7" width="8.88671875" style="11" customWidth="1"/>
    <col min="8" max="8" width="9.88671875" style="11" bestFit="1" customWidth="1"/>
    <col min="9" max="9" width="7.5546875" style="11" bestFit="1" customWidth="1"/>
    <col min="10" max="10" width="9.109375" style="11" customWidth="1"/>
    <col min="11" max="11" width="10.109375" style="11" customWidth="1"/>
    <col min="12" max="12" width="7.5546875" style="11" bestFit="1" customWidth="1"/>
    <col min="13" max="13" width="8.33203125" style="11" customWidth="1"/>
    <col min="14" max="14" width="1.44140625" style="11" customWidth="1"/>
    <col min="15" max="15" width="26.44140625" style="11" bestFit="1" customWidth="1"/>
    <col min="16" max="16384" width="10" style="11"/>
  </cols>
  <sheetData>
    <row r="1" spans="1:15" x14ac:dyDescent="0.2">
      <c r="A1" s="11" t="s">
        <v>1</v>
      </c>
    </row>
    <row r="2" spans="1:15" x14ac:dyDescent="0.2">
      <c r="A2" s="11" t="s">
        <v>1061</v>
      </c>
    </row>
    <row r="3" spans="1:15" x14ac:dyDescent="0.2">
      <c r="A3" s="18" t="str">
        <f>'GWNetPos 68 Exh 1'!A4:F4</f>
        <v>June 30, 2022</v>
      </c>
    </row>
    <row r="5" spans="1:15" x14ac:dyDescent="0.2">
      <c r="A5" s="11" t="s">
        <v>1062</v>
      </c>
    </row>
    <row r="8" spans="1:15" x14ac:dyDescent="0.2">
      <c r="C8" s="1129" t="s">
        <v>1063</v>
      </c>
      <c r="D8" s="1130"/>
      <c r="F8" s="1129" t="s">
        <v>1063</v>
      </c>
      <c r="G8" s="1130"/>
      <c r="I8" s="1129" t="s">
        <v>1063</v>
      </c>
      <c r="J8" s="1130"/>
      <c r="L8" s="1129" t="s">
        <v>1063</v>
      </c>
      <c r="M8" s="1130"/>
      <c r="N8" s="19"/>
      <c r="O8" s="659" t="s">
        <v>1064</v>
      </c>
    </row>
    <row r="9" spans="1:15" x14ac:dyDescent="0.2">
      <c r="K9" s="20"/>
      <c r="O9" s="21" t="s">
        <v>1065</v>
      </c>
    </row>
    <row r="10" spans="1:15" ht="30.6" x14ac:dyDescent="0.2">
      <c r="A10" s="22" t="s">
        <v>1066</v>
      </c>
      <c r="B10" s="92" t="s">
        <v>1067</v>
      </c>
      <c r="C10" s="23" t="s">
        <v>1068</v>
      </c>
      <c r="D10" s="23" t="s">
        <v>1069</v>
      </c>
      <c r="E10" s="92" t="s">
        <v>1070</v>
      </c>
      <c r="F10" s="23" t="s">
        <v>1068</v>
      </c>
      <c r="G10" s="23" t="s">
        <v>1069</v>
      </c>
      <c r="H10" s="22" t="s">
        <v>1071</v>
      </c>
      <c r="I10" s="23" t="s">
        <v>1068</v>
      </c>
      <c r="J10" s="23" t="s">
        <v>1069</v>
      </c>
      <c r="K10" s="92" t="s">
        <v>1072</v>
      </c>
      <c r="L10" s="23" t="s">
        <v>1068</v>
      </c>
      <c r="M10" s="23" t="s">
        <v>1069</v>
      </c>
      <c r="N10" s="23"/>
      <c r="O10" s="23" t="s">
        <v>1073</v>
      </c>
    </row>
    <row r="12" spans="1:15" x14ac:dyDescent="0.2">
      <c r="A12" s="11" t="s">
        <v>1074</v>
      </c>
      <c r="B12" s="63">
        <f>'Balance Sheet Exh 3'!B16</f>
        <v>21100110</v>
      </c>
      <c r="C12" s="64" t="s">
        <v>1075</v>
      </c>
      <c r="D12" s="64" t="s">
        <v>1075</v>
      </c>
      <c r="E12" s="63">
        <f>'Balance Sheet Exh 3'!B26+'Balance Sheet Exh 3'!B28</f>
        <v>7250807</v>
      </c>
      <c r="F12" s="64" t="s">
        <v>1075</v>
      </c>
      <c r="G12" s="64" t="s">
        <v>1075</v>
      </c>
      <c r="H12" s="63">
        <f>'Rev, exp, chgs in fb Exh 4'!B19</f>
        <v>86273994</v>
      </c>
      <c r="I12" s="64" t="s">
        <v>1075</v>
      </c>
      <c r="J12" s="64" t="s">
        <v>1075</v>
      </c>
      <c r="K12" s="63">
        <f>'Rev, exp, chgs in fb Exh 4'!B37</f>
        <v>86686559</v>
      </c>
      <c r="L12" s="21" t="s">
        <v>1075</v>
      </c>
      <c r="M12" s="21" t="s">
        <v>1075</v>
      </c>
      <c r="O12" s="24" t="s">
        <v>1076</v>
      </c>
    </row>
    <row r="13" spans="1:15" x14ac:dyDescent="0.2">
      <c r="B13" s="63"/>
      <c r="C13" s="63"/>
      <c r="D13" s="63"/>
      <c r="E13" s="63"/>
      <c r="F13" s="63"/>
      <c r="G13" s="63"/>
      <c r="H13" s="63"/>
      <c r="I13" s="63"/>
      <c r="J13" s="63"/>
      <c r="K13" s="63"/>
    </row>
    <row r="14" spans="1:15" x14ac:dyDescent="0.2">
      <c r="A14" s="18" t="s">
        <v>1077</v>
      </c>
      <c r="B14" s="63"/>
      <c r="C14" s="63"/>
      <c r="D14" s="63"/>
      <c r="E14" s="63"/>
      <c r="F14" s="63"/>
      <c r="G14" s="63"/>
      <c r="H14" s="63"/>
      <c r="I14" s="63"/>
      <c r="J14" s="63"/>
      <c r="K14" s="63"/>
    </row>
    <row r="15" spans="1:15" x14ac:dyDescent="0.2">
      <c r="A15" s="25" t="s">
        <v>682</v>
      </c>
      <c r="B15" s="63">
        <v>6928</v>
      </c>
      <c r="C15" s="65" t="str">
        <f>IF(B15&gt;B$31,"X","-")</f>
        <v>-</v>
      </c>
      <c r="D15" s="65" t="str">
        <f>IF(B15&gt;B$46,"X","-")</f>
        <v>-</v>
      </c>
      <c r="E15" s="63">
        <v>4478</v>
      </c>
      <c r="F15" s="65" t="str">
        <f>IF(E15&gt;E$31,"X","-")</f>
        <v>-</v>
      </c>
      <c r="G15" s="65" t="str">
        <f>IF(E15&gt;E$46,"X","-")</f>
        <v>-</v>
      </c>
      <c r="H15" s="63">
        <v>57136</v>
      </c>
      <c r="I15" s="65" t="str">
        <f>IF(H15&gt;H$31,"X","-")</f>
        <v>-</v>
      </c>
      <c r="J15" s="65" t="str">
        <f>IF(H15&gt;H$46,"X","-")</f>
        <v>-</v>
      </c>
      <c r="K15" s="63">
        <v>55686</v>
      </c>
      <c r="L15" s="62" t="e">
        <f>IF(K15&gt;K$31,"X","-")</f>
        <v>#REF!</v>
      </c>
      <c r="M15" s="62" t="e">
        <f>IF(K15&gt;K$46,"X","-")</f>
        <v>#REF!</v>
      </c>
      <c r="O15" s="62" t="e">
        <f>IF(OR(AND(C15="X",D15="X"),AND(F15="X",G15="X"),AND(I15="X",J15="X"),AND(L15="X",M15="X")),"MAJOR","-")</f>
        <v>#REF!</v>
      </c>
    </row>
    <row r="16" spans="1:15" x14ac:dyDescent="0.2">
      <c r="A16" s="25" t="s">
        <v>694</v>
      </c>
      <c r="B16" s="63">
        <v>3128</v>
      </c>
      <c r="C16" s="65" t="str">
        <f>IF(B16&gt;B$31,"X","-")</f>
        <v>-</v>
      </c>
      <c r="D16" s="65" t="str">
        <f>IF(B16&gt;B$46,"X","-")</f>
        <v>-</v>
      </c>
      <c r="E16" s="63">
        <v>1345</v>
      </c>
      <c r="F16" s="65" t="str">
        <f>IF(E16&gt;E$31,"X","-")</f>
        <v>-</v>
      </c>
      <c r="G16" s="65" t="str">
        <f>IF(E16&gt;E$46,"X","-")</f>
        <v>-</v>
      </c>
      <c r="H16" s="63">
        <v>20960</v>
      </c>
      <c r="I16" s="65" t="str">
        <f>IF(H16&gt;H$31,"X","-")</f>
        <v>-</v>
      </c>
      <c r="J16" s="65" t="str">
        <f>IF(H16&gt;H$46,"X","-")</f>
        <v>-</v>
      </c>
      <c r="K16" s="63">
        <v>20800</v>
      </c>
      <c r="L16" s="62" t="e">
        <f>IF(K16&gt;K$31,"X","-")</f>
        <v>#REF!</v>
      </c>
      <c r="M16" s="62" t="e">
        <f>IF(K16&gt;K$46,"X","-")</f>
        <v>#REF!</v>
      </c>
      <c r="O16" s="62" t="e">
        <f>IF(OR(AND(C16="X",D16="X"),AND(F16="X",G16="X"),AND(I16="X",J16="X"),AND(L16="X",M16="X")),"MAJOR","-")</f>
        <v>#REF!</v>
      </c>
    </row>
    <row r="17" spans="1:15" x14ac:dyDescent="0.2">
      <c r="A17" s="25" t="s">
        <v>652</v>
      </c>
      <c r="B17" s="63">
        <v>53478</v>
      </c>
      <c r="C17" s="65" t="str">
        <f>IF(B17&gt;B$31,"X","-")</f>
        <v>-</v>
      </c>
      <c r="D17" s="65" t="str">
        <f>IF(B17&gt;B$46,"X","-")</f>
        <v>-</v>
      </c>
      <c r="E17" s="63">
        <v>7132</v>
      </c>
      <c r="F17" s="65" t="str">
        <f>IF(E17&gt;E$31,"X","-")</f>
        <v>-</v>
      </c>
      <c r="G17" s="65" t="str">
        <f>IF(E17&gt;E$46,"X","-")</f>
        <v>-</v>
      </c>
      <c r="H17" s="63">
        <v>566632</v>
      </c>
      <c r="I17" s="65" t="str">
        <f>IF(H17&gt;H$31,"X","-")</f>
        <v>-</v>
      </c>
      <c r="J17" s="65" t="str">
        <f>IF(H17&gt;H$46,"X","-")</f>
        <v>-</v>
      </c>
      <c r="K17" s="63">
        <v>532637</v>
      </c>
      <c r="L17" s="62" t="e">
        <f>IF(K17&gt;K$31,"X","-")</f>
        <v>#REF!</v>
      </c>
      <c r="M17" s="62" t="e">
        <f>IF(K17&gt;K$46,"X","-")</f>
        <v>#REF!</v>
      </c>
      <c r="O17" s="62" t="e">
        <f>IF(OR(AND(C17="X",D17="X"),AND(F17="X",G17="X"),AND(I17="X",J17="X"),AND(L17="X",M17="X")),"MAJOR","-")</f>
        <v>#REF!</v>
      </c>
    </row>
    <row r="18" spans="1:15" x14ac:dyDescent="0.2">
      <c r="A18" s="25" t="s">
        <v>653</v>
      </c>
      <c r="B18" s="63">
        <v>2724</v>
      </c>
      <c r="C18" s="65" t="str">
        <f>IF(B18&gt;B$31,"X","-")</f>
        <v>-</v>
      </c>
      <c r="D18" s="65" t="str">
        <f>IF(B18&gt;B$46,"X","-")</f>
        <v>-</v>
      </c>
      <c r="E18" s="63">
        <v>2724</v>
      </c>
      <c r="F18" s="65" t="str">
        <f>IF(E18&gt;E$31,"X","-")</f>
        <v>-</v>
      </c>
      <c r="G18" s="65" t="str">
        <f>IF(E18&gt;E$46,"X","-")</f>
        <v>-</v>
      </c>
      <c r="H18" s="63">
        <v>12600</v>
      </c>
      <c r="I18" s="65" t="str">
        <f>IF(H18&gt;H$31,"X","-")</f>
        <v>-</v>
      </c>
      <c r="J18" s="65" t="str">
        <f>IF(H18&gt;H$46,"X","-")</f>
        <v>-</v>
      </c>
      <c r="K18" s="63">
        <v>12600</v>
      </c>
      <c r="L18" s="62" t="e">
        <f>IF(K18&gt;K$31,"X","-")</f>
        <v>#REF!</v>
      </c>
      <c r="M18" s="62" t="e">
        <f>IF(K18&gt;K$46,"X","-")</f>
        <v>#REF!</v>
      </c>
      <c r="O18" s="62" t="e">
        <f>IF(OR(AND(C18="X",D18="X"),AND(F18="X",G18="X"),AND(I18="X",J18="X"),AND(L18="X",M18="X")),"MAJOR","-")</f>
        <v>#REF!</v>
      </c>
    </row>
    <row r="19" spans="1:15" x14ac:dyDescent="0.2">
      <c r="A19" s="25" t="s">
        <v>654</v>
      </c>
      <c r="B19" s="63">
        <v>74866</v>
      </c>
      <c r="C19" s="65" t="str">
        <f>IF(B19&gt;B$31,"X","-")</f>
        <v>-</v>
      </c>
      <c r="D19" s="65" t="str">
        <f>IF(B19&gt;B$46,"X","-")</f>
        <v>-</v>
      </c>
      <c r="E19" s="63">
        <v>72179</v>
      </c>
      <c r="F19" s="65" t="str">
        <f>IF(E19&gt;E$31,"X","-")</f>
        <v>-</v>
      </c>
      <c r="G19" s="65" t="str">
        <f>IF(E19&gt;E$46,"X","-")</f>
        <v>-</v>
      </c>
      <c r="H19" s="63">
        <v>481900</v>
      </c>
      <c r="I19" s="65" t="str">
        <f>IF(H19&gt;H$31,"X","-")</f>
        <v>-</v>
      </c>
      <c r="J19" s="65" t="str">
        <f>IF(H19&gt;H$46,"X","-")</f>
        <v>-</v>
      </c>
      <c r="K19" s="63">
        <v>482577</v>
      </c>
      <c r="L19" s="62" t="e">
        <f>IF(K19&gt;K$31,"X","-")</f>
        <v>#REF!</v>
      </c>
      <c r="M19" s="62" t="e">
        <f>IF(K19&gt;K$46,"X","-")</f>
        <v>#REF!</v>
      </c>
      <c r="O19" s="62" t="e">
        <f>IF(OR(AND(C19="X",D19="X"),AND(F19="X",G19="X"),AND(I19="X",J19="X"),AND(L19="X",M19="X")),"MAJOR","-")</f>
        <v>#REF!</v>
      </c>
    </row>
    <row r="20" spans="1:15" x14ac:dyDescent="0.2">
      <c r="A20" s="25"/>
      <c r="B20" s="63"/>
      <c r="C20" s="65"/>
      <c r="D20" s="65"/>
      <c r="E20" s="63"/>
      <c r="F20" s="65"/>
      <c r="G20" s="65"/>
      <c r="H20" s="63"/>
      <c r="I20" s="65"/>
      <c r="J20" s="65"/>
      <c r="K20" s="63"/>
      <c r="L20" s="62"/>
      <c r="M20" s="62"/>
      <c r="O20" s="62"/>
    </row>
    <row r="21" spans="1:15" x14ac:dyDescent="0.2">
      <c r="A21" s="18" t="s">
        <v>1113</v>
      </c>
      <c r="B21" s="63"/>
      <c r="C21" s="65"/>
      <c r="D21" s="65"/>
      <c r="E21" s="63"/>
      <c r="F21" s="65"/>
      <c r="G21" s="65"/>
      <c r="H21" s="63"/>
      <c r="I21" s="65"/>
      <c r="J21" s="65"/>
      <c r="K21" s="63"/>
      <c r="L21" s="62"/>
      <c r="M21" s="62"/>
      <c r="O21" s="62"/>
    </row>
    <row r="22" spans="1:15" x14ac:dyDescent="0.2">
      <c r="A22" s="25" t="s">
        <v>1102</v>
      </c>
      <c r="B22" s="63">
        <v>1660000</v>
      </c>
      <c r="C22" s="65" t="str">
        <f>IF(B22&gt;B$31,"X","-")</f>
        <v>-</v>
      </c>
      <c r="D22" s="65" t="str">
        <f>IF(B22&gt;B$46,"X","-")</f>
        <v>-</v>
      </c>
      <c r="E22" s="63">
        <v>0</v>
      </c>
      <c r="F22" s="65" t="str">
        <f>IF(E22&gt;E$31,"X","-")</f>
        <v>-</v>
      </c>
      <c r="G22" s="65" t="str">
        <f>IF(E22&gt;E$46,"X","-")</f>
        <v>-</v>
      </c>
      <c r="H22" s="63">
        <f>+'SR-BA 8 (ARP)'!J16</f>
        <v>440000</v>
      </c>
      <c r="I22" s="65" t="str">
        <f>IF(H22&gt;H$31,"X","-")</f>
        <v>-</v>
      </c>
      <c r="J22" s="65" t="str">
        <f>IF(H22&gt;H$46,"X","-")</f>
        <v>-</v>
      </c>
      <c r="K22" s="63" t="e">
        <f>+'SR-BA 8 (ARP)'!#REF!</f>
        <v>#REF!</v>
      </c>
      <c r="L22" s="62" t="e">
        <f>IF(K22&gt;K$31,"X","-")</f>
        <v>#REF!</v>
      </c>
      <c r="M22" s="62" t="e">
        <f>IF(K22&gt;K$46,"X","-")</f>
        <v>#REF!</v>
      </c>
      <c r="O22" s="62" t="s">
        <v>1119</v>
      </c>
    </row>
    <row r="23" spans="1:15" x14ac:dyDescent="0.2">
      <c r="A23" s="25" t="s">
        <v>1106</v>
      </c>
      <c r="B23" s="63">
        <v>290000</v>
      </c>
      <c r="C23" s="65" t="str">
        <f>IF(B23&gt;B$31,"X","-")</f>
        <v>-</v>
      </c>
      <c r="D23" s="65" t="str">
        <f>IF(B23&gt;B$46,"X","-")</f>
        <v>-</v>
      </c>
      <c r="E23" s="63">
        <v>0</v>
      </c>
      <c r="F23" s="65" t="str">
        <f>IF(E23&gt;E$31,"X","-")</f>
        <v>-</v>
      </c>
      <c r="G23" s="65" t="str">
        <f>IF(E23&gt;E$46,"X","-")</f>
        <v>-</v>
      </c>
      <c r="H23" s="63">
        <f>+'SRBA-7 (Opioid)'!J16</f>
        <v>290000</v>
      </c>
      <c r="I23" s="65" t="str">
        <f>IF(H23&gt;H$31,"X","-")</f>
        <v>-</v>
      </c>
      <c r="J23" s="65" t="str">
        <f>IF(H23&gt;H$46,"X","-")</f>
        <v>-</v>
      </c>
      <c r="K23" s="63" t="e">
        <f>+'SRBA-7 (Opioid)'!#REF!</f>
        <v>#REF!</v>
      </c>
      <c r="L23" s="62" t="e">
        <f>IF(K23&gt;K$31,"X","-")</f>
        <v>#REF!</v>
      </c>
      <c r="M23" s="62" t="e">
        <f>IF(K23&gt;K$46,"X","-")</f>
        <v>#REF!</v>
      </c>
      <c r="O23" s="62" t="e">
        <f>IF(OR(AND(C23="X",D23="X"),AND(F23="X",G23="X"),AND(I23="X",J23="X"),AND(L23="X",M23="X")),"MAJOR","-")</f>
        <v>#REF!</v>
      </c>
    </row>
    <row r="24" spans="1:15" x14ac:dyDescent="0.2">
      <c r="B24" s="63"/>
      <c r="C24" s="63"/>
      <c r="D24" s="63"/>
      <c r="E24" s="63"/>
      <c r="F24" s="63"/>
      <c r="G24" s="63"/>
      <c r="H24" s="63"/>
      <c r="I24" s="63"/>
      <c r="J24" s="63"/>
      <c r="K24" s="63"/>
    </row>
    <row r="25" spans="1:15" x14ac:dyDescent="0.2">
      <c r="A25" s="11" t="s">
        <v>1078</v>
      </c>
      <c r="B25" s="63"/>
      <c r="C25" s="63"/>
      <c r="D25" s="63"/>
      <c r="E25" s="63"/>
      <c r="F25" s="63"/>
      <c r="G25" s="63"/>
      <c r="H25" s="63"/>
      <c r="I25" s="63"/>
      <c r="J25" s="63"/>
      <c r="K25" s="63"/>
    </row>
    <row r="26" spans="1:15" x14ac:dyDescent="0.2">
      <c r="A26" s="25" t="s">
        <v>1079</v>
      </c>
      <c r="B26" s="63">
        <v>11337</v>
      </c>
      <c r="C26" s="65" t="str">
        <f>IF(B26&gt;B$31,"X","-")</f>
        <v>-</v>
      </c>
      <c r="D26" s="65" t="str">
        <f>IF(B26&gt;B$46,"X","-")</f>
        <v>-</v>
      </c>
      <c r="E26" s="63">
        <v>3368</v>
      </c>
      <c r="F26" s="65" t="str">
        <f>IF(E26&gt;E$31,"X","-")</f>
        <v>-</v>
      </c>
      <c r="G26" s="65" t="str">
        <f>IF(E26&gt;E$46,"X","-")</f>
        <v>-</v>
      </c>
      <c r="H26" s="63">
        <v>116432</v>
      </c>
      <c r="I26" s="65" t="str">
        <f>IF(H26&gt;H$31,"X","-")</f>
        <v>-</v>
      </c>
      <c r="J26" s="65" t="str">
        <f>IF(H26&gt;H$46,"X","-")</f>
        <v>-</v>
      </c>
      <c r="K26" s="63">
        <v>146096</v>
      </c>
      <c r="L26" s="62" t="e">
        <f>IF(K26&gt;K$31,"X","-")</f>
        <v>#REF!</v>
      </c>
      <c r="M26" s="62" t="e">
        <f>IF(K26&gt;K$46,"X","-")</f>
        <v>#REF!</v>
      </c>
      <c r="O26" s="62" t="e">
        <f>IF(OR(AND(C26="X",D26="X"),AND(F26="X",G26="X"),AND(I26="X",J26="X"),AND(L26="X",M26="X")),"MAJOR","-")</f>
        <v>#REF!</v>
      </c>
    </row>
    <row r="27" spans="1:15" x14ac:dyDescent="0.2">
      <c r="A27" s="25" t="s">
        <v>1080</v>
      </c>
      <c r="B27" s="63">
        <v>662350</v>
      </c>
      <c r="C27" s="65" t="str">
        <f>IF(B27&gt;B$31,"X","-")</f>
        <v>-</v>
      </c>
      <c r="D27" s="65" t="str">
        <f>IF(B27&gt;B$46,"X","-")</f>
        <v>-</v>
      </c>
      <c r="E27" s="63">
        <v>93530</v>
      </c>
      <c r="F27" s="65" t="str">
        <f>IF(E27&gt;E$31,"X","-")</f>
        <v>-</v>
      </c>
      <c r="G27" s="65" t="str">
        <f>IF(E27&gt;E$46,"X","-")</f>
        <v>-</v>
      </c>
      <c r="H27" s="63">
        <v>1081479</v>
      </c>
      <c r="I27" s="65" t="str">
        <f>IF(H27&gt;H$31,"X","-")</f>
        <v>-</v>
      </c>
      <c r="J27" s="65" t="str">
        <f>IF(H27&gt;H$46,"X","-")</f>
        <v>-</v>
      </c>
      <c r="K27" s="63">
        <v>1700600</v>
      </c>
      <c r="L27" s="62" t="e">
        <f>IF(K27&gt;K$31,"X","-")</f>
        <v>#REF!</v>
      </c>
      <c r="M27" s="62" t="e">
        <f>IF(K27&gt;K$46,"X","-")</f>
        <v>#REF!</v>
      </c>
      <c r="O27" s="62" t="e">
        <f>IF(OR(AND(C27="X",D27="X"),AND(F27="X",G27="X"),AND(I27="X",J27="X"),AND(L27="X",M27="X")),"MAJOR","-")</f>
        <v>#REF!</v>
      </c>
    </row>
    <row r="28" spans="1:15" x14ac:dyDescent="0.2">
      <c r="A28" s="25"/>
      <c r="B28" s="63"/>
      <c r="C28" s="63"/>
      <c r="D28" s="63"/>
      <c r="E28" s="63"/>
      <c r="F28" s="63"/>
      <c r="G28" s="63"/>
      <c r="H28" s="63"/>
      <c r="I28" s="63"/>
      <c r="J28" s="63"/>
      <c r="K28" s="63"/>
    </row>
    <row r="29" spans="1:15" ht="10.8" thickBot="1" x14ac:dyDescent="0.25">
      <c r="A29" s="26" t="s">
        <v>1081</v>
      </c>
      <c r="B29" s="66">
        <f>SUM(B12:B28)</f>
        <v>23864921</v>
      </c>
      <c r="C29" s="63"/>
      <c r="D29" s="63"/>
      <c r="E29" s="66">
        <f>SUM(E12:E28)</f>
        <v>7435563</v>
      </c>
      <c r="F29" s="63"/>
      <c r="G29" s="63"/>
      <c r="H29" s="66">
        <f>SUM(H12:H28)</f>
        <v>89341133</v>
      </c>
      <c r="I29" s="63"/>
      <c r="J29" s="63"/>
      <c r="K29" s="66" t="e">
        <f>SUM(K12:K28)</f>
        <v>#REF!</v>
      </c>
    </row>
    <row r="30" spans="1:15" ht="10.8" thickTop="1" x14ac:dyDescent="0.2">
      <c r="A30" s="25"/>
      <c r="B30" s="63"/>
      <c r="C30" s="63"/>
      <c r="D30" s="63"/>
      <c r="E30" s="63"/>
      <c r="F30" s="63"/>
      <c r="G30" s="63"/>
      <c r="H30" s="63"/>
      <c r="I30" s="63"/>
      <c r="J30" s="63"/>
      <c r="K30" s="63"/>
    </row>
    <row r="31" spans="1:15" ht="10.8" thickBot="1" x14ac:dyDescent="0.25">
      <c r="A31" s="18" t="s">
        <v>1082</v>
      </c>
      <c r="B31" s="67">
        <f>+B29*0.1</f>
        <v>2386492.1</v>
      </c>
      <c r="C31" s="63"/>
      <c r="D31" s="63"/>
      <c r="E31" s="67">
        <f>+E29*0.1</f>
        <v>743556.3</v>
      </c>
      <c r="F31" s="63"/>
      <c r="G31" s="63"/>
      <c r="H31" s="67">
        <f>+H29*0.1</f>
        <v>8934113.3000000007</v>
      </c>
      <c r="I31" s="63"/>
      <c r="J31" s="63"/>
      <c r="K31" s="67" t="e">
        <f>+K29*0.1</f>
        <v>#REF!</v>
      </c>
    </row>
    <row r="32" spans="1:15" ht="10.8" thickTop="1" x14ac:dyDescent="0.2">
      <c r="A32" s="27"/>
      <c r="B32" s="63"/>
      <c r="C32" s="63"/>
      <c r="D32" s="63"/>
      <c r="E32" s="63"/>
      <c r="F32" s="63"/>
      <c r="G32" s="63"/>
      <c r="H32" s="63"/>
      <c r="I32" s="63"/>
      <c r="J32" s="63"/>
      <c r="K32" s="63"/>
    </row>
    <row r="33" spans="1:15" x14ac:dyDescent="0.2">
      <c r="A33" s="27"/>
      <c r="B33" s="63"/>
      <c r="C33" s="63"/>
      <c r="D33" s="63"/>
      <c r="E33" s="63"/>
      <c r="F33" s="63"/>
      <c r="G33" s="63"/>
      <c r="H33" s="63"/>
      <c r="I33" s="63"/>
      <c r="J33" s="63"/>
      <c r="K33" s="63"/>
    </row>
    <row r="34" spans="1:15" x14ac:dyDescent="0.2">
      <c r="A34" s="26" t="s">
        <v>1083</v>
      </c>
      <c r="B34" s="63"/>
      <c r="C34" s="63"/>
      <c r="D34" s="63"/>
      <c r="E34" s="63"/>
      <c r="F34" s="63"/>
      <c r="G34" s="63"/>
      <c r="H34" s="63"/>
      <c r="I34" s="63"/>
      <c r="J34" s="63"/>
      <c r="K34" s="63"/>
    </row>
    <row r="35" spans="1:15" x14ac:dyDescent="0.2">
      <c r="A35" s="25" t="s">
        <v>785</v>
      </c>
      <c r="B35" s="63">
        <f>'Net Pos-Prop Exh7'!B24+'Net Pos-Prop Exh7'!B26</f>
        <v>2256983.392</v>
      </c>
      <c r="C35" s="65" t="str">
        <f>IF(B35&gt;B$41,"X","-")</f>
        <v>X</v>
      </c>
      <c r="D35" s="65" t="str">
        <f>IF(B35&gt;B$46,"X","-")</f>
        <v>X</v>
      </c>
      <c r="E35" s="63">
        <f>'Net Pos-Prop Exh7'!B46+'Net Pos-Prop Exh7'!B48</f>
        <v>403017.11200000002</v>
      </c>
      <c r="F35" s="65" t="str">
        <f>IF(E35&gt;E$41,"X","-")</f>
        <v>X</v>
      </c>
      <c r="G35" s="65" t="str">
        <f>IF(E35&gt;E$46,"X","-")</f>
        <v>-</v>
      </c>
      <c r="H35" s="63">
        <f>'Rev, exp-Prop Exh 8'!B13+'Rev, exp-Prop Exh 8'!B36</f>
        <v>328012</v>
      </c>
      <c r="I35" s="65" t="str">
        <f>IF(H35&gt;H$41,"X","-")</f>
        <v>X</v>
      </c>
      <c r="J35" s="65" t="str">
        <f>IF(H35&gt;H$46,"X","-")</f>
        <v>-</v>
      </c>
      <c r="K35" s="63">
        <f>'Rev, exp-Prop Exh 8'!B28</f>
        <v>331309.52</v>
      </c>
      <c r="L35" s="62" t="str">
        <f>IF(K35&gt;K$41,"X","-")</f>
        <v>X</v>
      </c>
      <c r="M35" s="62" t="e">
        <f>IF(K35&gt;K$46,"X","-")</f>
        <v>#REF!</v>
      </c>
      <c r="O35" s="62" t="e">
        <f>IF(OR(AND(C35="X",D35="X"),AND(F35="X",G35="X"),AND(I35="X",J35="X"),AND(L35="X",M35="X")),"MAJOR","-")</f>
        <v>#REF!</v>
      </c>
    </row>
    <row r="36" spans="1:15" x14ac:dyDescent="0.2">
      <c r="A36" s="10" t="s">
        <v>1084</v>
      </c>
      <c r="B36" s="68">
        <f>'Net Pos-Prop Exh7'!C24+'Net Pos-Prop Exh7'!C26</f>
        <v>8125630.477</v>
      </c>
      <c r="C36" s="65" t="str">
        <f>IF(B36&gt;B$41,"X","-")</f>
        <v>X</v>
      </c>
      <c r="D36" s="65" t="str">
        <f>IF(B36&gt;B$46,"X","-")</f>
        <v>X</v>
      </c>
      <c r="E36" s="68">
        <f>'Net Pos-Prop Exh7'!C46+'Net Pos-Prop Exh7'!C48</f>
        <v>3023046.8990000002</v>
      </c>
      <c r="F36" s="65" t="str">
        <f>IF(E36&gt;E$41,"X","-")</f>
        <v>X</v>
      </c>
      <c r="G36" s="65" t="str">
        <f>IF(E36&gt;E$46,"X","-")</f>
        <v>X</v>
      </c>
      <c r="H36" s="68">
        <f>'Rev, exp-Prop Exh 8'!C13+'Rev, exp-Prop Exh 8'!C36</f>
        <v>823833</v>
      </c>
      <c r="I36" s="65" t="str">
        <f>IF(H36&gt;H$41,"X","-")</f>
        <v>X</v>
      </c>
      <c r="J36" s="65" t="str">
        <f>IF(H36&gt;H$46,"X","-")</f>
        <v>-</v>
      </c>
      <c r="K36" s="63">
        <f>'Rev, exp-Prop Exh 8'!C28</f>
        <v>576020.47999999998</v>
      </c>
      <c r="L36" s="62" t="str">
        <f>IF(K36&gt;K$41,"X","-")</f>
        <v>X</v>
      </c>
      <c r="M36" s="62" t="e">
        <f>IF(K36&gt;K$46,"X","-")</f>
        <v>#REF!</v>
      </c>
      <c r="O36" s="62" t="e">
        <f>IF(OR(AND(C36="X",D36="X"),AND(F36="X",G36="X"),AND(I36="X",J36="X"),AND(L36="X",M36="X")),"MAJOR","-")</f>
        <v>#REF!</v>
      </c>
    </row>
    <row r="37" spans="1:15" x14ac:dyDescent="0.2">
      <c r="A37" s="10" t="s">
        <v>1085</v>
      </c>
      <c r="B37" s="68">
        <f>'Net Pos-Prop Exh7'!E24+'Net Pos-Prop Exh7'!E26</f>
        <v>315696.23100000003</v>
      </c>
      <c r="C37" s="65" t="str">
        <f>IF(B37&gt;B$41,"X","-")</f>
        <v>-</v>
      </c>
      <c r="D37" s="65" t="str">
        <f>IF(B37&gt;B$46,"X","-")</f>
        <v>-</v>
      </c>
      <c r="E37" s="68">
        <f>'Net Pos-Prop Exh7'!E46+'Net Pos-Prop Exh7'!E48</f>
        <v>308330.08899999998</v>
      </c>
      <c r="F37" s="65" t="str">
        <f>IF(E37&gt;E$41,"X","-")</f>
        <v>-</v>
      </c>
      <c r="G37" s="65" t="str">
        <f>IF(E37&gt;E$46,"X","-")</f>
        <v>-</v>
      </c>
      <c r="H37" s="68">
        <f>'Rev, exp-Prop Exh 8'!E13+'Rev, exp-Prop Exh 8'!E36</f>
        <v>6110</v>
      </c>
      <c r="I37" s="65" t="str">
        <f>IF(H37&gt;H$41,"X","-")</f>
        <v>-</v>
      </c>
      <c r="J37" s="65" t="str">
        <f>IF(H37&gt;H$46,"X","-")</f>
        <v>-</v>
      </c>
      <c r="K37" s="63">
        <f>'Rev, exp-Prop Exh 8'!E28</f>
        <v>2744</v>
      </c>
      <c r="L37" s="62" t="str">
        <f>IF(K37&gt;K$41,"X","-")</f>
        <v>-</v>
      </c>
      <c r="M37" s="62" t="e">
        <f>IF(K37&gt;K$46,"X","-")</f>
        <v>#REF!</v>
      </c>
      <c r="O37" s="62" t="e">
        <f>IF(OR(AND(C37="X",D37="X"),AND(F37="X",G37="X"),AND(I37="X",J37="X"),AND(L37="X",M37="X")),"MAJOR","-")</f>
        <v>#REF!</v>
      </c>
    </row>
    <row r="38" spans="1:15" x14ac:dyDescent="0.2">
      <c r="A38" s="27"/>
      <c r="B38" s="63"/>
      <c r="C38" s="63"/>
      <c r="D38" s="63"/>
      <c r="E38" s="63"/>
      <c r="F38" s="63"/>
      <c r="G38" s="63"/>
      <c r="H38" s="63"/>
      <c r="I38" s="63"/>
      <c r="J38" s="63"/>
      <c r="K38" s="63"/>
    </row>
    <row r="39" spans="1:15" ht="10.8" thickBot="1" x14ac:dyDescent="0.25">
      <c r="A39" s="26" t="s">
        <v>1086</v>
      </c>
      <c r="B39" s="66">
        <f>SUM(B35:B38)</f>
        <v>10698310.1</v>
      </c>
      <c r="C39" s="63"/>
      <c r="D39" s="63"/>
      <c r="E39" s="66">
        <f>SUM(E35:E38)</f>
        <v>3734394.1000000006</v>
      </c>
      <c r="F39" s="63"/>
      <c r="G39" s="63"/>
      <c r="H39" s="66">
        <f>SUM(H35:H38)</f>
        <v>1157955</v>
      </c>
      <c r="I39" s="63"/>
      <c r="J39" s="63"/>
      <c r="K39" s="66">
        <f>SUM(K35:K38)</f>
        <v>910074</v>
      </c>
    </row>
    <row r="40" spans="1:15" ht="10.8" thickTop="1" x14ac:dyDescent="0.2">
      <c r="A40" s="18"/>
      <c r="B40" s="63"/>
      <c r="C40" s="63"/>
      <c r="D40" s="63"/>
      <c r="E40" s="63"/>
      <c r="F40" s="63"/>
      <c r="G40" s="63"/>
      <c r="H40" s="63"/>
      <c r="I40" s="63"/>
      <c r="J40" s="63"/>
      <c r="K40" s="63"/>
    </row>
    <row r="41" spans="1:15" ht="10.8" thickBot="1" x14ac:dyDescent="0.25">
      <c r="A41" s="18" t="s">
        <v>1087</v>
      </c>
      <c r="B41" s="67">
        <f>+B39*0.1</f>
        <v>1069831.01</v>
      </c>
      <c r="C41" s="63"/>
      <c r="D41" s="63"/>
      <c r="E41" s="67">
        <f>+E39*0.1</f>
        <v>373439.41000000009</v>
      </c>
      <c r="F41" s="63"/>
      <c r="G41" s="63"/>
      <c r="H41" s="67">
        <f>+H39*0.1</f>
        <v>115795.5</v>
      </c>
      <c r="I41" s="63"/>
      <c r="J41" s="63"/>
      <c r="K41" s="67">
        <f>+K39*0.1</f>
        <v>91007.400000000009</v>
      </c>
    </row>
    <row r="42" spans="1:15" ht="10.8" thickTop="1" x14ac:dyDescent="0.2">
      <c r="A42" s="27"/>
      <c r="B42" s="63"/>
      <c r="C42" s="63"/>
      <c r="D42" s="63"/>
      <c r="E42" s="63"/>
      <c r="F42" s="63"/>
      <c r="G42" s="63"/>
      <c r="H42" s="63"/>
      <c r="I42" s="63"/>
      <c r="J42" s="63"/>
      <c r="K42" s="63"/>
    </row>
    <row r="43" spans="1:15" x14ac:dyDescent="0.2">
      <c r="A43" s="27"/>
      <c r="B43" s="63"/>
      <c r="C43" s="63"/>
      <c r="D43" s="63"/>
      <c r="E43" s="63"/>
      <c r="F43" s="63"/>
      <c r="G43" s="63"/>
      <c r="H43" s="63"/>
      <c r="I43" s="63"/>
      <c r="J43" s="63"/>
      <c r="K43" s="63"/>
    </row>
    <row r="44" spans="1:15" ht="10.8" thickBot="1" x14ac:dyDescent="0.25">
      <c r="A44" s="18" t="s">
        <v>1088</v>
      </c>
      <c r="B44" s="66">
        <f>B39+B29</f>
        <v>34563231.100000001</v>
      </c>
      <c r="C44" s="63"/>
      <c r="D44" s="63"/>
      <c r="E44" s="66">
        <f>E39+E29</f>
        <v>11169957.100000001</v>
      </c>
      <c r="F44" s="63"/>
      <c r="G44" s="63"/>
      <c r="H44" s="66">
        <f>H39+H29</f>
        <v>90499088</v>
      </c>
      <c r="I44" s="63"/>
      <c r="J44" s="63"/>
      <c r="K44" s="66" t="e">
        <f>K39+K29</f>
        <v>#REF!</v>
      </c>
    </row>
    <row r="45" spans="1:15" ht="10.8" thickTop="1" x14ac:dyDescent="0.2">
      <c r="A45" s="18"/>
      <c r="B45" s="63"/>
      <c r="C45" s="63"/>
      <c r="D45" s="63"/>
      <c r="E45" s="63"/>
      <c r="F45" s="63"/>
      <c r="G45" s="63"/>
      <c r="H45" s="63"/>
      <c r="I45" s="63"/>
      <c r="J45" s="63"/>
      <c r="K45" s="63"/>
    </row>
    <row r="46" spans="1:15" ht="10.8" thickBot="1" x14ac:dyDescent="0.25">
      <c r="A46" s="18" t="s">
        <v>1089</v>
      </c>
      <c r="B46" s="67">
        <f>+B44*0.05</f>
        <v>1728161.5550000002</v>
      </c>
      <c r="C46" s="63"/>
      <c r="D46" s="63"/>
      <c r="E46" s="67">
        <f>+E44*0.05</f>
        <v>558497.8550000001</v>
      </c>
      <c r="F46" s="63"/>
      <c r="G46" s="63"/>
      <c r="H46" s="67">
        <f>+H44*0.05</f>
        <v>4524954.4000000004</v>
      </c>
      <c r="I46" s="63"/>
      <c r="J46" s="63"/>
      <c r="K46" s="67" t="e">
        <f>+K44*0.05</f>
        <v>#REF!</v>
      </c>
    </row>
    <row r="47" spans="1:15" ht="10.8" thickTop="1" x14ac:dyDescent="0.2">
      <c r="A47" s="27"/>
    </row>
    <row r="48" spans="1:15" x14ac:dyDescent="0.2">
      <c r="A48" s="27"/>
    </row>
    <row r="49" spans="1:1" x14ac:dyDescent="0.2">
      <c r="A49" s="26"/>
    </row>
    <row r="52" spans="1:1" x14ac:dyDescent="0.2">
      <c r="A52" s="25"/>
    </row>
    <row r="53" spans="1:1" x14ac:dyDescent="0.2">
      <c r="A53" s="28"/>
    </row>
    <row r="54" spans="1:1" x14ac:dyDescent="0.2">
      <c r="A54" s="25"/>
    </row>
    <row r="55" spans="1:1" x14ac:dyDescent="0.2">
      <c r="A55" s="28"/>
    </row>
    <row r="56" spans="1:1" x14ac:dyDescent="0.2">
      <c r="A56" s="28"/>
    </row>
    <row r="57" spans="1:1" x14ac:dyDescent="0.2">
      <c r="A57" s="28"/>
    </row>
    <row r="60" spans="1:1" x14ac:dyDescent="0.2">
      <c r="A60" s="25"/>
    </row>
  </sheetData>
  <customSheetViews>
    <customSheetView guid="{A8748736-0722-49EB-85B6-C9B52DDCFE0E}" showPageBreaks="1" fitToPage="1" printArea="1" topLeftCell="A4">
      <selection activeCell="B22" sqref="B22"/>
      <rowBreaks count="1" manualBreakCount="1">
        <brk id="47" max="14" man="1"/>
      </rowBreaks>
      <pageMargins left="0.75" right="0.75" top="1" bottom="1" header="0.5" footer="0.5"/>
      <printOptions horizontalCentered="1"/>
      <pageSetup scale="75" firstPageNumber="127" orientation="landscape" useFirstPageNumber="1" r:id="rId1"/>
      <headerFooter alignWithMargins="0"/>
    </customSheetView>
    <customSheetView guid="{E0C60316-4586-4AAF-92CB-FA82BB1EB755}">
      <pane xSplit="1" ySplit="10" topLeftCell="B11" activePane="bottomRight" state="frozen"/>
      <selection pane="bottomRight" activeCell="B28" sqref="B28"/>
      <rowBreaks count="1" manualBreakCount="1">
        <brk id="40" max="14" man="1"/>
      </rowBreaks>
      <pageMargins left="0" right="0" top="0" bottom="0" header="0" footer="0"/>
      <printOptions horizontalCentered="1"/>
      <pageSetup scale="86" firstPageNumber="127" orientation="landscape" useFirstPageNumber="1" r:id="rId2"/>
      <headerFooter alignWithMargins="0"/>
    </customSheetView>
  </customSheetViews>
  <mergeCells count="4">
    <mergeCell ref="C8:D8"/>
    <mergeCell ref="F8:G8"/>
    <mergeCell ref="I8:J8"/>
    <mergeCell ref="L8:M8"/>
  </mergeCells>
  <phoneticPr fontId="0" type="noConversion"/>
  <printOptions horizontalCentered="1"/>
  <pageMargins left="0.75" right="0.75" top="1" bottom="1" header="0.5" footer="0.5"/>
  <pageSetup scale="75" firstPageNumber="127" orientation="landscape" useFirstPageNumber="1" r:id="rId3"/>
  <headerFooter alignWithMargins="0"/>
  <rowBreaks count="1" manualBreakCount="1">
    <brk id="47" max="14" man="1"/>
  </row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3CBB5-FC5E-4FE4-8687-4002A51F1956}">
  <dimension ref="B2:H16"/>
  <sheetViews>
    <sheetView workbookViewId="0"/>
  </sheetViews>
  <sheetFormatPr defaultRowHeight="13.2" x14ac:dyDescent="0.25"/>
  <cols>
    <col min="2" max="2" width="45.44140625" style="484" customWidth="1"/>
    <col min="3" max="3" width="39.44140625" style="816" customWidth="1"/>
    <col min="4" max="4" width="16" bestFit="1" customWidth="1"/>
    <col min="6" max="6" width="66.88671875" style="816" customWidth="1"/>
    <col min="7" max="7" width="30.5546875" customWidth="1"/>
    <col min="8" max="8" width="16.88671875" customWidth="1"/>
  </cols>
  <sheetData>
    <row r="2" spans="2:8" ht="13.8" x14ac:dyDescent="0.25">
      <c r="B2" s="822" t="s">
        <v>1120</v>
      </c>
    </row>
    <row r="3" spans="2:8" ht="13.8" x14ac:dyDescent="0.25">
      <c r="B3" s="822"/>
    </row>
    <row r="4" spans="2:8" ht="55.2" x14ac:dyDescent="0.25">
      <c r="B4" s="823" t="s">
        <v>1128</v>
      </c>
      <c r="C4" s="828" t="s">
        <v>1122</v>
      </c>
      <c r="D4" s="385">
        <f>+'GWNetPos 68 Exh 1'!D53</f>
        <v>22765298.950000003</v>
      </c>
      <c r="F4" s="833" t="s">
        <v>1141</v>
      </c>
      <c r="G4" s="834" t="s">
        <v>1139</v>
      </c>
    </row>
    <row r="5" spans="2:8" ht="15.6" x14ac:dyDescent="0.3">
      <c r="B5" s="823" t="s">
        <v>1129</v>
      </c>
      <c r="C5" s="829" t="s">
        <v>1121</v>
      </c>
      <c r="D5" s="385">
        <f>+'GWStmtAct 68 Exh 2'!H45</f>
        <v>474741</v>
      </c>
      <c r="F5" s="833" t="s">
        <v>1143</v>
      </c>
      <c r="G5" s="829" t="s">
        <v>1121</v>
      </c>
      <c r="H5" s="385">
        <f>+'GWStmtAct 68 Exh 2'!H45</f>
        <v>474741</v>
      </c>
    </row>
    <row r="6" spans="2:8" ht="41.4" x14ac:dyDescent="0.25">
      <c r="B6" s="823" t="s">
        <v>1131</v>
      </c>
      <c r="C6" s="830" t="s">
        <v>1125</v>
      </c>
      <c r="D6" s="385">
        <f>+'Rev, exp, chgs in fb Exh 4'!E55</f>
        <v>14479358</v>
      </c>
      <c r="F6" s="833" t="s">
        <v>1142</v>
      </c>
    </row>
    <row r="7" spans="2:8" ht="13.8" x14ac:dyDescent="0.25">
      <c r="B7" s="823" t="s">
        <v>1130</v>
      </c>
      <c r="D7" s="385">
        <f>+'Rev, exp, chgs in fb Exh 4'!E50</f>
        <v>886815</v>
      </c>
      <c r="F7" s="833" t="s">
        <v>1140</v>
      </c>
    </row>
    <row r="8" spans="2:8" ht="13.8" x14ac:dyDescent="0.25">
      <c r="B8" s="823" t="s">
        <v>1132</v>
      </c>
      <c r="D8" s="826">
        <f>(+'Balance Sheet Exh 3'!E35+'Balance Sheet Exh 3'!E36+'Balance Sheet Exh 3'!E37+'Balance Sheet Exh 3'!E38+'Balance Sheet Exh 3'!E39+'Balance Sheet Exh 3'!E42+'Balance Sheet Exh 3'!E32+'Balance Sheet Exh 3'!E33)/'Rev, exp, chgs in fb Exh 4'!E55</f>
        <v>0.50726827805486951</v>
      </c>
    </row>
    <row r="9" spans="2:8" ht="66" x14ac:dyDescent="0.25">
      <c r="B9" s="823" t="s">
        <v>1133</v>
      </c>
      <c r="C9" s="831" t="s">
        <v>1136</v>
      </c>
      <c r="D9" s="825">
        <f>+'Balance Sheet Exh 3'!E35+'Balance Sheet Exh 3'!E36+'Balance Sheet Exh 3'!E37+'Balance Sheet Exh 3'!E38+'Balance Sheet Exh 3'!E39+'Balance Sheet Exh 3'!E42+'Balance Sheet Exh 3'!E32+'Balance Sheet Exh 3'!E33</f>
        <v>7344919</v>
      </c>
    </row>
    <row r="10" spans="2:8" ht="41.4" x14ac:dyDescent="0.25">
      <c r="B10" s="823" t="s">
        <v>1135</v>
      </c>
      <c r="C10" s="830" t="s">
        <v>1137</v>
      </c>
      <c r="D10" s="385">
        <f>+'Balance Sheet Exh 3'!E50</f>
        <v>5361210</v>
      </c>
    </row>
    <row r="11" spans="2:8" ht="27.6" x14ac:dyDescent="0.25">
      <c r="B11" s="823" t="s">
        <v>1134</v>
      </c>
      <c r="C11" s="832" t="s">
        <v>1138</v>
      </c>
      <c r="D11" s="827">
        <f>+'Balance Sheet Exh 3'!E50/('Rev, exp, chgs in fb Exh 4'!E37-'Rev, exp, chgs in fb Exh 4'!E42)</f>
        <v>5.8864836586920107E-2</v>
      </c>
    </row>
    <row r="12" spans="2:8" x14ac:dyDescent="0.25">
      <c r="B12" s="824" t="s">
        <v>1123</v>
      </c>
    </row>
    <row r="13" spans="2:8" x14ac:dyDescent="0.25">
      <c r="B13" s="824" t="s">
        <v>1124</v>
      </c>
    </row>
    <row r="15" spans="2:8" x14ac:dyDescent="0.25">
      <c r="B15" s="824" t="s">
        <v>1126</v>
      </c>
    </row>
    <row r="16" spans="2:8" x14ac:dyDescent="0.25">
      <c r="B16" s="824" t="s">
        <v>1127</v>
      </c>
    </row>
  </sheetData>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B21"/>
  <sheetViews>
    <sheetView workbookViewId="0"/>
  </sheetViews>
  <sheetFormatPr defaultRowHeight="13.2" x14ac:dyDescent="0.25"/>
  <cols>
    <col min="1" max="1" width="24.6640625" customWidth="1"/>
    <col min="2" max="2" width="14" bestFit="1" customWidth="1"/>
  </cols>
  <sheetData>
    <row r="1" spans="1:2" x14ac:dyDescent="0.25">
      <c r="A1" t="s">
        <v>1090</v>
      </c>
      <c r="B1" s="410">
        <f>'GF-BudAct Exh 6'!F39</f>
        <v>87374309</v>
      </c>
    </row>
    <row r="2" spans="1:2" x14ac:dyDescent="0.25">
      <c r="A2" t="s">
        <v>1091</v>
      </c>
      <c r="B2">
        <v>0.08</v>
      </c>
    </row>
    <row r="3" spans="1:2" x14ac:dyDescent="0.25">
      <c r="A3" s="484" t="s">
        <v>1092</v>
      </c>
      <c r="B3" s="76">
        <f>B1*B2</f>
        <v>6989944.7199999997</v>
      </c>
    </row>
    <row r="4" spans="1:2" x14ac:dyDescent="0.25">
      <c r="B4" s="76"/>
    </row>
    <row r="5" spans="1:2" x14ac:dyDescent="0.25">
      <c r="A5" s="79" t="s">
        <v>1093</v>
      </c>
      <c r="B5" s="80">
        <f>'Rev, exp, chgs in fb Exh 4'!B55</f>
        <v>13849303</v>
      </c>
    </row>
    <row r="6" spans="1:2" x14ac:dyDescent="0.25">
      <c r="A6" t="s">
        <v>17</v>
      </c>
      <c r="B6" s="76">
        <f>'Balance Sheet Exh 3'!B32</f>
        <v>2551800</v>
      </c>
    </row>
    <row r="7" spans="1:2" x14ac:dyDescent="0.25">
      <c r="A7" t="s">
        <v>1094</v>
      </c>
      <c r="B7" s="76">
        <f>'Balance Sheet Exh 3'!B35</f>
        <v>4155128</v>
      </c>
    </row>
    <row r="8" spans="1:2" x14ac:dyDescent="0.25">
      <c r="A8" s="484" t="s">
        <v>1095</v>
      </c>
      <c r="B8" s="76">
        <f>'Balance Sheet Exh 3'!B49</f>
        <v>255000</v>
      </c>
    </row>
    <row r="9" spans="1:2" x14ac:dyDescent="0.25">
      <c r="A9" t="s">
        <v>47</v>
      </c>
      <c r="B9" s="76">
        <f>'Balance Sheet Exh 3'!B36</f>
        <v>17285</v>
      </c>
    </row>
    <row r="10" spans="1:2" x14ac:dyDescent="0.25">
      <c r="A10" t="s">
        <v>131</v>
      </c>
      <c r="B10" s="76">
        <f>'Balance Sheet Exh 3'!B44</f>
        <v>471723</v>
      </c>
    </row>
    <row r="11" spans="1:2" x14ac:dyDescent="0.25">
      <c r="A11" s="484" t="s">
        <v>1096</v>
      </c>
      <c r="B11" s="393">
        <v>1028267</v>
      </c>
    </row>
    <row r="12" spans="1:2" x14ac:dyDescent="0.25">
      <c r="A12" t="s">
        <v>1097</v>
      </c>
      <c r="B12" s="76">
        <f>B3</f>
        <v>6989944.7199999997</v>
      </c>
    </row>
    <row r="13" spans="1:2" x14ac:dyDescent="0.25">
      <c r="A13" s="77" t="s">
        <v>1093</v>
      </c>
      <c r="B13" s="78">
        <f>SUM(B6:B12)</f>
        <v>15469147.719999999</v>
      </c>
    </row>
    <row r="14" spans="1:2" x14ac:dyDescent="0.25">
      <c r="A14" t="s">
        <v>1098</v>
      </c>
      <c r="B14" s="76">
        <f>B5-B13</f>
        <v>-1619844.7199999988</v>
      </c>
    </row>
    <row r="19" spans="1:1" x14ac:dyDescent="0.25">
      <c r="A19" t="s">
        <v>1099</v>
      </c>
    </row>
    <row r="20" spans="1:1" x14ac:dyDescent="0.25">
      <c r="A20" t="s">
        <v>1100</v>
      </c>
    </row>
    <row r="21" spans="1:1" x14ac:dyDescent="0.25">
      <c r="A21" t="s">
        <v>1101</v>
      </c>
    </row>
  </sheetData>
  <customSheetViews>
    <customSheetView guid="{A8748736-0722-49EB-85B6-C9B52DDCFE0E}" state="hidden">
      <pageMargins left="0.7" right="0.7" top="0.75" bottom="0.75" header="0.3" footer="0.3"/>
      <pageSetup orientation="portrait" horizontalDpi="1200" verticalDpi="1200" r:id="rId1"/>
    </customSheetView>
    <customSheetView guid="{E0C60316-4586-4AAF-92CB-FA82BB1EB755}">
      <selection activeCell="A22" sqref="A22"/>
      <pageMargins left="0" right="0" top="0" bottom="0" header="0" footer="0"/>
      <pageSetup orientation="portrait" horizontalDpi="1200" verticalDpi="1200" r:id="rId2"/>
    </customSheetView>
  </customSheetViews>
  <pageMargins left="0.7" right="0.7" top="0.75" bottom="0.75" header="0.3" footer="0.3"/>
  <pageSetup orientation="portrait" horizontalDpi="1200" verticalDpi="120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O39"/>
  <sheetViews>
    <sheetView workbookViewId="0"/>
  </sheetViews>
  <sheetFormatPr defaultColWidth="9.109375" defaultRowHeight="13.2" x14ac:dyDescent="0.25"/>
  <cols>
    <col min="1" max="3" width="2.6640625" style="404" customWidth="1"/>
    <col min="4" max="4" width="45.6640625" style="404" customWidth="1"/>
    <col min="5" max="5" width="9.109375" style="404"/>
    <col min="6" max="6" width="12.88671875" style="404" bestFit="1" customWidth="1"/>
    <col min="7" max="7" width="12.88671875" style="404" hidden="1" customWidth="1"/>
    <col min="8" max="8" width="11.33203125" style="404" bestFit="1" customWidth="1"/>
    <col min="9" max="9" width="13.6640625" style="404" bestFit="1" customWidth="1"/>
    <col min="10" max="16384" width="9.109375" style="404"/>
  </cols>
  <sheetData>
    <row r="1" spans="1:9" x14ac:dyDescent="0.25">
      <c r="F1" s="635" t="s">
        <v>200</v>
      </c>
    </row>
    <row r="2" spans="1:9" x14ac:dyDescent="0.25">
      <c r="F2" s="417"/>
    </row>
    <row r="3" spans="1:9" x14ac:dyDescent="0.25">
      <c r="A3" s="34" t="str">
        <f>'GWNetPos 68 Exh 1'!A2:F2</f>
        <v>Carolina County, North Carolina</v>
      </c>
      <c r="B3" s="34"/>
      <c r="C3" s="34"/>
      <c r="D3" s="34"/>
      <c r="E3" s="34"/>
      <c r="F3" s="445"/>
    </row>
    <row r="4" spans="1:9" x14ac:dyDescent="0.25">
      <c r="A4" s="859" t="s">
        <v>160</v>
      </c>
      <c r="B4" s="859"/>
      <c r="C4" s="859"/>
      <c r="D4" s="859"/>
      <c r="E4" s="859"/>
      <c r="F4" s="859"/>
      <c r="I4" s="417"/>
    </row>
    <row r="5" spans="1:9" x14ac:dyDescent="0.25">
      <c r="A5" s="859" t="s">
        <v>111</v>
      </c>
      <c r="B5" s="859"/>
      <c r="C5" s="859"/>
      <c r="D5" s="859"/>
      <c r="E5" s="859"/>
      <c r="F5" s="859"/>
    </row>
    <row r="6" spans="1:9" x14ac:dyDescent="0.25">
      <c r="A6" s="859" t="str">
        <f>'GWStmtAct 68 Exh 2'!A4</f>
        <v>For the Year Ended June 30, 2022</v>
      </c>
      <c r="B6" s="859"/>
      <c r="C6" s="859"/>
      <c r="D6" s="859"/>
      <c r="E6" s="859"/>
      <c r="F6" s="859"/>
    </row>
    <row r="9" spans="1:9" x14ac:dyDescent="0.25">
      <c r="A9" s="404" t="s">
        <v>201</v>
      </c>
    </row>
    <row r="10" spans="1:9" x14ac:dyDescent="0.25">
      <c r="B10" s="404" t="s">
        <v>202</v>
      </c>
    </row>
    <row r="12" spans="1:9" x14ac:dyDescent="0.25">
      <c r="C12" s="404" t="s">
        <v>203</v>
      </c>
      <c r="F12" s="425">
        <f>'Rev, exp, chgs in fb Exh 4'!E50</f>
        <v>886815</v>
      </c>
    </row>
    <row r="13" spans="1:9" x14ac:dyDescent="0.25">
      <c r="C13" s="404" t="s">
        <v>204</v>
      </c>
      <c r="F13" s="393">
        <f>122974</f>
        <v>122974</v>
      </c>
      <c r="H13" s="425"/>
    </row>
    <row r="15" spans="1:9" ht="92.4" x14ac:dyDescent="0.25">
      <c r="D15" s="616" t="s">
        <v>205</v>
      </c>
      <c r="F15" s="621">
        <f>-116451+64681-22996-100000+279755</f>
        <v>104989</v>
      </c>
      <c r="H15" s="425"/>
    </row>
    <row r="16" spans="1:9" x14ac:dyDescent="0.25">
      <c r="F16" s="419"/>
    </row>
    <row r="17" spans="4:15" ht="26.4" x14ac:dyDescent="0.25">
      <c r="D17" s="641" t="s">
        <v>206</v>
      </c>
      <c r="F17" s="419">
        <v>-1000</v>
      </c>
    </row>
    <row r="18" spans="4:15" x14ac:dyDescent="0.25">
      <c r="F18" s="419"/>
    </row>
    <row r="19" spans="4:15" ht="26.4" x14ac:dyDescent="0.25">
      <c r="D19" s="641" t="s">
        <v>207</v>
      </c>
      <c r="F19" s="419">
        <v>1221075</v>
      </c>
    </row>
    <row r="20" spans="4:15" x14ac:dyDescent="0.25">
      <c r="D20" s="641"/>
      <c r="F20" s="419"/>
    </row>
    <row r="21" spans="4:15" ht="39" customHeight="1" x14ac:dyDescent="0.25">
      <c r="D21" s="641" t="s">
        <v>148</v>
      </c>
      <c r="E21" s="405"/>
      <c r="F21" s="396">
        <f>17279</f>
        <v>17279</v>
      </c>
    </row>
    <row r="22" spans="4:15" x14ac:dyDescent="0.25">
      <c r="F22" s="419"/>
    </row>
    <row r="23" spans="4:15" ht="39.6" x14ac:dyDescent="0.25">
      <c r="D23" s="641" t="s">
        <v>149</v>
      </c>
      <c r="F23" s="419">
        <f>0.95*(43000)</f>
        <v>40850</v>
      </c>
      <c r="G23" s="419"/>
    </row>
    <row r="24" spans="4:15" x14ac:dyDescent="0.25">
      <c r="F24" s="419"/>
    </row>
    <row r="25" spans="4:15" ht="39.6" x14ac:dyDescent="0.25">
      <c r="D25" s="641" t="s">
        <v>208</v>
      </c>
      <c r="F25" s="419">
        <v>44039</v>
      </c>
      <c r="H25" s="419"/>
    </row>
    <row r="26" spans="4:15" x14ac:dyDescent="0.25">
      <c r="F26" s="419"/>
    </row>
    <row r="27" spans="4:15" ht="97.2" customHeight="1" x14ac:dyDescent="0.25">
      <c r="D27" s="641" t="s">
        <v>209</v>
      </c>
      <c r="F27" s="621">
        <f>-730212-7166+18219+100000-279755</f>
        <v>-898914</v>
      </c>
      <c r="H27" s="419"/>
    </row>
    <row r="28" spans="4:15" x14ac:dyDescent="0.25">
      <c r="D28" s="641"/>
      <c r="F28" s="419"/>
    </row>
    <row r="29" spans="4:15" ht="52.8" x14ac:dyDescent="0.25">
      <c r="D29" s="641" t="s">
        <v>210</v>
      </c>
      <c r="F29" s="622">
        <f>-1536595</f>
        <v>-1536595</v>
      </c>
      <c r="G29" s="393"/>
      <c r="H29" s="419"/>
      <c r="I29" s="423"/>
    </row>
    <row r="30" spans="4:15" x14ac:dyDescent="0.25">
      <c r="F30" s="419"/>
    </row>
    <row r="31" spans="4:15" x14ac:dyDescent="0.25">
      <c r="F31" s="419"/>
      <c r="O31" s="462"/>
    </row>
    <row r="32" spans="4:15" ht="13.8" thickBot="1" x14ac:dyDescent="0.3">
      <c r="D32" s="404" t="s">
        <v>211</v>
      </c>
      <c r="F32" s="446">
        <f>SUM(F12:F31)</f>
        <v>1512</v>
      </c>
      <c r="G32" s="425">
        <f>F32-'GWStmtAct 68 Exh 2'!F45</f>
        <v>-0.25</v>
      </c>
      <c r="H32" s="425"/>
      <c r="I32" s="396"/>
    </row>
    <row r="33" spans="1:8" ht="13.8" thickTop="1" x14ac:dyDescent="0.25">
      <c r="G33" s="425"/>
      <c r="H33" s="425"/>
    </row>
    <row r="34" spans="1:8" x14ac:dyDescent="0.25">
      <c r="A34" s="404" t="str">
        <f>'GWNetPos 68 Exh 1'!A61</f>
        <v>The notes to the financial statements are an integral part of this statement.</v>
      </c>
      <c r="F34" s="425"/>
    </row>
    <row r="36" spans="1:8" x14ac:dyDescent="0.25">
      <c r="F36" s="425">
        <f>'GWStmtAct 68 Exh 2'!F45</f>
        <v>1512.25</v>
      </c>
    </row>
    <row r="38" spans="1:8" x14ac:dyDescent="0.25">
      <c r="F38" s="425">
        <f>F32-F36</f>
        <v>-0.25</v>
      </c>
      <c r="G38" s="425"/>
    </row>
    <row r="39" spans="1:8" x14ac:dyDescent="0.25">
      <c r="F39" s="425"/>
      <c r="G39" s="425"/>
    </row>
  </sheetData>
  <customSheetViews>
    <customSheetView guid="{A8748736-0722-49EB-85B6-C9B52DDCFE0E}" showPageBreaks="1" printArea="1" hiddenColumns="1" topLeftCell="A28">
      <selection activeCell="D26" sqref="D26:D27"/>
      <pageMargins left="0.75" right="0.75" top="1" bottom="1" header="0.5" footer="0.5"/>
      <printOptions horizontalCentered="1"/>
      <pageSetup scale="86" firstPageNumber="32" fitToHeight="0" orientation="portrait" useFirstPageNumber="1" r:id="rId1"/>
      <headerFooter alignWithMargins="0"/>
    </customSheetView>
    <customSheetView guid="{E0C60316-4586-4AAF-92CB-FA82BB1EB755}">
      <selection activeCell="N15" sqref="N15"/>
      <pageMargins left="0" right="0" top="0" bottom="0" header="0" footer="0"/>
      <printOptions horizontalCentered="1"/>
      <pageSetup scale="86" firstPageNumber="32" fitToHeight="0" orientation="portrait" useFirstPageNumber="1" r:id="rId2"/>
      <headerFooter alignWithMargins="0"/>
    </customSheetView>
  </customSheetViews>
  <mergeCells count="3">
    <mergeCell ref="A4:F4"/>
    <mergeCell ref="A5:F5"/>
    <mergeCell ref="A6:F6"/>
  </mergeCells>
  <phoneticPr fontId="0" type="noConversion"/>
  <printOptions horizontalCentered="1"/>
  <pageMargins left="0.75" right="0.75" top="1" bottom="1" header="0.5" footer="0.5"/>
  <pageSetup scale="86" firstPageNumber="32" fitToHeight="0" orientation="portrait" useFirstPageNumber="1"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K66"/>
  <sheetViews>
    <sheetView workbookViewId="0"/>
  </sheetViews>
  <sheetFormatPr defaultColWidth="9.109375" defaultRowHeight="13.2" x14ac:dyDescent="0.25"/>
  <cols>
    <col min="1" max="1" width="1.6640625" style="35" customWidth="1"/>
    <col min="2" max="2" width="1.33203125" style="35" customWidth="1"/>
    <col min="3" max="3" width="1.88671875" style="35" customWidth="1"/>
    <col min="4" max="4" width="37.6640625" style="35" customWidth="1"/>
    <col min="5" max="5" width="13.6640625" style="35" customWidth="1"/>
    <col min="6" max="7" width="12.33203125" style="35" customWidth="1"/>
    <col min="8" max="8" width="11.33203125" style="35" bestFit="1" customWidth="1"/>
    <col min="9" max="9" width="11" style="35" customWidth="1"/>
    <col min="10" max="10" width="12.88671875" style="35" bestFit="1" customWidth="1"/>
    <col min="11" max="16384" width="9.109375" style="35"/>
  </cols>
  <sheetData>
    <row r="1" spans="1:10" x14ac:dyDescent="0.25">
      <c r="A1" s="404"/>
      <c r="B1" s="404"/>
      <c r="C1" s="404"/>
      <c r="D1" s="404"/>
      <c r="E1" s="404"/>
      <c r="F1" s="404"/>
      <c r="G1" s="404"/>
      <c r="H1" s="370" t="s">
        <v>212</v>
      </c>
      <c r="I1" s="404"/>
      <c r="J1" s="404"/>
    </row>
    <row r="2" spans="1:10" x14ac:dyDescent="0.25">
      <c r="A2" s="51" t="s">
        <v>1</v>
      </c>
      <c r="B2" s="660"/>
      <c r="C2" s="660"/>
      <c r="D2" s="660"/>
      <c r="E2" s="660"/>
      <c r="F2" s="660"/>
      <c r="G2" s="660"/>
      <c r="H2" s="445"/>
      <c r="I2" s="404"/>
      <c r="J2" s="404"/>
    </row>
    <row r="3" spans="1:10" x14ac:dyDescent="0.25">
      <c r="A3" s="51" t="s">
        <v>213</v>
      </c>
      <c r="B3" s="660"/>
      <c r="C3" s="660"/>
      <c r="D3" s="660"/>
      <c r="E3" s="660"/>
      <c r="F3" s="660"/>
      <c r="G3" s="660"/>
      <c r="H3" s="660"/>
      <c r="I3" s="404"/>
      <c r="J3" s="404"/>
    </row>
    <row r="4" spans="1:10" x14ac:dyDescent="0.25">
      <c r="A4" s="51" t="s">
        <v>214</v>
      </c>
      <c r="B4" s="660"/>
      <c r="C4" s="660"/>
      <c r="D4" s="660"/>
      <c r="E4" s="660"/>
      <c r="F4" s="660"/>
      <c r="G4" s="660"/>
      <c r="H4" s="660"/>
      <c r="I4" s="404"/>
      <c r="J4" s="404"/>
    </row>
    <row r="5" spans="1:10" x14ac:dyDescent="0.25">
      <c r="A5" s="82" t="str">
        <f>'GWStmtAct 68 Exh 2'!A4</f>
        <v>For the Year Ended June 30, 2022</v>
      </c>
      <c r="B5" s="660"/>
      <c r="C5" s="660"/>
      <c r="D5" s="660"/>
      <c r="E5" s="660"/>
      <c r="F5" s="660"/>
      <c r="G5" s="660"/>
      <c r="H5" s="660"/>
      <c r="I5" s="404"/>
      <c r="J5" s="404"/>
    </row>
    <row r="6" spans="1:10" ht="5.25" customHeight="1" x14ac:dyDescent="0.25">
      <c r="A6" s="394"/>
      <c r="B6" s="394"/>
      <c r="C6" s="394"/>
      <c r="D6" s="394"/>
      <c r="E6" s="394"/>
      <c r="F6" s="394"/>
      <c r="G6" s="394"/>
      <c r="H6" s="394"/>
      <c r="I6" s="404"/>
      <c r="J6" s="404"/>
    </row>
    <row r="7" spans="1:10" x14ac:dyDescent="0.25">
      <c r="A7" s="394"/>
      <c r="B7" s="393"/>
      <c r="C7" s="393"/>
      <c r="D7" s="393" t="s">
        <v>122</v>
      </c>
      <c r="E7" s="393"/>
      <c r="F7" s="393"/>
      <c r="G7" s="393"/>
      <c r="H7" s="661" t="s">
        <v>215</v>
      </c>
      <c r="I7" s="404"/>
      <c r="J7" s="404"/>
    </row>
    <row r="8" spans="1:10" x14ac:dyDescent="0.25">
      <c r="A8" s="394"/>
      <c r="B8" s="393"/>
      <c r="C8" s="393"/>
      <c r="D8" s="393"/>
      <c r="E8" s="393"/>
      <c r="F8" s="393"/>
      <c r="G8" s="393"/>
      <c r="H8" s="633" t="s">
        <v>216</v>
      </c>
      <c r="I8" s="404"/>
      <c r="J8" s="404"/>
    </row>
    <row r="9" spans="1:10" x14ac:dyDescent="0.25">
      <c r="A9" s="394"/>
      <c r="B9" s="393"/>
      <c r="C9" s="393"/>
      <c r="D9" s="393"/>
      <c r="E9" s="607" t="s">
        <v>217</v>
      </c>
      <c r="F9" s="661" t="s">
        <v>218</v>
      </c>
      <c r="G9" s="393"/>
      <c r="H9" s="661" t="s">
        <v>219</v>
      </c>
      <c r="I9" s="404"/>
      <c r="J9" s="404"/>
    </row>
    <row r="10" spans="1:10" x14ac:dyDescent="0.25">
      <c r="A10" s="393"/>
      <c r="B10" s="522" t="s">
        <v>122</v>
      </c>
      <c r="C10" s="393"/>
      <c r="D10" s="393"/>
      <c r="E10" s="608" t="s">
        <v>220</v>
      </c>
      <c r="F10" s="662" t="s">
        <v>220</v>
      </c>
      <c r="G10" s="608" t="s">
        <v>221</v>
      </c>
      <c r="H10" s="608" t="s">
        <v>222</v>
      </c>
      <c r="I10" s="404"/>
      <c r="J10" s="404"/>
    </row>
    <row r="11" spans="1:10" ht="3.75" customHeight="1" x14ac:dyDescent="0.25">
      <c r="A11" s="393"/>
      <c r="B11" s="393"/>
      <c r="C11" s="393"/>
      <c r="D11" s="393"/>
      <c r="E11" s="393"/>
      <c r="F11" s="393"/>
      <c r="G11" s="393"/>
      <c r="H11" s="393"/>
      <c r="I11" s="404"/>
      <c r="J11" s="404"/>
    </row>
    <row r="12" spans="1:10" x14ac:dyDescent="0.25">
      <c r="A12" s="522" t="s">
        <v>223</v>
      </c>
      <c r="B12" s="393"/>
      <c r="C12" s="393"/>
      <c r="D12" s="393"/>
      <c r="E12" s="393"/>
      <c r="F12" s="393"/>
      <c r="G12" s="393"/>
      <c r="H12" s="393"/>
      <c r="I12" s="404"/>
      <c r="J12" s="404"/>
    </row>
    <row r="13" spans="1:10" x14ac:dyDescent="0.25">
      <c r="A13" s="393"/>
      <c r="B13" s="522" t="s">
        <v>163</v>
      </c>
      <c r="C13" s="393"/>
      <c r="D13" s="393"/>
      <c r="E13" s="663">
        <v>54812398</v>
      </c>
      <c r="F13" s="663">
        <f>54812398-620000+880000+300000</f>
        <v>55372398</v>
      </c>
      <c r="G13" s="664">
        <f>55683874-10945-210632-329403</f>
        <v>55132894</v>
      </c>
      <c r="H13" s="664">
        <f>G13-F13</f>
        <v>-239504</v>
      </c>
      <c r="I13" s="430"/>
      <c r="J13" s="430"/>
    </row>
    <row r="14" spans="1:10" x14ac:dyDescent="0.25">
      <c r="A14" s="393"/>
      <c r="B14" s="522" t="s">
        <v>89</v>
      </c>
      <c r="C14" s="393"/>
      <c r="D14" s="393"/>
      <c r="E14" s="665">
        <f>12735000</f>
        <v>12735000</v>
      </c>
      <c r="F14" s="665">
        <f>13235000-1012420+650000</f>
        <v>12872580</v>
      </c>
      <c r="G14" s="666">
        <f>13690663+10945+210632-1012416-50000</f>
        <v>12849824</v>
      </c>
      <c r="H14" s="666">
        <f>G14-F14</f>
        <v>-22756</v>
      </c>
      <c r="I14" s="430"/>
      <c r="J14" s="404"/>
    </row>
    <row r="15" spans="1:10" x14ac:dyDescent="0.25">
      <c r="A15" s="393"/>
      <c r="B15" s="522" t="s">
        <v>90</v>
      </c>
      <c r="C15" s="393"/>
      <c r="D15" s="393"/>
      <c r="E15" s="665">
        <f>247500-45142</f>
        <v>202358</v>
      </c>
      <c r="F15" s="665">
        <f>248469-46111</f>
        <v>202358</v>
      </c>
      <c r="G15" s="665">
        <f>276471-46111</f>
        <v>230360</v>
      </c>
      <c r="H15" s="666">
        <f t="shared" ref="H15:H21" si="0">G15-F15</f>
        <v>28002</v>
      </c>
      <c r="I15" s="430"/>
      <c r="J15" s="404"/>
    </row>
    <row r="16" spans="1:10" x14ac:dyDescent="0.25">
      <c r="A16" s="393"/>
      <c r="B16" s="522" t="s">
        <v>165</v>
      </c>
      <c r="C16" s="393"/>
      <c r="D16" s="393"/>
      <c r="E16" s="665">
        <v>60000</v>
      </c>
      <c r="F16" s="665">
        <v>150642</v>
      </c>
      <c r="G16" s="665">
        <v>145522</v>
      </c>
      <c r="H16" s="666">
        <f t="shared" si="0"/>
        <v>-5120</v>
      </c>
      <c r="I16" s="430"/>
      <c r="J16" s="404"/>
    </row>
    <row r="17" spans="1:11" x14ac:dyDescent="0.25">
      <c r="A17" s="393"/>
      <c r="B17" s="522" t="s">
        <v>166</v>
      </c>
      <c r="C17" s="393"/>
      <c r="D17" s="393"/>
      <c r="E17" s="665">
        <v>14406151</v>
      </c>
      <c r="F17" s="665">
        <f>13941456+81250</f>
        <v>14022706</v>
      </c>
      <c r="G17" s="665">
        <f>14676609-619059</f>
        <v>14057550</v>
      </c>
      <c r="H17" s="666">
        <f t="shared" si="0"/>
        <v>34844</v>
      </c>
      <c r="I17" s="430"/>
      <c r="J17" s="404"/>
    </row>
    <row r="18" spans="1:11" x14ac:dyDescent="0.25">
      <c r="A18" s="393"/>
      <c r="B18" s="522" t="s">
        <v>167</v>
      </c>
      <c r="C18" s="393"/>
      <c r="D18" s="393"/>
      <c r="E18" s="665">
        <f>354000+45142</f>
        <v>399142</v>
      </c>
      <c r="F18" s="665">
        <f>354069+46111</f>
        <v>400180</v>
      </c>
      <c r="G18" s="665">
        <f>398938+46111</f>
        <v>445049</v>
      </c>
      <c r="H18" s="666">
        <f t="shared" si="0"/>
        <v>44869</v>
      </c>
      <c r="I18" s="430"/>
      <c r="J18" s="404"/>
    </row>
    <row r="19" spans="1:11" x14ac:dyDescent="0.25">
      <c r="A19" s="393"/>
      <c r="B19" s="522" t="s">
        <v>168</v>
      </c>
      <c r="C19" s="393"/>
      <c r="D19" s="393"/>
      <c r="E19" s="665">
        <v>1038650</v>
      </c>
      <c r="F19" s="665">
        <f>1038700+100000+4000</f>
        <v>1142700</v>
      </c>
      <c r="G19" s="667">
        <f>1144821+20605</f>
        <v>1165426</v>
      </c>
      <c r="H19" s="666">
        <f t="shared" si="0"/>
        <v>22726</v>
      </c>
      <c r="I19" s="430"/>
      <c r="J19" s="404"/>
    </row>
    <row r="20" spans="1:11" x14ac:dyDescent="0.25">
      <c r="A20" s="393"/>
      <c r="B20" s="522" t="s">
        <v>169</v>
      </c>
      <c r="C20" s="393"/>
      <c r="D20" s="393"/>
      <c r="E20" s="665">
        <v>1032500</v>
      </c>
      <c r="F20" s="665">
        <f>1032500+12147+38984+350000+100000</f>
        <v>1533631</v>
      </c>
      <c r="G20" s="665">
        <f>1511018+12147+38984</f>
        <v>1562149</v>
      </c>
      <c r="H20" s="666">
        <f t="shared" si="0"/>
        <v>28518</v>
      </c>
      <c r="I20" s="430"/>
      <c r="J20" s="396"/>
    </row>
    <row r="21" spans="1:11" x14ac:dyDescent="0.25">
      <c r="A21" s="393"/>
      <c r="B21" s="522" t="s">
        <v>170</v>
      </c>
      <c r="C21" s="393"/>
      <c r="D21" s="393"/>
      <c r="E21" s="668">
        <v>147703</v>
      </c>
      <c r="F21" s="668">
        <f>500000+61703+100000</f>
        <v>661703</v>
      </c>
      <c r="G21" s="669">
        <f>116284+500000+16257</f>
        <v>632541</v>
      </c>
      <c r="H21" s="666">
        <f t="shared" si="0"/>
        <v>-29162</v>
      </c>
      <c r="I21" s="430"/>
      <c r="J21" s="404"/>
    </row>
    <row r="22" spans="1:11" x14ac:dyDescent="0.25">
      <c r="A22" s="393"/>
      <c r="B22" s="393"/>
      <c r="C22" s="393"/>
      <c r="D22" s="522" t="s">
        <v>171</v>
      </c>
      <c r="E22" s="668">
        <f>SUM(E13:E21)</f>
        <v>84833902</v>
      </c>
      <c r="F22" s="668">
        <f>SUM(F13:F21)</f>
        <v>86358898</v>
      </c>
      <c r="G22" s="670">
        <f>SUM(G13:G21)</f>
        <v>86221315</v>
      </c>
      <c r="H22" s="670">
        <f>SUM(H13:H21)</f>
        <v>-137583</v>
      </c>
      <c r="I22" s="430"/>
      <c r="J22" s="396"/>
    </row>
    <row r="23" spans="1:11" ht="5.25" customHeight="1" x14ac:dyDescent="0.25">
      <c r="A23" s="393"/>
      <c r="B23" s="393"/>
      <c r="C23" s="393"/>
      <c r="D23" s="393"/>
      <c r="E23" s="393"/>
      <c r="F23" s="665"/>
      <c r="G23" s="665"/>
      <c r="H23" s="665"/>
      <c r="I23" s="430"/>
      <c r="J23" s="404"/>
    </row>
    <row r="24" spans="1:11" x14ac:dyDescent="0.25">
      <c r="A24" s="522" t="s">
        <v>224</v>
      </c>
      <c r="B24" s="393"/>
      <c r="C24" s="393"/>
      <c r="D24" s="393"/>
      <c r="E24" s="393"/>
      <c r="F24" s="665"/>
      <c r="G24" s="665"/>
      <c r="H24" s="665"/>
      <c r="I24" s="430"/>
      <c r="J24" s="404"/>
    </row>
    <row r="25" spans="1:11" ht="10.5" customHeight="1" x14ac:dyDescent="0.25">
      <c r="A25" s="393"/>
      <c r="B25" s="522" t="s">
        <v>173</v>
      </c>
      <c r="C25" s="393"/>
      <c r="D25" s="393"/>
      <c r="E25" s="393"/>
      <c r="F25" s="665"/>
      <c r="G25" s="665"/>
      <c r="H25" s="665"/>
      <c r="I25" s="430"/>
      <c r="J25" s="404"/>
    </row>
    <row r="26" spans="1:11" x14ac:dyDescent="0.25">
      <c r="A26" s="393"/>
      <c r="B26" s="393"/>
      <c r="C26" s="522" t="s">
        <v>70</v>
      </c>
      <c r="D26" s="393"/>
      <c r="E26" s="665">
        <v>6325000</v>
      </c>
      <c r="F26" s="846">
        <f>6378901+100000+4000+12147+38984+880000+350000+500000+500000+440000</f>
        <v>9204032</v>
      </c>
      <c r="G26" s="846">
        <f>'Rev, exp, chgs in fb Exh 4'!B23-562674</f>
        <v>8924097</v>
      </c>
      <c r="H26" s="665">
        <f t="shared" ref="H26:H31" si="1">F26-G26</f>
        <v>279935</v>
      </c>
      <c r="I26" s="430"/>
      <c r="J26" s="396"/>
      <c r="K26" s="840"/>
    </row>
    <row r="27" spans="1:11" x14ac:dyDescent="0.25">
      <c r="A27" s="393"/>
      <c r="B27" s="393"/>
      <c r="C27" s="522" t="s">
        <v>44</v>
      </c>
      <c r="D27" s="393"/>
      <c r="E27" s="665">
        <v>7200000</v>
      </c>
      <c r="F27" s="665">
        <f>7090414+500000</f>
        <v>7590414</v>
      </c>
      <c r="G27" s="667">
        <f>'Rev, exp, chgs in fb Exh 4'!B24</f>
        <v>7179720</v>
      </c>
      <c r="H27" s="665">
        <f t="shared" si="1"/>
        <v>410694</v>
      </c>
      <c r="I27" s="430"/>
      <c r="J27" s="404"/>
    </row>
    <row r="28" spans="1:11" x14ac:dyDescent="0.25">
      <c r="A28" s="393"/>
      <c r="B28" s="393"/>
      <c r="C28" s="522" t="s">
        <v>71</v>
      </c>
      <c r="D28" s="393"/>
      <c r="E28" s="665">
        <v>1140000</v>
      </c>
      <c r="F28" s="665">
        <f>1141516+200000</f>
        <v>1341516</v>
      </c>
      <c r="G28" s="665">
        <f>'Rev, exp, chgs in fb Exh 4'!B25</f>
        <v>1138578</v>
      </c>
      <c r="H28" s="665">
        <f t="shared" si="1"/>
        <v>202938</v>
      </c>
      <c r="I28" s="430"/>
      <c r="J28" s="404"/>
    </row>
    <row r="29" spans="1:11" x14ac:dyDescent="0.25">
      <c r="A29" s="393"/>
      <c r="B29" s="393"/>
      <c r="C29" s="522" t="s">
        <v>174</v>
      </c>
      <c r="D29" s="393"/>
      <c r="E29" s="665">
        <v>1315000</v>
      </c>
      <c r="F29" s="665">
        <f>1316992+31250</f>
        <v>1348242</v>
      </c>
      <c r="G29" s="665">
        <f>'Rev, exp, chgs in fb Exh 4'!B26</f>
        <v>1316929</v>
      </c>
      <c r="H29" s="665">
        <f t="shared" si="1"/>
        <v>31313</v>
      </c>
      <c r="I29" s="430"/>
      <c r="J29" s="404"/>
    </row>
    <row r="30" spans="1:11" x14ac:dyDescent="0.25">
      <c r="A30" s="393"/>
      <c r="B30" s="393"/>
      <c r="C30" s="522" t="s">
        <v>73</v>
      </c>
      <c r="D30" s="393"/>
      <c r="E30" s="665">
        <f>23685000+238816</f>
        <v>23923816</v>
      </c>
      <c r="F30" s="665">
        <f>23781178-1012420+200000-200000</f>
        <v>22768758</v>
      </c>
      <c r="G30" s="665">
        <f>23419822-1000000</f>
        <v>22419822</v>
      </c>
      <c r="H30" s="665">
        <f t="shared" si="1"/>
        <v>348936</v>
      </c>
      <c r="I30" s="430"/>
      <c r="J30" s="404"/>
    </row>
    <row r="31" spans="1:11" x14ac:dyDescent="0.25">
      <c r="A31" s="393"/>
      <c r="B31" s="393"/>
      <c r="C31" s="522" t="s">
        <v>175</v>
      </c>
      <c r="D31" s="393"/>
      <c r="E31" s="665">
        <v>2315000</v>
      </c>
      <c r="F31" s="665">
        <v>2312261</v>
      </c>
      <c r="G31" s="665">
        <v>2308240</v>
      </c>
      <c r="H31" s="665">
        <f t="shared" si="1"/>
        <v>4021</v>
      </c>
      <c r="I31" s="430"/>
      <c r="J31" s="404"/>
    </row>
    <row r="32" spans="1:11" x14ac:dyDescent="0.25">
      <c r="A32" s="393"/>
      <c r="B32" s="522" t="s">
        <v>176</v>
      </c>
      <c r="C32" s="393"/>
      <c r="D32" s="393"/>
      <c r="E32" s="393"/>
      <c r="F32" s="393"/>
      <c r="G32" s="665"/>
      <c r="H32" s="665"/>
      <c r="I32" s="430"/>
      <c r="J32" s="404"/>
    </row>
    <row r="33" spans="1:10" x14ac:dyDescent="0.25">
      <c r="A33" s="393"/>
      <c r="B33" s="393"/>
      <c r="C33" s="522" t="s">
        <v>45</v>
      </c>
      <c r="D33" s="393"/>
      <c r="E33" s="665">
        <v>41418016</v>
      </c>
      <c r="F33" s="665">
        <v>41418016</v>
      </c>
      <c r="G33" s="665">
        <v>41418016</v>
      </c>
      <c r="H33" s="665">
        <v>0</v>
      </c>
      <c r="I33" s="430"/>
      <c r="J33" s="404"/>
    </row>
    <row r="34" spans="1:10" x14ac:dyDescent="0.25">
      <c r="A34" s="393"/>
      <c r="B34" s="522" t="s">
        <v>178</v>
      </c>
      <c r="C34" s="393"/>
      <c r="D34" s="393"/>
      <c r="E34" s="665"/>
      <c r="F34" s="665"/>
      <c r="G34" s="665"/>
      <c r="H34" s="665"/>
      <c r="I34" s="430"/>
      <c r="J34" s="404"/>
    </row>
    <row r="35" spans="1:10" x14ac:dyDescent="0.25">
      <c r="A35" s="393"/>
      <c r="B35" s="393"/>
      <c r="C35" s="522" t="s">
        <v>225</v>
      </c>
      <c r="D35" s="393"/>
      <c r="E35" s="665">
        <v>618166</v>
      </c>
      <c r="F35" s="665">
        <v>618166</v>
      </c>
      <c r="G35" s="667">
        <v>629219</v>
      </c>
      <c r="H35" s="665">
        <v>0</v>
      </c>
      <c r="I35" s="430"/>
      <c r="J35" s="404"/>
    </row>
    <row r="36" spans="1:10" x14ac:dyDescent="0.25">
      <c r="A36" s="393"/>
      <c r="B36" s="393"/>
      <c r="C36" s="522" t="s">
        <v>226</v>
      </c>
      <c r="D36" s="393"/>
      <c r="E36" s="666">
        <v>692904</v>
      </c>
      <c r="F36" s="666">
        <v>692904</v>
      </c>
      <c r="G36" s="671">
        <v>709264</v>
      </c>
      <c r="H36" s="666">
        <v>0</v>
      </c>
      <c r="I36" s="430"/>
      <c r="J36" s="404"/>
    </row>
    <row r="37" spans="1:10" x14ac:dyDescent="0.25">
      <c r="A37" s="393"/>
      <c r="B37" s="393"/>
      <c r="C37" s="522" t="s">
        <v>181</v>
      </c>
      <c r="D37" s="393"/>
      <c r="E37" s="666">
        <v>65000</v>
      </c>
      <c r="F37" s="666">
        <v>65000</v>
      </c>
      <c r="G37" s="666">
        <v>65000</v>
      </c>
      <c r="H37" s="666">
        <v>0</v>
      </c>
      <c r="I37" s="430"/>
      <c r="J37" s="393"/>
    </row>
    <row r="38" spans="1:10" x14ac:dyDescent="0.25">
      <c r="A38" s="393"/>
      <c r="B38" s="393"/>
      <c r="C38" s="522" t="s">
        <v>182</v>
      </c>
      <c r="D38" s="393"/>
      <c r="E38" s="672">
        <v>15000</v>
      </c>
      <c r="F38" s="672">
        <v>15000</v>
      </c>
      <c r="G38" s="672">
        <v>15000</v>
      </c>
      <c r="H38" s="672">
        <v>0</v>
      </c>
      <c r="I38" s="430"/>
      <c r="J38" s="462"/>
    </row>
    <row r="39" spans="1:10" x14ac:dyDescent="0.25">
      <c r="A39" s="393"/>
      <c r="B39" s="393"/>
      <c r="C39" s="393"/>
      <c r="D39" s="522" t="s">
        <v>183</v>
      </c>
      <c r="E39" s="668">
        <f>SUM(E26:E38)</f>
        <v>85027902</v>
      </c>
      <c r="F39" s="668">
        <f>SUM(F26:F38)</f>
        <v>87374309</v>
      </c>
      <c r="G39" s="670">
        <f>SUM(G26:G38)</f>
        <v>86123885</v>
      </c>
      <c r="H39" s="670">
        <f>F39-G39</f>
        <v>1250424</v>
      </c>
      <c r="I39" s="430"/>
      <c r="J39" s="404"/>
    </row>
    <row r="40" spans="1:10" ht="8.25" customHeight="1" x14ac:dyDescent="0.25">
      <c r="A40" s="393"/>
      <c r="B40" s="393"/>
      <c r="C40" s="393"/>
      <c r="D40" s="393"/>
      <c r="E40" s="665"/>
      <c r="F40" s="665"/>
      <c r="G40" s="665"/>
      <c r="H40" s="665"/>
      <c r="I40" s="430"/>
      <c r="J40" s="404"/>
    </row>
    <row r="41" spans="1:10" x14ac:dyDescent="0.25">
      <c r="A41" s="522" t="s">
        <v>227</v>
      </c>
      <c r="B41" s="393"/>
      <c r="C41" s="393"/>
      <c r="D41" s="393"/>
      <c r="E41" s="668">
        <f>E22-E39</f>
        <v>-194000</v>
      </c>
      <c r="F41" s="668">
        <f>F22-F39</f>
        <v>-1015411</v>
      </c>
      <c r="G41" s="672">
        <f>G22-G39</f>
        <v>97430</v>
      </c>
      <c r="H41" s="672">
        <f>H39+H22</f>
        <v>1112841</v>
      </c>
      <c r="I41" s="430"/>
      <c r="J41" s="404"/>
    </row>
    <row r="42" spans="1:10" ht="4.5" customHeight="1" x14ac:dyDescent="0.25">
      <c r="A42" s="393"/>
      <c r="B42" s="393"/>
      <c r="C42" s="393"/>
      <c r="D42" s="393"/>
      <c r="E42" s="665"/>
      <c r="F42" s="665"/>
      <c r="G42" s="665"/>
      <c r="H42" s="665"/>
      <c r="I42" s="430"/>
      <c r="J42" s="404"/>
    </row>
    <row r="43" spans="1:10" x14ac:dyDescent="0.25">
      <c r="A43" s="522" t="s">
        <v>228</v>
      </c>
      <c r="B43" s="393"/>
      <c r="C43" s="393"/>
      <c r="D43" s="393"/>
      <c r="E43" s="665"/>
      <c r="F43" s="665"/>
      <c r="G43" s="665"/>
      <c r="H43" s="665"/>
      <c r="I43" s="430"/>
      <c r="J43" s="404"/>
    </row>
    <row r="44" spans="1:10" x14ac:dyDescent="0.25">
      <c r="A44" s="393"/>
      <c r="B44" s="522" t="s">
        <v>186</v>
      </c>
      <c r="C44" s="393"/>
      <c r="D44" s="393"/>
      <c r="E44" s="665">
        <v>0</v>
      </c>
      <c r="F44" s="846">
        <f>620227+440000</f>
        <v>1060227</v>
      </c>
      <c r="G44" s="667">
        <f>619059+440000+0</f>
        <v>1059059</v>
      </c>
      <c r="H44" s="665">
        <f t="shared" ref="H44:H49" si="2">-F44+G44</f>
        <v>-1168</v>
      </c>
      <c r="I44" s="430"/>
      <c r="J44" s="404"/>
    </row>
    <row r="45" spans="1:10" x14ac:dyDescent="0.25">
      <c r="A45" s="393"/>
      <c r="B45" s="522" t="s">
        <v>187</v>
      </c>
      <c r="C45" s="404"/>
      <c r="D45" s="393"/>
      <c r="E45" s="393">
        <v>0</v>
      </c>
      <c r="F45" s="665">
        <v>-238816</v>
      </c>
      <c r="G45" s="665">
        <v>-620616</v>
      </c>
      <c r="H45" s="665">
        <f t="shared" si="2"/>
        <v>-381800</v>
      </c>
      <c r="I45" s="430"/>
      <c r="J45" s="404"/>
    </row>
    <row r="46" spans="1:10" x14ac:dyDescent="0.25">
      <c r="A46" s="393"/>
      <c r="B46" s="522" t="s">
        <v>188</v>
      </c>
      <c r="C46" s="393"/>
      <c r="D46" s="393"/>
      <c r="E46" s="665">
        <v>100000</v>
      </c>
      <c r="F46" s="665">
        <v>100000</v>
      </c>
      <c r="G46" s="667">
        <v>279755</v>
      </c>
      <c r="H46" s="665">
        <f t="shared" si="2"/>
        <v>179755</v>
      </c>
      <c r="I46" s="430"/>
      <c r="J46" s="404"/>
    </row>
    <row r="47" spans="1:10" x14ac:dyDescent="0.25">
      <c r="A47" s="393"/>
      <c r="B47" s="393" t="s">
        <v>189</v>
      </c>
      <c r="C47" s="404"/>
      <c r="D47" s="393"/>
      <c r="E47" s="665">
        <v>3365000</v>
      </c>
      <c r="F47" s="665">
        <v>3365000</v>
      </c>
      <c r="G47" s="665">
        <v>3365000</v>
      </c>
      <c r="H47" s="665">
        <f t="shared" si="2"/>
        <v>0</v>
      </c>
      <c r="I47" s="430"/>
      <c r="J47" s="404"/>
    </row>
    <row r="48" spans="1:10" x14ac:dyDescent="0.25">
      <c r="A48" s="393"/>
      <c r="B48" s="393" t="s">
        <v>229</v>
      </c>
      <c r="C48" s="404"/>
      <c r="D48" s="393"/>
      <c r="E48" s="665">
        <v>-3300000</v>
      </c>
      <c r="F48" s="665">
        <v>-3300000</v>
      </c>
      <c r="G48" s="665">
        <v>-3300000</v>
      </c>
      <c r="H48" s="665">
        <f t="shared" si="2"/>
        <v>0</v>
      </c>
      <c r="I48" s="430"/>
      <c r="J48" s="404"/>
    </row>
    <row r="49" spans="1:9" x14ac:dyDescent="0.25">
      <c r="A49" s="393"/>
      <c r="B49" s="522" t="s">
        <v>192</v>
      </c>
      <c r="C49" s="393"/>
      <c r="D49" s="393"/>
      <c r="E49" s="665">
        <v>29000</v>
      </c>
      <c r="F49" s="665">
        <v>29000</v>
      </c>
      <c r="G49" s="672">
        <f>28482</f>
        <v>28482</v>
      </c>
      <c r="H49" s="665">
        <f t="shared" si="2"/>
        <v>-518</v>
      </c>
      <c r="I49" s="430"/>
    </row>
    <row r="50" spans="1:9" x14ac:dyDescent="0.25">
      <c r="A50" s="393"/>
      <c r="B50" s="393"/>
      <c r="C50" s="393"/>
      <c r="D50" s="522" t="s">
        <v>230</v>
      </c>
      <c r="E50" s="670">
        <f>SUM((E44:E49))</f>
        <v>194000</v>
      </c>
      <c r="F50" s="670">
        <f>SUM((F44:F49))</f>
        <v>1015411</v>
      </c>
      <c r="G50" s="670">
        <f>SUM(G44:G49)</f>
        <v>811680</v>
      </c>
      <c r="H50" s="670">
        <f>SUM(H44:H49)</f>
        <v>-203731</v>
      </c>
      <c r="I50" s="430"/>
    </row>
    <row r="51" spans="1:9" ht="3.75" customHeight="1" x14ac:dyDescent="0.25">
      <c r="A51" s="404"/>
      <c r="B51" s="404"/>
      <c r="C51" s="404"/>
      <c r="D51" s="404"/>
      <c r="E51" s="404"/>
      <c r="F51" s="404"/>
      <c r="G51" s="404"/>
      <c r="H51" s="404"/>
      <c r="I51" s="430"/>
    </row>
    <row r="52" spans="1:9" ht="13.8" thickBot="1" x14ac:dyDescent="0.3">
      <c r="A52" s="637" t="s">
        <v>194</v>
      </c>
      <c r="B52" s="404"/>
      <c r="C52" s="404"/>
      <c r="D52" s="404"/>
      <c r="E52" s="673">
        <f>E50+E41</f>
        <v>0</v>
      </c>
      <c r="F52" s="673">
        <f>F50+F41</f>
        <v>0</v>
      </c>
      <c r="G52" s="673">
        <f>G50+G41</f>
        <v>909110</v>
      </c>
      <c r="H52" s="673">
        <f>H50+H41</f>
        <v>909110</v>
      </c>
      <c r="I52" s="430"/>
    </row>
    <row r="53" spans="1:9" ht="5.25" customHeight="1" thickTop="1" x14ac:dyDescent="0.25">
      <c r="A53" s="404"/>
      <c r="B53" s="404"/>
      <c r="C53" s="404"/>
      <c r="D53" s="404"/>
      <c r="E53" s="404"/>
      <c r="F53" s="404"/>
      <c r="G53" s="418"/>
      <c r="H53" s="404"/>
      <c r="I53" s="404"/>
    </row>
    <row r="54" spans="1:9" x14ac:dyDescent="0.25">
      <c r="A54" s="404" t="s">
        <v>195</v>
      </c>
      <c r="B54" s="404"/>
      <c r="C54" s="404"/>
      <c r="D54" s="404"/>
      <c r="E54" s="404"/>
      <c r="F54" s="404"/>
      <c r="G54" s="396">
        <f>9961496+1500000+893676+803+25774</f>
        <v>12381749</v>
      </c>
      <c r="H54" s="404"/>
      <c r="I54" s="430"/>
    </row>
    <row r="55" spans="1:9" x14ac:dyDescent="0.25">
      <c r="A55" s="404"/>
      <c r="B55" s="404" t="s">
        <v>196</v>
      </c>
      <c r="C55" s="404"/>
      <c r="D55" s="404"/>
      <c r="E55" s="404"/>
      <c r="F55" s="404"/>
      <c r="G55" s="437">
        <v>-36253</v>
      </c>
      <c r="H55" s="404"/>
      <c r="I55" s="430"/>
    </row>
    <row r="56" spans="1:9" x14ac:dyDescent="0.25">
      <c r="A56" s="404" t="s">
        <v>197</v>
      </c>
      <c r="B56" s="404"/>
      <c r="C56" s="404"/>
      <c r="D56" s="404"/>
      <c r="E56" s="404"/>
      <c r="F56" s="404"/>
      <c r="G56" s="396">
        <f>SUM(G54:G55)</f>
        <v>12345496</v>
      </c>
      <c r="H56" s="404"/>
      <c r="I56" s="430"/>
    </row>
    <row r="57" spans="1:9" x14ac:dyDescent="0.25">
      <c r="A57" s="404" t="s">
        <v>231</v>
      </c>
      <c r="B57" s="404"/>
      <c r="C57" s="404"/>
      <c r="D57" s="404"/>
      <c r="E57" s="404"/>
      <c r="F57" s="404"/>
      <c r="G57" s="549">
        <v>122974</v>
      </c>
      <c r="H57" s="404"/>
      <c r="I57" s="425"/>
    </row>
    <row r="58" spans="1:9" ht="13.8" thickBot="1" x14ac:dyDescent="0.3">
      <c r="A58" s="404" t="s">
        <v>232</v>
      </c>
      <c r="B58" s="404"/>
      <c r="C58" s="404"/>
      <c r="D58" s="404"/>
      <c r="E58" s="404"/>
      <c r="F58" s="404"/>
      <c r="G58" s="674">
        <f>G57+G56+G52</f>
        <v>13377580</v>
      </c>
      <c r="H58" s="425"/>
      <c r="I58" s="425"/>
    </row>
    <row r="59" spans="1:9" ht="26.4" customHeight="1" thickTop="1" x14ac:dyDescent="0.25">
      <c r="A59" s="91"/>
      <c r="B59" s="879" t="s">
        <v>233</v>
      </c>
      <c r="C59" s="879"/>
      <c r="D59" s="879"/>
      <c r="E59" s="879"/>
      <c r="F59" s="404"/>
      <c r="G59" s="404"/>
      <c r="H59" s="404"/>
      <c r="I59" s="404"/>
    </row>
    <row r="60" spans="1:9" x14ac:dyDescent="0.25">
      <c r="A60" s="404"/>
      <c r="B60" s="404" t="s">
        <v>234</v>
      </c>
      <c r="C60" s="404"/>
      <c r="D60" s="405"/>
      <c r="E60" s="393"/>
      <c r="F60" s="393"/>
      <c r="G60" s="393">
        <v>52679</v>
      </c>
      <c r="H60" s="404"/>
      <c r="I60" s="404"/>
    </row>
    <row r="61" spans="1:9" x14ac:dyDescent="0.25">
      <c r="A61" s="404"/>
      <c r="B61" s="404" t="s">
        <v>235</v>
      </c>
      <c r="C61" s="404"/>
      <c r="D61" s="405"/>
      <c r="E61" s="393"/>
      <c r="F61" s="393"/>
      <c r="G61" s="393">
        <v>250616</v>
      </c>
      <c r="H61" s="404"/>
      <c r="I61" s="404"/>
    </row>
    <row r="62" spans="1:9" x14ac:dyDescent="0.25">
      <c r="A62" s="404"/>
      <c r="B62" s="404" t="s">
        <v>236</v>
      </c>
      <c r="C62" s="404"/>
      <c r="D62" s="405"/>
      <c r="E62" s="393"/>
      <c r="F62" s="393"/>
      <c r="G62" s="393">
        <v>-562674</v>
      </c>
      <c r="H62" s="404"/>
      <c r="I62" s="404"/>
    </row>
    <row r="63" spans="1:9" x14ac:dyDescent="0.25">
      <c r="A63" s="404"/>
      <c r="B63" s="404" t="s">
        <v>237</v>
      </c>
      <c r="C63" s="404"/>
      <c r="D63" s="405"/>
      <c r="E63" s="393"/>
      <c r="F63" s="393"/>
      <c r="G63" s="393">
        <v>731102</v>
      </c>
      <c r="H63" s="404"/>
      <c r="I63" s="404"/>
    </row>
    <row r="64" spans="1:9" ht="15.75" customHeight="1" thickBot="1" x14ac:dyDescent="0.3">
      <c r="A64" s="404"/>
      <c r="B64" s="404" t="s">
        <v>238</v>
      </c>
      <c r="C64" s="404"/>
      <c r="D64" s="405"/>
      <c r="E64" s="393"/>
      <c r="F64" s="393"/>
      <c r="G64" s="675">
        <f>G58+G60+G62+G63+G61</f>
        <v>13849303</v>
      </c>
      <c r="H64" s="404"/>
      <c r="I64" s="396">
        <f>G64-'Rev, exp, chgs in fb Exh 4'!B55</f>
        <v>0</v>
      </c>
    </row>
    <row r="65" spans="1:7" ht="15.75" customHeight="1" thickTop="1" x14ac:dyDescent="0.25">
      <c r="A65" s="404"/>
      <c r="B65" s="404"/>
      <c r="C65" s="404"/>
      <c r="D65" s="405"/>
      <c r="E65" s="393"/>
      <c r="F65" s="393"/>
      <c r="G65" s="394"/>
    </row>
    <row r="66" spans="1:7" ht="13.5" customHeight="1" x14ac:dyDescent="0.25">
      <c r="A66" s="404" t="str">
        <f>'GWNetPos 68 Exh 1'!A61</f>
        <v>The notes to the financial statements are an integral part of this statement.</v>
      </c>
      <c r="B66" s="404"/>
      <c r="C66" s="404"/>
      <c r="D66" s="404"/>
      <c r="E66" s="404"/>
      <c r="F66" s="404"/>
      <c r="G66" s="404"/>
    </row>
  </sheetData>
  <customSheetViews>
    <customSheetView guid="{A8748736-0722-49EB-85B6-C9B52DDCFE0E}" showPageBreaks="1" printArea="1" topLeftCell="A46">
      <selection activeCell="D48" sqref="D48"/>
      <pageMargins left="0.75" right="0.75" top="1" bottom="1" header="0.5" footer="0.5"/>
      <printOptions horizontalCentered="1"/>
      <pageSetup scale="83" firstPageNumber="32" fitToHeight="0" orientation="portrait" useFirstPageNumber="1" r:id="rId1"/>
      <headerFooter alignWithMargins="0"/>
    </customSheetView>
    <customSheetView guid="{E0C60316-4586-4AAF-92CB-FA82BB1EB755}" topLeftCell="A6">
      <selection activeCell="F26" sqref="F26"/>
      <pageMargins left="0" right="0" top="0" bottom="0" header="0" footer="0"/>
      <printOptions horizontalCentered="1"/>
      <pageSetup scale="83" firstPageNumber="32" fitToHeight="0" orientation="portrait" useFirstPageNumber="1" r:id="rId2"/>
      <headerFooter alignWithMargins="0"/>
    </customSheetView>
  </customSheetViews>
  <mergeCells count="1">
    <mergeCell ref="B59:E59"/>
  </mergeCells>
  <phoneticPr fontId="0" type="noConversion"/>
  <printOptions horizontalCentered="1"/>
  <pageMargins left="0.75" right="0.75" top="1" bottom="1" header="0.5" footer="0.5"/>
  <pageSetup scale="83" firstPageNumber="32" fitToHeight="0" orientation="portrait" useFirstPageNumber="1"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64"/>
  <sheetViews>
    <sheetView workbookViewId="0"/>
  </sheetViews>
  <sheetFormatPr defaultColWidth="9.109375" defaultRowHeight="13.2" x14ac:dyDescent="0.25"/>
  <cols>
    <col min="1" max="1" width="37.33203125" style="404" customWidth="1"/>
    <col min="2" max="2" width="13.44140625" style="404" customWidth="1"/>
    <col min="3" max="3" width="12.6640625" style="404" customWidth="1"/>
    <col min="4" max="4" width="2.88671875" style="435" customWidth="1"/>
    <col min="5" max="5" width="12.6640625" style="404" customWidth="1"/>
    <col min="6" max="6" width="13.44140625" style="404" customWidth="1"/>
    <col min="7" max="7" width="4" style="404" customWidth="1"/>
    <col min="8" max="8" width="13.88671875" style="404" hidden="1" customWidth="1"/>
    <col min="9" max="9" width="12.88671875" style="404" hidden="1" customWidth="1"/>
    <col min="10" max="10" width="12.88671875" style="404" bestFit="1" customWidth="1"/>
    <col min="11" max="11" width="10.6640625" style="404" customWidth="1"/>
    <col min="12" max="12" width="16.33203125" style="404" customWidth="1"/>
    <col min="13" max="16384" width="9.109375" style="404"/>
  </cols>
  <sheetData>
    <row r="1" spans="1:12" x14ac:dyDescent="0.25">
      <c r="F1" s="635" t="s">
        <v>239</v>
      </c>
    </row>
    <row r="2" spans="1:12" x14ac:dyDescent="0.25">
      <c r="A2" s="859" t="s">
        <v>1</v>
      </c>
      <c r="B2" s="859"/>
      <c r="C2" s="859"/>
      <c r="D2" s="859"/>
      <c r="E2" s="859"/>
      <c r="F2" s="859"/>
    </row>
    <row r="3" spans="1:12" x14ac:dyDescent="0.25">
      <c r="A3" s="859" t="s">
        <v>2</v>
      </c>
      <c r="B3" s="859"/>
      <c r="C3" s="859"/>
      <c r="D3" s="859"/>
      <c r="E3" s="859"/>
      <c r="F3" s="859"/>
    </row>
    <row r="4" spans="1:12" x14ac:dyDescent="0.25">
      <c r="A4" s="859" t="s">
        <v>240</v>
      </c>
      <c r="B4" s="859"/>
      <c r="C4" s="859"/>
      <c r="D4" s="859"/>
      <c r="E4" s="859"/>
      <c r="F4" s="859"/>
    </row>
    <row r="5" spans="1:12" x14ac:dyDescent="0.25">
      <c r="A5" s="860" t="str">
        <f>'GWNetPos 68 Exh 1'!A4:F4</f>
        <v>June 30, 2022</v>
      </c>
      <c r="B5" s="859"/>
      <c r="C5" s="859"/>
      <c r="D5" s="859"/>
      <c r="E5" s="859"/>
      <c r="F5" s="859"/>
    </row>
    <row r="7" spans="1:12" x14ac:dyDescent="0.25">
      <c r="B7" s="39" t="s">
        <v>112</v>
      </c>
      <c r="C7" s="39"/>
      <c r="E7" s="39" t="s">
        <v>113</v>
      </c>
    </row>
    <row r="8" spans="1:12" ht="39.6" x14ac:dyDescent="0.25">
      <c r="B8" s="655" t="s">
        <v>241</v>
      </c>
      <c r="C8" s="655" t="s">
        <v>242</v>
      </c>
      <c r="D8" s="655"/>
      <c r="E8" s="655" t="s">
        <v>243</v>
      </c>
      <c r="F8" s="655" t="s">
        <v>8</v>
      </c>
    </row>
    <row r="9" spans="1:12" x14ac:dyDescent="0.25">
      <c r="A9" s="38" t="s">
        <v>12</v>
      </c>
    </row>
    <row r="10" spans="1:12" x14ac:dyDescent="0.25">
      <c r="A10" s="404" t="s">
        <v>244</v>
      </c>
    </row>
    <row r="11" spans="1:12" x14ac:dyDescent="0.25">
      <c r="A11" s="639" t="s">
        <v>13</v>
      </c>
      <c r="B11" s="412">
        <f>283180+22033-1001000*0.05*0.32-(43000)*0.05*0.32-(20565)</f>
        <v>267944</v>
      </c>
      <c r="C11" s="412">
        <f>615826-2743+32162+11010-11010+5000-5000-4169-5749-1001000*0.05*0.67-(43000)*0.05*0.68-(43059)</f>
        <v>557272.5</v>
      </c>
      <c r="D11" s="413"/>
      <c r="E11" s="412">
        <f>23487-(17495-7500)-5000-5749-1001000*0.05*0.01-(643)</f>
        <v>1599.5</v>
      </c>
      <c r="F11" s="412">
        <f>SUM(B11:E11)</f>
        <v>826816</v>
      </c>
      <c r="H11" s="393"/>
      <c r="K11" s="430"/>
    </row>
    <row r="12" spans="1:12" x14ac:dyDescent="0.25">
      <c r="A12" s="639" t="s">
        <v>116</v>
      </c>
      <c r="B12" s="393">
        <v>23831</v>
      </c>
      <c r="C12" s="393">
        <f>75977-E12</f>
        <v>75824</v>
      </c>
      <c r="D12" s="394"/>
      <c r="E12" s="393">
        <v>153</v>
      </c>
      <c r="F12" s="393">
        <f>SUM(B12:E12)</f>
        <v>99808</v>
      </c>
    </row>
    <row r="13" spans="1:12" x14ac:dyDescent="0.25">
      <c r="A13" s="639" t="s">
        <v>17</v>
      </c>
      <c r="B13" s="393">
        <v>0</v>
      </c>
      <c r="C13" s="393">
        <v>110281</v>
      </c>
      <c r="D13" s="394"/>
      <c r="E13" s="393">
        <v>0</v>
      </c>
      <c r="F13" s="393">
        <f>SUM(B13:E13)</f>
        <v>110281</v>
      </c>
      <c r="L13" s="460"/>
    </row>
    <row r="14" spans="1:12" x14ac:dyDescent="0.25">
      <c r="A14" s="639" t="s">
        <v>245</v>
      </c>
      <c r="B14" s="394">
        <v>1444</v>
      </c>
      <c r="C14" s="394">
        <v>1121</v>
      </c>
      <c r="D14" s="394"/>
      <c r="E14" s="394">
        <v>0</v>
      </c>
      <c r="F14" s="394">
        <f>SUM(B14:E14)</f>
        <v>2565</v>
      </c>
      <c r="L14" s="460"/>
    </row>
    <row r="15" spans="1:12" x14ac:dyDescent="0.25">
      <c r="A15" s="428" t="s">
        <v>246</v>
      </c>
      <c r="B15" s="415">
        <f>SUM(B11:B14)</f>
        <v>293219</v>
      </c>
      <c r="C15" s="415">
        <f>SUM(C11:C14)</f>
        <v>744498.5</v>
      </c>
      <c r="D15" s="415"/>
      <c r="E15" s="415">
        <f>SUM(E11:E14)</f>
        <v>1752.5</v>
      </c>
      <c r="F15" s="415">
        <f>SUM(F11:F14)</f>
        <v>1039470</v>
      </c>
    </row>
    <row r="16" spans="1:12" x14ac:dyDescent="0.25">
      <c r="B16" s="393"/>
      <c r="C16" s="393"/>
      <c r="D16" s="394"/>
      <c r="E16" s="393"/>
      <c r="F16" s="393"/>
    </row>
    <row r="17" spans="1:11" x14ac:dyDescent="0.25">
      <c r="A17" s="404" t="s">
        <v>247</v>
      </c>
      <c r="B17" s="393"/>
      <c r="C17" s="393"/>
      <c r="D17" s="394"/>
      <c r="E17" s="393"/>
      <c r="F17" s="393"/>
    </row>
    <row r="18" spans="1:11" x14ac:dyDescent="0.25">
      <c r="A18" s="638" t="s">
        <v>19</v>
      </c>
      <c r="B18" s="393">
        <v>0</v>
      </c>
      <c r="C18" s="393">
        <f>1063389-E18+4169+5749</f>
        <v>1057705</v>
      </c>
      <c r="D18" s="394"/>
      <c r="E18" s="393">
        <f>14853-5000+5749</f>
        <v>15602</v>
      </c>
      <c r="F18" s="393">
        <f>SUM(B18:E18)</f>
        <v>1073307</v>
      </c>
      <c r="J18" s="430"/>
      <c r="K18" s="430"/>
    </row>
    <row r="19" spans="1:11" x14ac:dyDescent="0.25">
      <c r="A19" s="638" t="s">
        <v>22</v>
      </c>
      <c r="B19" s="393"/>
      <c r="C19" s="393"/>
      <c r="D19" s="394"/>
      <c r="E19" s="393"/>
      <c r="F19" s="393"/>
    </row>
    <row r="20" spans="1:11" x14ac:dyDescent="0.25">
      <c r="A20" s="442" t="s">
        <v>248</v>
      </c>
      <c r="B20" s="393">
        <v>216500</v>
      </c>
      <c r="C20" s="393">
        <f>825549-E20</f>
        <v>529653</v>
      </c>
      <c r="D20" s="394"/>
      <c r="E20" s="393">
        <v>295896</v>
      </c>
      <c r="F20" s="393">
        <f>SUM(B20:E20)</f>
        <v>1042049</v>
      </c>
      <c r="K20" s="430"/>
    </row>
    <row r="21" spans="1:11" x14ac:dyDescent="0.25">
      <c r="A21" s="442" t="s">
        <v>24</v>
      </c>
      <c r="B21" s="421">
        <v>1669001</v>
      </c>
      <c r="C21" s="421">
        <f>5629910-E21</f>
        <v>5629910</v>
      </c>
      <c r="D21" s="394"/>
      <c r="E21" s="421">
        <v>0</v>
      </c>
      <c r="F21" s="421">
        <f>SUM(B21:E21)</f>
        <v>7298911</v>
      </c>
    </row>
    <row r="22" spans="1:11" x14ac:dyDescent="0.25">
      <c r="A22" s="443" t="s">
        <v>25</v>
      </c>
      <c r="B22" s="421">
        <f>SUM(B20:B21)</f>
        <v>1885501</v>
      </c>
      <c r="C22" s="421">
        <f>SUM(C20:C21)</f>
        <v>6159563</v>
      </c>
      <c r="D22" s="415"/>
      <c r="E22" s="421">
        <f>SUM(E20:E21)</f>
        <v>295896</v>
      </c>
      <c r="F22" s="421">
        <f>SUM(B22:E22)</f>
        <v>8340960</v>
      </c>
    </row>
    <row r="23" spans="1:11" x14ac:dyDescent="0.25">
      <c r="A23" s="447" t="s">
        <v>249</v>
      </c>
      <c r="B23" s="415">
        <f>B22+B18</f>
        <v>1885501</v>
      </c>
      <c r="C23" s="415">
        <f>C22+C18</f>
        <v>7217268</v>
      </c>
      <c r="D23" s="415"/>
      <c r="E23" s="415">
        <f>E22+E18</f>
        <v>311498</v>
      </c>
      <c r="F23" s="415">
        <f>F22+F18</f>
        <v>9414267</v>
      </c>
      <c r="J23" s="393"/>
    </row>
    <row r="24" spans="1:11" x14ac:dyDescent="0.25">
      <c r="A24" s="448" t="s">
        <v>27</v>
      </c>
      <c r="B24" s="415">
        <f>B23+B15</f>
        <v>2178720</v>
      </c>
      <c r="C24" s="415">
        <f>C23+C15</f>
        <v>7961766.5</v>
      </c>
      <c r="D24" s="415"/>
      <c r="E24" s="415">
        <f>E23+E15</f>
        <v>313250.5</v>
      </c>
      <c r="F24" s="415">
        <f>SUM(B24:E24)</f>
        <v>10453737</v>
      </c>
    </row>
    <row r="25" spans="1:11" x14ac:dyDescent="0.25">
      <c r="A25" s="448"/>
      <c r="B25" s="394"/>
      <c r="C25" s="394"/>
      <c r="D25" s="394"/>
      <c r="E25" s="394"/>
      <c r="F25" s="394"/>
    </row>
    <row r="26" spans="1:11" x14ac:dyDescent="0.25">
      <c r="A26" s="42" t="s">
        <v>28</v>
      </c>
      <c r="B26" s="394">
        <f>0.32*'GWNetPos 68 Exh 1'!C26</f>
        <v>78263.392000000007</v>
      </c>
      <c r="C26" s="394">
        <f>0.67*'GWNetPos 68 Exh 1'!C26</f>
        <v>163863.97700000001</v>
      </c>
      <c r="D26" s="394"/>
      <c r="E26" s="394">
        <f>0.01*'GWNetPos 68 Exh 1'!C26</f>
        <v>2445.7310000000002</v>
      </c>
      <c r="F26" s="394">
        <f>SUM(B26:E26)</f>
        <v>244573.1</v>
      </c>
      <c r="H26" s="449"/>
      <c r="K26" s="397"/>
    </row>
    <row r="27" spans="1:11" x14ac:dyDescent="0.25">
      <c r="A27" s="448"/>
      <c r="B27" s="394"/>
      <c r="C27" s="394"/>
      <c r="D27" s="394"/>
      <c r="E27" s="394"/>
      <c r="F27" s="394"/>
      <c r="H27" s="396"/>
    </row>
    <row r="28" spans="1:11" x14ac:dyDescent="0.25">
      <c r="A28" s="38" t="s">
        <v>29</v>
      </c>
      <c r="B28" s="393"/>
      <c r="C28" s="393"/>
      <c r="D28" s="394"/>
      <c r="E28" s="393"/>
      <c r="F28" s="393"/>
    </row>
    <row r="29" spans="1:11" x14ac:dyDescent="0.25">
      <c r="A29" s="404" t="s">
        <v>250</v>
      </c>
      <c r="B29" s="393"/>
      <c r="C29" s="393"/>
      <c r="D29" s="394"/>
      <c r="E29" s="393"/>
      <c r="F29" s="393"/>
      <c r="H29" s="423"/>
    </row>
    <row r="30" spans="1:11" x14ac:dyDescent="0.25">
      <c r="A30" s="639" t="s">
        <v>251</v>
      </c>
      <c r="B30" s="393">
        <v>2456</v>
      </c>
      <c r="C30" s="393">
        <f>15575-2450-6+(11694-1145)</f>
        <v>23668</v>
      </c>
      <c r="D30" s="394"/>
      <c r="E30" s="393">
        <f>1145+3</f>
        <v>1148</v>
      </c>
      <c r="F30" s="393">
        <f>SUM(B30:E30)</f>
        <v>27272</v>
      </c>
      <c r="H30" s="397"/>
    </row>
    <row r="31" spans="1:11" x14ac:dyDescent="0.25">
      <c r="A31" s="639" t="s">
        <v>31</v>
      </c>
      <c r="B31" s="393">
        <v>0</v>
      </c>
      <c r="C31" s="393">
        <v>17012</v>
      </c>
      <c r="D31" s="394"/>
      <c r="E31" s="393">
        <v>0</v>
      </c>
      <c r="F31" s="393">
        <f>SUM(B31:E31)</f>
        <v>17012</v>
      </c>
      <c r="H31" s="397"/>
    </row>
    <row r="32" spans="1:11" x14ac:dyDescent="0.25">
      <c r="A32" s="639" t="s">
        <v>252</v>
      </c>
      <c r="B32" s="393">
        <v>0</v>
      </c>
      <c r="C32" s="393">
        <v>151542</v>
      </c>
      <c r="D32" s="394"/>
      <c r="E32" s="393">
        <v>0</v>
      </c>
      <c r="F32" s="393">
        <f>SUM(B32:E32)</f>
        <v>151542</v>
      </c>
      <c r="H32" s="397"/>
    </row>
    <row r="33" spans="1:12" x14ac:dyDescent="0.25">
      <c r="A33" s="639" t="s">
        <v>253</v>
      </c>
      <c r="B33" s="421">
        <v>0</v>
      </c>
      <c r="C33" s="421">
        <v>375000</v>
      </c>
      <c r="D33" s="394"/>
      <c r="E33" s="421">
        <v>300000</v>
      </c>
      <c r="F33" s="421">
        <f>SUM(B33:E33)</f>
        <v>675000</v>
      </c>
      <c r="H33" s="397"/>
    </row>
    <row r="34" spans="1:12" x14ac:dyDescent="0.25">
      <c r="A34" s="428" t="s">
        <v>254</v>
      </c>
      <c r="B34" s="415">
        <f>SUM(B30:B33)</f>
        <v>2456</v>
      </c>
      <c r="C34" s="415">
        <f>SUM(C30:C33)</f>
        <v>567222</v>
      </c>
      <c r="D34" s="415"/>
      <c r="E34" s="415">
        <f>SUM(E30:E33)</f>
        <v>301148</v>
      </c>
      <c r="F34" s="415">
        <f>SUM(B34:E34)</f>
        <v>870826</v>
      </c>
    </row>
    <row r="35" spans="1:12" x14ac:dyDescent="0.25">
      <c r="A35" s="428"/>
      <c r="B35" s="394"/>
      <c r="C35" s="394"/>
      <c r="D35" s="394"/>
      <c r="E35" s="394"/>
      <c r="F35" s="394"/>
    </row>
    <row r="36" spans="1:12" x14ac:dyDescent="0.25">
      <c r="A36" s="404" t="s">
        <v>255</v>
      </c>
      <c r="B36" s="393"/>
      <c r="C36" s="393"/>
      <c r="D36" s="394"/>
      <c r="E36" s="393"/>
      <c r="F36" s="393"/>
    </row>
    <row r="37" spans="1:12" ht="26.4" x14ac:dyDescent="0.25">
      <c r="A37" s="638" t="s">
        <v>256</v>
      </c>
      <c r="B37" s="394"/>
      <c r="C37" s="394"/>
      <c r="D37" s="394"/>
      <c r="E37" s="394"/>
      <c r="F37" s="394"/>
    </row>
    <row r="38" spans="1:12" x14ac:dyDescent="0.25">
      <c r="A38" s="428" t="s">
        <v>251</v>
      </c>
      <c r="B38" s="394">
        <v>0</v>
      </c>
      <c r="C38" s="394">
        <v>248814</v>
      </c>
      <c r="D38" s="394"/>
      <c r="E38" s="394">
        <v>0</v>
      </c>
      <c r="F38" s="394">
        <f t="shared" ref="F38:F44" si="0">SUM(B38:E38)</f>
        <v>248814</v>
      </c>
    </row>
    <row r="39" spans="1:12" x14ac:dyDescent="0.25">
      <c r="A39" s="639" t="s">
        <v>257</v>
      </c>
      <c r="B39" s="393">
        <v>0</v>
      </c>
      <c r="C39" s="393">
        <f>9712+6-5549</f>
        <v>4169</v>
      </c>
      <c r="D39" s="394"/>
      <c r="E39" s="393">
        <f>200+5549-3</f>
        <v>5746</v>
      </c>
      <c r="F39" s="393">
        <f>SUM(B39:E39)</f>
        <v>9915</v>
      </c>
    </row>
    <row r="40" spans="1:12" ht="26.4" x14ac:dyDescent="0.25">
      <c r="A40" s="638" t="s">
        <v>258</v>
      </c>
      <c r="B40" s="393">
        <v>226058</v>
      </c>
      <c r="C40" s="393">
        <v>0</v>
      </c>
      <c r="D40" s="394"/>
      <c r="E40" s="393">
        <v>0</v>
      </c>
      <c r="F40" s="394">
        <f t="shared" si="0"/>
        <v>226058</v>
      </c>
    </row>
    <row r="41" spans="1:12" x14ac:dyDescent="0.25">
      <c r="A41" s="639" t="s">
        <v>259</v>
      </c>
      <c r="B41" s="393">
        <v>40000</v>
      </c>
      <c r="C41" s="393">
        <v>155000</v>
      </c>
      <c r="D41" s="394"/>
      <c r="E41" s="393">
        <v>0</v>
      </c>
      <c r="F41" s="394">
        <f t="shared" si="0"/>
        <v>195000</v>
      </c>
    </row>
    <row r="42" spans="1:12" x14ac:dyDescent="0.25">
      <c r="A42" s="639" t="s">
        <v>151</v>
      </c>
      <c r="B42" s="393">
        <f>(0.05*1046861+0.05*(-908618+11714-61382+118419+3489126+431687+878153-3)+0.05*(-945111))*0.32+(34961)</f>
        <v>99934.536000000022</v>
      </c>
      <c r="C42" s="393">
        <f>(0.05*1046861+0.05*(-908618+11714-61382+118419+3489126+431687+878153-3)+0.05*(-945111))*0.68+(73200)</f>
        <v>211268.76400000005</v>
      </c>
      <c r="D42" s="394"/>
      <c r="E42" s="393">
        <f>(1093)</f>
        <v>1093</v>
      </c>
      <c r="F42" s="394">
        <f t="shared" si="0"/>
        <v>312296.30000000005</v>
      </c>
      <c r="H42" s="396"/>
      <c r="J42" s="393"/>
      <c r="L42" s="397"/>
    </row>
    <row r="43" spans="1:12" x14ac:dyDescent="0.25">
      <c r="A43" s="639" t="s">
        <v>152</v>
      </c>
      <c r="B43" s="393">
        <f>0.05*1474358*0.32</f>
        <v>23589.728000000003</v>
      </c>
      <c r="C43" s="393">
        <f>0.05*1474358*0.68</f>
        <v>50128.172000000006</v>
      </c>
      <c r="D43" s="394"/>
      <c r="E43" s="393">
        <v>0</v>
      </c>
      <c r="F43" s="394">
        <f t="shared" si="0"/>
        <v>73717.900000000009</v>
      </c>
      <c r="H43" s="397"/>
    </row>
    <row r="44" spans="1:12" x14ac:dyDescent="0.25">
      <c r="A44" s="639" t="s">
        <v>252</v>
      </c>
      <c r="B44" s="421">
        <v>0</v>
      </c>
      <c r="C44" s="421">
        <v>1763458</v>
      </c>
      <c r="D44" s="394"/>
      <c r="E44" s="421">
        <v>0</v>
      </c>
      <c r="F44" s="421">
        <f t="shared" si="0"/>
        <v>1763458</v>
      </c>
    </row>
    <row r="45" spans="1:12" x14ac:dyDescent="0.25">
      <c r="A45" s="428" t="s">
        <v>260</v>
      </c>
      <c r="B45" s="415">
        <f>SUM(B37:B44)</f>
        <v>389582.26400000002</v>
      </c>
      <c r="C45" s="415">
        <f>SUM(C37:C44)</f>
        <v>2432837.9360000002</v>
      </c>
      <c r="D45" s="415"/>
      <c r="E45" s="415">
        <f>SUM(E37:E44)</f>
        <v>6839</v>
      </c>
      <c r="F45" s="415">
        <f>SUM(B45:E45)</f>
        <v>2829259.2</v>
      </c>
    </row>
    <row r="46" spans="1:12" x14ac:dyDescent="0.25">
      <c r="A46" s="429" t="s">
        <v>39</v>
      </c>
      <c r="B46" s="415">
        <f>B45+B34</f>
        <v>392038.26400000002</v>
      </c>
      <c r="C46" s="415">
        <f>C45+C34</f>
        <v>3000059.9360000002</v>
      </c>
      <c r="D46" s="415"/>
      <c r="E46" s="415">
        <f>E45+E34</f>
        <v>307987</v>
      </c>
      <c r="F46" s="415">
        <f>SUM(B46:E46)</f>
        <v>3700085.2</v>
      </c>
      <c r="H46" s="450"/>
    </row>
    <row r="47" spans="1:12" x14ac:dyDescent="0.25">
      <c r="A47" s="429"/>
      <c r="B47" s="394"/>
      <c r="C47" s="394"/>
      <c r="D47" s="394"/>
      <c r="E47" s="394"/>
      <c r="F47" s="394"/>
    </row>
    <row r="48" spans="1:12" x14ac:dyDescent="0.25">
      <c r="A48" s="42" t="s">
        <v>40</v>
      </c>
      <c r="B48" s="394">
        <f>'GWNetPos 68 Exh 1'!C40*0.32</f>
        <v>10978.848000000005</v>
      </c>
      <c r="C48" s="394">
        <f>'GWNetPos 68 Exh 1'!C40*0.67</f>
        <v>22986.963000000011</v>
      </c>
      <c r="D48" s="394"/>
      <c r="E48" s="394">
        <f>'GWNetPos 68 Exh 1'!C40*0.01</f>
        <v>343.08900000000017</v>
      </c>
      <c r="F48" s="394">
        <f>SUM(B48:E48)</f>
        <v>34308.900000000016</v>
      </c>
      <c r="H48" s="396"/>
    </row>
    <row r="49" spans="1:13" x14ac:dyDescent="0.25">
      <c r="B49" s="393"/>
      <c r="C49" s="393"/>
      <c r="D49" s="394"/>
      <c r="E49" s="393"/>
      <c r="F49" s="393"/>
    </row>
    <row r="50" spans="1:13" x14ac:dyDescent="0.25">
      <c r="A50" s="38" t="s">
        <v>41</v>
      </c>
      <c r="B50" s="393"/>
      <c r="C50" s="393"/>
      <c r="D50" s="394"/>
      <c r="E50" s="393"/>
      <c r="F50" s="393"/>
    </row>
    <row r="51" spans="1:13" x14ac:dyDescent="0.25">
      <c r="A51" s="641" t="s">
        <v>42</v>
      </c>
      <c r="B51" s="393">
        <v>1885501</v>
      </c>
      <c r="C51" s="393">
        <v>4923099</v>
      </c>
      <c r="D51" s="394"/>
      <c r="E51" s="393">
        <v>5749</v>
      </c>
      <c r="F51" s="393">
        <f>SUM(B51:E51)</f>
        <v>6814349</v>
      </c>
    </row>
    <row r="52" spans="1:13" x14ac:dyDescent="0.25">
      <c r="A52" s="641" t="s">
        <v>51</v>
      </c>
      <c r="B52" s="421">
        <f>B53-B51</f>
        <v>-31535.719999999972</v>
      </c>
      <c r="C52" s="421">
        <f>C53-C51</f>
        <v>179483.57799999882</v>
      </c>
      <c r="D52" s="394"/>
      <c r="E52" s="421">
        <f>E53-E51</f>
        <v>1617.1420000000289</v>
      </c>
      <c r="F52" s="421">
        <f>SUM(B52:E52)</f>
        <v>149564.99999999886</v>
      </c>
      <c r="H52" s="396"/>
    </row>
    <row r="53" spans="1:13" ht="13.8" thickBot="1" x14ac:dyDescent="0.3">
      <c r="A53" s="641" t="s">
        <v>52</v>
      </c>
      <c r="B53" s="392">
        <f>B24+B26-B46-B48-1</f>
        <v>1853965.28</v>
      </c>
      <c r="C53" s="392">
        <f>C24+C26-C46-C48-1+1-1</f>
        <v>5102582.5779999988</v>
      </c>
      <c r="D53" s="392"/>
      <c r="E53" s="392">
        <f>E24+E26-E46-E48</f>
        <v>7366.1420000000289</v>
      </c>
      <c r="F53" s="392">
        <f>SUM(B53:E53)</f>
        <v>6963913.9999999991</v>
      </c>
      <c r="H53" s="397"/>
      <c r="I53" s="430">
        <f>H53/0.05</f>
        <v>0</v>
      </c>
      <c r="K53" s="397"/>
      <c r="L53" s="396"/>
      <c r="M53" s="396"/>
    </row>
    <row r="54" spans="1:13" ht="13.8" thickTop="1" x14ac:dyDescent="0.25">
      <c r="A54" s="641"/>
    </row>
    <row r="55" spans="1:13" x14ac:dyDescent="0.25">
      <c r="A55" s="404" t="str">
        <f>'GWNetPos 68 Exh 1'!A61</f>
        <v>The notes to the financial statements are an integral part of this statement.</v>
      </c>
    </row>
    <row r="56" spans="1:13" ht="6.75" customHeight="1" x14ac:dyDescent="0.25"/>
    <row r="57" spans="1:13" ht="13.8" thickBot="1" x14ac:dyDescent="0.3"/>
    <row r="58" spans="1:13" x14ac:dyDescent="0.25">
      <c r="A58" s="889" t="s">
        <v>261</v>
      </c>
      <c r="B58" s="866"/>
      <c r="C58" s="866"/>
      <c r="D58" s="866"/>
      <c r="E58" s="866"/>
      <c r="F58" s="867"/>
    </row>
    <row r="59" spans="1:13" ht="13.8" thickBot="1" x14ac:dyDescent="0.3">
      <c r="A59" s="871"/>
      <c r="B59" s="872"/>
      <c r="C59" s="872"/>
      <c r="D59" s="872"/>
      <c r="E59" s="872"/>
      <c r="F59" s="873"/>
    </row>
    <row r="60" spans="1:13" ht="13.8" thickBot="1" x14ac:dyDescent="0.3"/>
    <row r="61" spans="1:13" x14ac:dyDescent="0.25">
      <c r="A61" s="880" t="s">
        <v>262</v>
      </c>
      <c r="B61" s="881"/>
      <c r="C61" s="881"/>
      <c r="D61" s="881"/>
      <c r="E61" s="881"/>
      <c r="F61" s="882"/>
    </row>
    <row r="62" spans="1:13" x14ac:dyDescent="0.25">
      <c r="A62" s="883"/>
      <c r="B62" s="884"/>
      <c r="C62" s="884"/>
      <c r="D62" s="884"/>
      <c r="E62" s="884"/>
      <c r="F62" s="885"/>
    </row>
    <row r="63" spans="1:13" x14ac:dyDescent="0.25">
      <c r="A63" s="883"/>
      <c r="B63" s="884"/>
      <c r="C63" s="884"/>
      <c r="D63" s="884"/>
      <c r="E63" s="884"/>
      <c r="F63" s="885"/>
    </row>
    <row r="64" spans="1:13" ht="13.8" thickBot="1" x14ac:dyDescent="0.3">
      <c r="A64" s="886"/>
      <c r="B64" s="887"/>
      <c r="C64" s="887"/>
      <c r="D64" s="887"/>
      <c r="E64" s="887"/>
      <c r="F64" s="888"/>
    </row>
  </sheetData>
  <customSheetViews>
    <customSheetView guid="{A8748736-0722-49EB-85B6-C9B52DDCFE0E}" showPageBreaks="1" printArea="1" hiddenColumns="1" topLeftCell="A46">
      <selection activeCell="K16" sqref="K16"/>
      <pageMargins left="0.75" right="0.75" top="1" bottom="1" header="0.5" footer="0.5"/>
      <printOptions horizontalCentered="1"/>
      <pageSetup scale="74" firstPageNumber="32" orientation="portrait" useFirstPageNumber="1" r:id="rId1"/>
      <headerFooter alignWithMargins="0"/>
    </customSheetView>
    <customSheetView guid="{E0C60316-4586-4AAF-92CB-FA82BB1EB755}" topLeftCell="A35">
      <pageMargins left="0" right="0" top="0" bottom="0" header="0" footer="0"/>
      <printOptions horizontalCentered="1"/>
      <pageSetup scale="76" firstPageNumber="32" orientation="portrait" useFirstPageNumber="1" r:id="rId2"/>
      <headerFooter alignWithMargins="0"/>
    </customSheetView>
  </customSheetViews>
  <mergeCells count="6">
    <mergeCell ref="A61:F64"/>
    <mergeCell ref="A2:F2"/>
    <mergeCell ref="A3:F3"/>
    <mergeCell ref="A4:F4"/>
    <mergeCell ref="A5:F5"/>
    <mergeCell ref="A58:F59"/>
  </mergeCells>
  <phoneticPr fontId="0" type="noConversion"/>
  <printOptions horizontalCentered="1"/>
  <pageMargins left="0.75" right="0.75" top="1" bottom="1" header="0.5" footer="0.5"/>
  <pageSetup scale="74" firstPageNumber="32" orientation="portrait" useFirstPageNumber="1"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9"/>
  <sheetViews>
    <sheetView workbookViewId="0"/>
  </sheetViews>
  <sheetFormatPr defaultColWidth="9.109375" defaultRowHeight="13.2" x14ac:dyDescent="0.25"/>
  <cols>
    <col min="1" max="1" width="37.6640625" style="404" customWidth="1"/>
    <col min="2" max="2" width="13.44140625" style="404" customWidth="1"/>
    <col min="3" max="3" width="12.5546875" style="404" customWidth="1"/>
    <col min="4" max="4" width="2.88671875" style="435" customWidth="1"/>
    <col min="5" max="5" width="12.5546875" style="404" customWidth="1"/>
    <col min="6" max="6" width="13.44140625" style="404" customWidth="1"/>
    <col min="7" max="7" width="12" style="404" bestFit="1" customWidth="1"/>
    <col min="8" max="8" width="12.109375" style="404" bestFit="1" customWidth="1"/>
    <col min="9" max="16384" width="9.109375" style="404"/>
  </cols>
  <sheetData>
    <row r="1" spans="1:6" x14ac:dyDescent="0.25">
      <c r="F1" s="635" t="s">
        <v>263</v>
      </c>
    </row>
    <row r="2" spans="1:6" x14ac:dyDescent="0.25">
      <c r="A2" s="859" t="s">
        <v>1</v>
      </c>
      <c r="B2" s="859"/>
      <c r="C2" s="859"/>
      <c r="D2" s="859"/>
      <c r="E2" s="859"/>
      <c r="F2" s="859"/>
    </row>
    <row r="3" spans="1:6" x14ac:dyDescent="0.25">
      <c r="A3" s="859" t="s">
        <v>264</v>
      </c>
      <c r="B3" s="859"/>
      <c r="C3" s="859"/>
      <c r="D3" s="859"/>
      <c r="E3" s="859"/>
      <c r="F3" s="859"/>
    </row>
    <row r="4" spans="1:6" x14ac:dyDescent="0.25">
      <c r="A4" s="859" t="s">
        <v>240</v>
      </c>
      <c r="B4" s="859"/>
      <c r="C4" s="859"/>
      <c r="D4" s="859"/>
      <c r="E4" s="859"/>
      <c r="F4" s="859"/>
    </row>
    <row r="5" spans="1:6" x14ac:dyDescent="0.25">
      <c r="A5" s="859" t="str">
        <f>'GWStmtAct 68 Exh 2'!A4</f>
        <v>For the Year Ended June 30, 2022</v>
      </c>
      <c r="B5" s="859"/>
      <c r="C5" s="859"/>
      <c r="D5" s="859"/>
      <c r="E5" s="859"/>
      <c r="F5" s="859"/>
    </row>
    <row r="7" spans="1:6" x14ac:dyDescent="0.25">
      <c r="B7" s="39" t="s">
        <v>112</v>
      </c>
      <c r="C7" s="434"/>
      <c r="D7" s="404"/>
      <c r="E7" s="39" t="s">
        <v>113</v>
      </c>
    </row>
    <row r="8" spans="1:6" ht="39.6" x14ac:dyDescent="0.25">
      <c r="B8" s="655" t="s">
        <v>241</v>
      </c>
      <c r="C8" s="655" t="s">
        <v>242</v>
      </c>
      <c r="D8" s="655"/>
      <c r="E8" s="655" t="s">
        <v>243</v>
      </c>
      <c r="F8" s="655" t="s">
        <v>8</v>
      </c>
    </row>
    <row r="9" spans="1:6" x14ac:dyDescent="0.25">
      <c r="A9" s="38" t="s">
        <v>265</v>
      </c>
    </row>
    <row r="10" spans="1:6" x14ac:dyDescent="0.25">
      <c r="A10" s="404" t="s">
        <v>266</v>
      </c>
      <c r="B10" s="413">
        <f>226095-100</f>
        <v>225995</v>
      </c>
      <c r="C10" s="413">
        <f>790108-11957+7957+4000-5000-6000</f>
        <v>779108</v>
      </c>
      <c r="D10" s="413"/>
      <c r="E10" s="413">
        <f>1000+11957-7957-4000</f>
        <v>1000</v>
      </c>
      <c r="F10" s="413">
        <f>SUM(B10:E10)</f>
        <v>1006103</v>
      </c>
    </row>
    <row r="11" spans="1:6" x14ac:dyDescent="0.25">
      <c r="A11" s="404" t="s">
        <v>267</v>
      </c>
      <c r="B11" s="394">
        <v>0</v>
      </c>
      <c r="C11" s="394">
        <v>7100</v>
      </c>
      <c r="D11" s="394"/>
      <c r="E11" s="394">
        <v>5000</v>
      </c>
      <c r="F11" s="394">
        <f>SUM(B11:E11)</f>
        <v>12100</v>
      </c>
    </row>
    <row r="12" spans="1:6" x14ac:dyDescent="0.25">
      <c r="A12" s="404" t="s">
        <v>170</v>
      </c>
      <c r="B12" s="421">
        <v>100</v>
      </c>
      <c r="C12" s="421">
        <v>430</v>
      </c>
      <c r="D12" s="394"/>
      <c r="E12" s="421">
        <v>100</v>
      </c>
      <c r="F12" s="421">
        <f>SUM(B12:E12)</f>
        <v>630</v>
      </c>
    </row>
    <row r="13" spans="1:6" x14ac:dyDescent="0.25">
      <c r="A13" s="639" t="s">
        <v>268</v>
      </c>
      <c r="B13" s="415">
        <f>SUM(B10:B12)</f>
        <v>226095</v>
      </c>
      <c r="C13" s="415">
        <f>SUM(C10:C12)</f>
        <v>786638</v>
      </c>
      <c r="D13" s="415"/>
      <c r="E13" s="415">
        <f>SUM(E10:E12)</f>
        <v>6100</v>
      </c>
      <c r="F13" s="415">
        <f>SUM(F10:G12)</f>
        <v>1018833</v>
      </c>
    </row>
    <row r="14" spans="1:6" x14ac:dyDescent="0.25">
      <c r="B14" s="393"/>
      <c r="C14" s="393"/>
      <c r="D14" s="394"/>
      <c r="E14" s="393"/>
      <c r="F14" s="393"/>
    </row>
    <row r="15" spans="1:6" x14ac:dyDescent="0.25">
      <c r="A15" s="38" t="s">
        <v>269</v>
      </c>
      <c r="B15" s="393"/>
      <c r="C15" s="393"/>
      <c r="D15" s="394"/>
      <c r="E15" s="393"/>
      <c r="F15" s="393"/>
    </row>
    <row r="16" spans="1:6" x14ac:dyDescent="0.25">
      <c r="A16" s="404" t="s">
        <v>270</v>
      </c>
      <c r="B16" s="393">
        <f>24033+500+(20565+24785-20565)</f>
        <v>49318</v>
      </c>
      <c r="C16" s="393">
        <f>64052+0.05*0.68*(1201758)+0.63+0.05*0.68*(66767)+(43059+51893-43059)+643</f>
        <v>159718.47999999998</v>
      </c>
      <c r="D16" s="394"/>
      <c r="E16" s="393">
        <f>2110+(643+775-643)-643+2</f>
        <v>2244</v>
      </c>
      <c r="F16" s="394">
        <f>SUM(B16:E16)</f>
        <v>211280.47999999998</v>
      </c>
    </row>
    <row r="17" spans="1:8" x14ac:dyDescent="0.25">
      <c r="A17" s="404" t="s">
        <v>271</v>
      </c>
      <c r="B17" s="393">
        <v>0</v>
      </c>
      <c r="C17" s="393">
        <f>31215+100</f>
        <v>31315</v>
      </c>
      <c r="D17" s="394"/>
      <c r="E17" s="393">
        <v>500</v>
      </c>
      <c r="F17" s="394">
        <f t="shared" ref="F17:F26" si="0">SUM(B17:E17)</f>
        <v>31815</v>
      </c>
    </row>
    <row r="18" spans="1:8" x14ac:dyDescent="0.25">
      <c r="A18" s="404" t="s">
        <v>272</v>
      </c>
      <c r="B18" s="393">
        <v>0</v>
      </c>
      <c r="C18" s="393">
        <f>68870+106</f>
        <v>68976</v>
      </c>
      <c r="D18" s="394"/>
      <c r="E18" s="393">
        <v>0</v>
      </c>
      <c r="F18" s="394">
        <f t="shared" si="0"/>
        <v>68976</v>
      </c>
    </row>
    <row r="19" spans="1:8" x14ac:dyDescent="0.25">
      <c r="A19" s="404" t="s">
        <v>273</v>
      </c>
      <c r="B19" s="393">
        <v>0</v>
      </c>
      <c r="C19" s="393">
        <v>22949</v>
      </c>
      <c r="D19" s="394"/>
      <c r="E19" s="393">
        <v>0</v>
      </c>
      <c r="F19" s="394">
        <f t="shared" si="0"/>
        <v>22949</v>
      </c>
    </row>
    <row r="20" spans="1:8" x14ac:dyDescent="0.25">
      <c r="A20" s="404" t="s">
        <v>274</v>
      </c>
      <c r="B20" s="393">
        <v>0</v>
      </c>
      <c r="C20" s="393">
        <v>31172</v>
      </c>
      <c r="D20" s="394"/>
      <c r="E20" s="393">
        <v>0</v>
      </c>
      <c r="F20" s="394">
        <f t="shared" si="0"/>
        <v>31172</v>
      </c>
    </row>
    <row r="21" spans="1:8" x14ac:dyDescent="0.25">
      <c r="A21" s="404" t="s">
        <v>275</v>
      </c>
      <c r="B21" s="393">
        <v>0</v>
      </c>
      <c r="C21" s="393">
        <v>25026</v>
      </c>
      <c r="D21" s="394"/>
      <c r="E21" s="393">
        <v>0</v>
      </c>
      <c r="F21" s="394">
        <f t="shared" si="0"/>
        <v>25026</v>
      </c>
    </row>
    <row r="22" spans="1:8" x14ac:dyDescent="0.25">
      <c r="A22" s="404" t="s">
        <v>276</v>
      </c>
      <c r="B22" s="393">
        <v>0</v>
      </c>
      <c r="C22" s="393">
        <v>23640</v>
      </c>
      <c r="D22" s="394"/>
      <c r="E22" s="393">
        <v>0</v>
      </c>
      <c r="F22" s="394">
        <f t="shared" si="0"/>
        <v>23640</v>
      </c>
    </row>
    <row r="23" spans="1:8" x14ac:dyDescent="0.25">
      <c r="A23" s="404" t="s">
        <v>277</v>
      </c>
      <c r="B23" s="393">
        <v>0</v>
      </c>
      <c r="C23" s="393">
        <v>5369</v>
      </c>
      <c r="D23" s="394"/>
      <c r="E23" s="393">
        <v>0</v>
      </c>
      <c r="F23" s="394">
        <f t="shared" si="0"/>
        <v>5369</v>
      </c>
    </row>
    <row r="24" spans="1:8" x14ac:dyDescent="0.25">
      <c r="A24" s="404" t="s">
        <v>278</v>
      </c>
      <c r="B24" s="393">
        <v>0</v>
      </c>
      <c r="C24" s="393">
        <v>6892</v>
      </c>
      <c r="D24" s="394"/>
      <c r="E24" s="393">
        <v>0</v>
      </c>
      <c r="F24" s="394">
        <f t="shared" si="0"/>
        <v>6892</v>
      </c>
    </row>
    <row r="25" spans="1:8" x14ac:dyDescent="0.25">
      <c r="A25" s="404" t="s">
        <v>279</v>
      </c>
      <c r="B25" s="393">
        <f>165199-19+0.05*0.32*(1201758)+0.12+0.05*0.32*(66767)</f>
        <v>185476.52</v>
      </c>
      <c r="C25" s="393">
        <v>0</v>
      </c>
      <c r="D25" s="394"/>
      <c r="E25" s="393">
        <v>0</v>
      </c>
      <c r="F25" s="394">
        <f t="shared" si="0"/>
        <v>185476.52</v>
      </c>
    </row>
    <row r="26" spans="1:8" x14ac:dyDescent="0.25">
      <c r="A26" s="641" t="s">
        <v>280</v>
      </c>
      <c r="B26" s="393">
        <v>46274</v>
      </c>
      <c r="C26" s="393">
        <v>0</v>
      </c>
      <c r="D26" s="394"/>
      <c r="E26" s="393">
        <v>0</v>
      </c>
      <c r="F26" s="394">
        <f t="shared" si="0"/>
        <v>46274</v>
      </c>
    </row>
    <row r="27" spans="1:8" x14ac:dyDescent="0.25">
      <c r="A27" s="404" t="s">
        <v>281</v>
      </c>
      <c r="B27" s="421">
        <v>50241</v>
      </c>
      <c r="C27" s="421">
        <v>200963</v>
      </c>
      <c r="D27" s="394"/>
      <c r="E27" s="421">
        <v>0</v>
      </c>
      <c r="F27" s="421">
        <f>SUM(B27:E27)</f>
        <v>251204</v>
      </c>
    </row>
    <row r="28" spans="1:8" x14ac:dyDescent="0.25">
      <c r="A28" s="639" t="s">
        <v>282</v>
      </c>
      <c r="B28" s="415">
        <f>SUM(B16:B27)</f>
        <v>331309.52</v>
      </c>
      <c r="C28" s="415">
        <f>SUM(C16:C27)</f>
        <v>576020.47999999998</v>
      </c>
      <c r="D28" s="415"/>
      <c r="E28" s="415">
        <f>SUM(E16:E27)</f>
        <v>2744</v>
      </c>
      <c r="F28" s="415">
        <f>SUM(B28:E28)</f>
        <v>910074</v>
      </c>
    </row>
    <row r="29" spans="1:8" x14ac:dyDescent="0.25">
      <c r="A29" s="428" t="s">
        <v>283</v>
      </c>
      <c r="B29" s="415">
        <f>B13-B28</f>
        <v>-105214.52000000002</v>
      </c>
      <c r="C29" s="415">
        <f>C13-C28</f>
        <v>210617.52000000002</v>
      </c>
      <c r="D29" s="415"/>
      <c r="E29" s="415">
        <f>E13-E28</f>
        <v>3356</v>
      </c>
      <c r="F29" s="415">
        <f>SUM(B29:E29)</f>
        <v>108759</v>
      </c>
      <c r="H29" s="423"/>
    </row>
    <row r="30" spans="1:8" x14ac:dyDescent="0.25">
      <c r="B30" s="393"/>
      <c r="C30" s="393"/>
      <c r="D30" s="394"/>
      <c r="E30" s="393"/>
      <c r="F30" s="393"/>
    </row>
    <row r="31" spans="1:8" x14ac:dyDescent="0.25">
      <c r="A31" s="38" t="s">
        <v>284</v>
      </c>
      <c r="B31" s="393"/>
      <c r="C31" s="393"/>
      <c r="D31" s="394"/>
      <c r="E31" s="393"/>
      <c r="F31" s="393"/>
    </row>
    <row r="32" spans="1:8" x14ac:dyDescent="0.25">
      <c r="A32" s="404" t="s">
        <v>285</v>
      </c>
      <c r="B32" s="393">
        <v>1000</v>
      </c>
      <c r="C32" s="393">
        <v>0</v>
      </c>
      <c r="D32" s="394"/>
      <c r="E32" s="393">
        <v>0</v>
      </c>
      <c r="F32" s="394">
        <f t="shared" ref="F32:F39" si="1">SUM(B32:E32)</f>
        <v>1000</v>
      </c>
    </row>
    <row r="33" spans="1:10" x14ac:dyDescent="0.25">
      <c r="A33" s="404" t="s">
        <v>286</v>
      </c>
      <c r="B33" s="393">
        <f>74811-32811</f>
        <v>42000</v>
      </c>
      <c r="C33" s="393">
        <v>0</v>
      </c>
      <c r="D33" s="394"/>
      <c r="E33" s="393">
        <v>0</v>
      </c>
      <c r="F33" s="394">
        <f t="shared" si="1"/>
        <v>42000</v>
      </c>
    </row>
    <row r="34" spans="1:10" x14ac:dyDescent="0.25">
      <c r="A34" s="404" t="s">
        <v>287</v>
      </c>
      <c r="B34" s="393">
        <v>58000</v>
      </c>
      <c r="C34" s="393">
        <v>0</v>
      </c>
      <c r="D34" s="394"/>
      <c r="E34" s="393">
        <v>0</v>
      </c>
      <c r="F34" s="394">
        <f t="shared" si="1"/>
        <v>58000</v>
      </c>
    </row>
    <row r="35" spans="1:10" x14ac:dyDescent="0.25">
      <c r="A35" s="641" t="s">
        <v>288</v>
      </c>
      <c r="B35" s="393">
        <v>917</v>
      </c>
      <c r="C35" s="393">
        <f>5043-10+32162</f>
        <v>37195</v>
      </c>
      <c r="D35" s="394"/>
      <c r="E35" s="393">
        <v>10</v>
      </c>
      <c r="F35" s="421">
        <f>SUM(B35:E35)</f>
        <v>38122</v>
      </c>
    </row>
    <row r="36" spans="1:10" x14ac:dyDescent="0.25">
      <c r="A36" s="638" t="s">
        <v>289</v>
      </c>
      <c r="B36" s="415">
        <f>SUM(B32:B35)</f>
        <v>101917</v>
      </c>
      <c r="C36" s="415">
        <f>SUM(C32:C35)</f>
        <v>37195</v>
      </c>
      <c r="D36" s="415"/>
      <c r="E36" s="415">
        <f>SUM(E32:E35)</f>
        <v>10</v>
      </c>
      <c r="F36" s="415">
        <f>SUM(F32:F35)</f>
        <v>139122</v>
      </c>
    </row>
    <row r="37" spans="1:10" ht="26.4" x14ac:dyDescent="0.25">
      <c r="A37" s="442" t="s">
        <v>290</v>
      </c>
      <c r="B37" s="393">
        <f>B29+B36</f>
        <v>-3297.5200000000186</v>
      </c>
      <c r="C37" s="393">
        <f>C29+C36</f>
        <v>247812.52000000002</v>
      </c>
      <c r="D37" s="394"/>
      <c r="E37" s="393">
        <f>E29+E36</f>
        <v>3366</v>
      </c>
      <c r="F37" s="394">
        <f>SUM(B37:E37)</f>
        <v>247881</v>
      </c>
    </row>
    <row r="38" spans="1:10" x14ac:dyDescent="0.25">
      <c r="A38" s="641" t="s">
        <v>291</v>
      </c>
      <c r="B38" s="394">
        <v>0</v>
      </c>
      <c r="C38" s="394">
        <f>121348+4000-4000</f>
        <v>121348</v>
      </c>
      <c r="D38" s="394"/>
      <c r="E38" s="394">
        <v>4000</v>
      </c>
      <c r="F38" s="394">
        <f>SUM(B38:E38)</f>
        <v>125348</v>
      </c>
    </row>
    <row r="39" spans="1:10" x14ac:dyDescent="0.25">
      <c r="A39" s="641" t="s">
        <v>186</v>
      </c>
      <c r="B39" s="421">
        <v>0</v>
      </c>
      <c r="C39" s="421">
        <v>100000</v>
      </c>
      <c r="D39" s="421"/>
      <c r="E39" s="421">
        <v>0</v>
      </c>
      <c r="F39" s="421">
        <f t="shared" si="1"/>
        <v>100000</v>
      </c>
    </row>
    <row r="40" spans="1:10" x14ac:dyDescent="0.25">
      <c r="A40" s="442" t="s">
        <v>99</v>
      </c>
      <c r="B40" s="393">
        <f>SUM(B37:B39)</f>
        <v>-3297.5200000000186</v>
      </c>
      <c r="C40" s="393">
        <f>SUM(C37:C39)</f>
        <v>469160.52</v>
      </c>
      <c r="D40" s="394"/>
      <c r="E40" s="393">
        <f>SUM(E37:E39)</f>
        <v>7366</v>
      </c>
      <c r="F40" s="393">
        <f>SUM(F37:F39)</f>
        <v>473229</v>
      </c>
    </row>
    <row r="41" spans="1:10" hidden="1" x14ac:dyDescent="0.25">
      <c r="A41" s="641" t="s">
        <v>292</v>
      </c>
      <c r="B41" s="394">
        <v>1905210</v>
      </c>
      <c r="C41" s="394">
        <f>4736025</f>
        <v>4736025</v>
      </c>
      <c r="D41" s="394"/>
      <c r="E41" s="394">
        <v>0</v>
      </c>
      <c r="F41" s="394">
        <f>SUM(B41:E41)</f>
        <v>6641235</v>
      </c>
      <c r="G41" s="396"/>
      <c r="H41" s="430"/>
    </row>
    <row r="42" spans="1:10" x14ac:dyDescent="0.25">
      <c r="A42" s="641" t="s">
        <v>107</v>
      </c>
      <c r="B42" s="394">
        <f>1877063-0.05*0.32*102330+0.05*0.32*875000-0.05*0.32*(563668-880000)-6480.38+0.24-0.05*0.32*(1987185-35651)+481</f>
        <v>1857263.348</v>
      </c>
      <c r="C42" s="394">
        <f>4676213-0.05*0.68*102330+0.05*0.68*875000-0.05*0.68*(563668-880000)-13770.24+0.51-0.07-0.05*0.68*(1987185-35651)+306-1</f>
        <v>4633422.1119999988</v>
      </c>
      <c r="D42" s="394"/>
      <c r="E42" s="394">
        <f>E41</f>
        <v>0</v>
      </c>
      <c r="F42" s="394">
        <f>SUM(B42:E42)-0.7</f>
        <v>6490684.7599999988</v>
      </c>
      <c r="H42" s="396"/>
    </row>
    <row r="43" spans="1:10" ht="13.8" thickBot="1" x14ac:dyDescent="0.3">
      <c r="A43" s="404" t="s">
        <v>293</v>
      </c>
      <c r="B43" s="392">
        <f>SUM(B40+B42)-1</f>
        <v>1853964.828</v>
      </c>
      <c r="C43" s="392">
        <f>SUM(C40+C42)</f>
        <v>5102582.6319999993</v>
      </c>
      <c r="D43" s="392"/>
      <c r="E43" s="392">
        <f>SUM(E40:E41)</f>
        <v>7366</v>
      </c>
      <c r="F43" s="392">
        <f>SUM(F40+F42)</f>
        <v>6963913.7599999988</v>
      </c>
      <c r="G43" s="396"/>
      <c r="H43" s="439"/>
      <c r="J43" s="430"/>
    </row>
    <row r="44" spans="1:10" ht="13.8" thickTop="1" x14ac:dyDescent="0.25">
      <c r="H44" s="439"/>
    </row>
    <row r="45" spans="1:10" x14ac:dyDescent="0.25">
      <c r="A45" s="404" t="str">
        <f>'GWNetPos 68 Exh 1'!A61</f>
        <v>The notes to the financial statements are an integral part of this statement.</v>
      </c>
      <c r="G45" s="393"/>
      <c r="H45" s="393"/>
    </row>
    <row r="46" spans="1:10" x14ac:dyDescent="0.25">
      <c r="B46" s="430"/>
      <c r="C46" s="430"/>
      <c r="D46" s="430"/>
      <c r="E46" s="430"/>
    </row>
    <row r="47" spans="1:10" x14ac:dyDescent="0.25">
      <c r="B47" s="430">
        <f>B43-'Net Pos-Prop Exh7'!B53</f>
        <v>-0.45200000004842877</v>
      </c>
      <c r="C47" s="430">
        <f>C43-'Net Pos-Prop Exh7'!C53</f>
        <v>5.4000000469386578E-2</v>
      </c>
      <c r="D47" s="430"/>
      <c r="E47" s="430">
        <f>E43-'Net Pos-Prop Exh7'!E53</f>
        <v>-0.14200000002892921</v>
      </c>
      <c r="F47" s="430">
        <f>F43-'Net Pos-Prop Exh7'!F53</f>
        <v>-0.24000000022351742</v>
      </c>
      <c r="G47" s="396"/>
      <c r="H47" s="396"/>
    </row>
    <row r="49" spans="3:3" x14ac:dyDescent="0.25">
      <c r="C49" s="439"/>
    </row>
  </sheetData>
  <customSheetViews>
    <customSheetView guid="{A8748736-0722-49EB-85B6-C9B52DDCFE0E}" showPageBreaks="1" printArea="1" hiddenRows="1" topLeftCell="A28">
      <selection activeCell="C9" sqref="C9"/>
      <pageMargins left="0.75" right="0.75" top="1" bottom="1" header="0.5" footer="0.5"/>
      <printOptions horizontalCentered="1"/>
      <pageSetup scale="86" firstPageNumber="32" fitToHeight="0" orientation="portrait" useFirstPageNumber="1" r:id="rId1"/>
      <headerFooter alignWithMargins="0"/>
    </customSheetView>
    <customSheetView guid="{E0C60316-4586-4AAF-92CB-FA82BB1EB755}">
      <pageMargins left="0" right="0" top="0" bottom="0" header="0" footer="0"/>
      <printOptions horizontalCentered="1"/>
      <pageSetup scale="86" firstPageNumber="32" fitToHeight="0" orientation="portrait" useFirstPageNumber="1" r:id="rId2"/>
      <headerFooter alignWithMargins="0"/>
    </customSheetView>
  </customSheetViews>
  <mergeCells count="4">
    <mergeCell ref="A2:F2"/>
    <mergeCell ref="A3:F3"/>
    <mergeCell ref="A4:F4"/>
    <mergeCell ref="A5:F5"/>
  </mergeCells>
  <phoneticPr fontId="0" type="noConversion"/>
  <printOptions horizontalCentered="1"/>
  <pageMargins left="0.75" right="0.75" top="1" bottom="1" header="0.5" footer="0.5"/>
  <pageSetup scale="86" firstPageNumber="32" fitToHeight="0" orientation="portrait" useFirstPageNumber="1"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BE4B1080C3494780B91150D9F28D27" ma:contentTypeVersion="0" ma:contentTypeDescription="Create a new document." ma:contentTypeScope="" ma:versionID="6088cf711cf70727f0182f7354aa9ac4">
  <xsd:schema xmlns:xsd="http://www.w3.org/2001/XMLSchema" xmlns:xs="http://www.w3.org/2001/XMLSchema" xmlns:p="http://schemas.microsoft.com/office/2006/metadata/properties" targetNamespace="http://schemas.microsoft.com/office/2006/metadata/properties" ma:root="true" ma:fieldsID="b9dd5c629c7de02b24a55f48759b557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AC2AFA-423C-4AA0-8531-C23F2FFA3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223E65D-84CF-4A72-8BAE-CB69B5D18E27}">
  <ds:schemaRefs>
    <ds:schemaRef ds:uri="http://schemas.microsoft.com/office/2006/metadata/longProperties"/>
  </ds:schemaRefs>
</ds:datastoreItem>
</file>

<file path=customXml/itemProps3.xml><?xml version="1.0" encoding="utf-8"?>
<ds:datastoreItem xmlns:ds="http://schemas.openxmlformats.org/officeDocument/2006/customXml" ds:itemID="{ABFE27B5-F7E3-4F80-AE8C-6B25532DC2D5}">
  <ds:schemaRefs>
    <ds:schemaRef ds:uri="http://schemas.microsoft.com/sharepoint/v3/contenttype/forms"/>
  </ds:schemaRefs>
</ds:datastoreItem>
</file>

<file path=customXml/itemProps4.xml><?xml version="1.0" encoding="utf-8"?>
<ds:datastoreItem xmlns:ds="http://schemas.openxmlformats.org/officeDocument/2006/customXml" ds:itemID="{68BB3DD9-4ACC-4539-B4F4-AE6BB99B4D2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37</vt:i4>
      </vt:variant>
    </vt:vector>
  </HeadingPairs>
  <TitlesOfParts>
    <vt:vector size="95" baseType="lpstr">
      <vt:lpstr>GWNetPos 68 Exh 1</vt:lpstr>
      <vt:lpstr>GWStmtAct</vt:lpstr>
      <vt:lpstr>GWStmtAct 68 Exh 2</vt:lpstr>
      <vt:lpstr>Balance Sheet Exh 3</vt:lpstr>
      <vt:lpstr>Rev, exp, chgs in fb Exh 4</vt:lpstr>
      <vt:lpstr>Rec chg fund bal to chg Exh 5</vt:lpstr>
      <vt:lpstr>GF-BudAct Exh 6</vt:lpstr>
      <vt:lpstr>Net Pos-Prop Exh7</vt:lpstr>
      <vt:lpstr>Rev, exp-Prop Exh 8</vt:lpstr>
      <vt:lpstr>EFCF Exh 9</vt:lpstr>
      <vt:lpstr>Fiduciary SNP Exh10</vt:lpstr>
      <vt:lpstr>Fiduciary-ChgNetPos Exh 11</vt:lpstr>
      <vt:lpstr>RSI - LGERS 1</vt:lpstr>
      <vt:lpstr>RSI - LGERS 2</vt:lpstr>
      <vt:lpstr>RSI - LGERS 1TDA</vt:lpstr>
      <vt:lpstr>RSI - LGERS 2TDA</vt:lpstr>
      <vt:lpstr>RSI- ROD 1</vt:lpstr>
      <vt:lpstr>RSI - ROD 2</vt:lpstr>
      <vt:lpstr>RSI - LEO 1</vt:lpstr>
      <vt:lpstr>RSI - LEO 2</vt:lpstr>
      <vt:lpstr>RSI - OPEB 1</vt:lpstr>
      <vt:lpstr>RSI  - OPEB 2</vt:lpstr>
      <vt:lpstr>RSI-OPEB 3</vt:lpstr>
      <vt:lpstr>GFIS_BA</vt:lpstr>
      <vt:lpstr>TAX Rev-BA1</vt:lpstr>
      <vt:lpstr>Comb BS-Nonmajor</vt:lpstr>
      <vt:lpstr>Com Rev, Exp-Nonmajor</vt:lpstr>
      <vt:lpstr>SR-BA2</vt:lpstr>
      <vt:lpstr>SR-BA3</vt:lpstr>
      <vt:lpstr>SR-BA4 (dss client funds)</vt:lpstr>
      <vt:lpstr>SR-BA5 (Deed of Trust)</vt:lpstr>
      <vt:lpstr>SR-BA6 (Fines &amp; Forfeiture)</vt:lpstr>
      <vt:lpstr>SRBA-7 (Opioid)</vt:lpstr>
      <vt:lpstr>SR-BA 8 (ARP)</vt:lpstr>
      <vt:lpstr>CPBA-1</vt:lpstr>
      <vt:lpstr>CPBA-2</vt:lpstr>
      <vt:lpstr>CIP consol-BA1</vt:lpstr>
      <vt:lpstr> EFBA-1 2pg</vt:lpstr>
      <vt:lpstr>EFBA-2</vt:lpstr>
      <vt:lpstr>EFBA-3 3 pg</vt:lpstr>
      <vt:lpstr>EFBA-4</vt:lpstr>
      <vt:lpstr>EFBA-5 2pg</vt:lpstr>
      <vt:lpstr>EFBA-6</vt:lpstr>
      <vt:lpstr>Comb Fid Assets&amp;Liabilities</vt:lpstr>
      <vt:lpstr>Comb Fid Fund-ChgNetPos</vt:lpstr>
      <vt:lpstr>Comb Custodial SNP</vt:lpstr>
      <vt:lpstr>Comb Custodial ChgNetPos</vt:lpstr>
      <vt:lpstr>TDA Balance Sheet</vt:lpstr>
      <vt:lpstr>TDA Rev Exp ChgFB</vt:lpstr>
      <vt:lpstr>TDA Budget Actual</vt:lpstr>
      <vt:lpstr>TaxesRec</vt:lpstr>
      <vt:lpstr>AnalysisTxLevy</vt:lpstr>
      <vt:lpstr>SecMkt</vt:lpstr>
      <vt:lpstr>TenTaxpayers</vt:lpstr>
      <vt:lpstr>e911 Reconciliation2</vt:lpstr>
      <vt:lpstr>Major Fund Debt </vt:lpstr>
      <vt:lpstr>MD&amp;A Calcs</vt:lpstr>
      <vt:lpstr>Sheet1</vt:lpstr>
      <vt:lpstr>' EFBA-1 2pg'!Print_Area</vt:lpstr>
      <vt:lpstr>AnalysisTxLevy!Print_Area</vt:lpstr>
      <vt:lpstr>'Balance Sheet Exh 3'!Print_Area</vt:lpstr>
      <vt:lpstr>'Com Rev, Exp-Nonmajor'!Print_Area</vt:lpstr>
      <vt:lpstr>'Comb BS-Nonmajor'!Print_Area</vt:lpstr>
      <vt:lpstr>'Comb Custodial SNP'!Print_Area</vt:lpstr>
      <vt:lpstr>'Comb Fid Assets&amp;Liabilities'!Print_Area</vt:lpstr>
      <vt:lpstr>'Comb Fid Fund-ChgNetPos'!Print_Area</vt:lpstr>
      <vt:lpstr>'e911 Reconciliation2'!Print_Area</vt:lpstr>
      <vt:lpstr>'EFBA-2'!Print_Area</vt:lpstr>
      <vt:lpstr>'EFCF Exh 9'!Print_Area</vt:lpstr>
      <vt:lpstr>'Fiduciary SNP Exh10'!Print_Area</vt:lpstr>
      <vt:lpstr>'Fiduciary-ChgNetPos Exh 11'!Print_Area</vt:lpstr>
      <vt:lpstr>'GF-BudAct Exh 6'!Print_Area</vt:lpstr>
      <vt:lpstr>GFIS_BA!Print_Area</vt:lpstr>
      <vt:lpstr>'GWNetPos 68 Exh 1'!Print_Area</vt:lpstr>
      <vt:lpstr>'GWStmtAct 68 Exh 2'!Print_Area</vt:lpstr>
      <vt:lpstr>'Major Fund Debt '!Print_Area</vt:lpstr>
      <vt:lpstr>'Net Pos-Prop Exh7'!Print_Area</vt:lpstr>
      <vt:lpstr>'Rec chg fund bal to chg Exh 5'!Print_Area</vt:lpstr>
      <vt:lpstr>'Rev, exp, chgs in fb Exh 4'!Print_Area</vt:lpstr>
      <vt:lpstr>'Rev, exp-Prop Exh 8'!Print_Area</vt:lpstr>
      <vt:lpstr>'RSI  - OPEB 2'!Print_Area</vt:lpstr>
      <vt:lpstr>'RSI - LGERS 1'!Print_Area</vt:lpstr>
      <vt:lpstr>'RSI - LGERS 1TDA'!Print_Area</vt:lpstr>
      <vt:lpstr>'RSI - LGERS 2'!Print_Area</vt:lpstr>
      <vt:lpstr>'RSI - LGERS 2TDA'!Print_Area</vt:lpstr>
      <vt:lpstr>'RSI - ROD 2'!Print_Area</vt:lpstr>
      <vt:lpstr>'RSI- ROD 1'!Print_Area</vt:lpstr>
      <vt:lpstr>'RSI-OPEB 3'!Print_Area</vt:lpstr>
      <vt:lpstr>'TAX Rev-BA1'!Print_Area</vt:lpstr>
      <vt:lpstr>'TDA Budget Actual'!Print_Area</vt:lpstr>
      <vt:lpstr>' EFBA-1 2pg'!Print_Titles</vt:lpstr>
      <vt:lpstr>'EFBA-3 3 pg'!Print_Titles</vt:lpstr>
      <vt:lpstr>'EFBA-5 2pg'!Print_Titles</vt:lpstr>
      <vt:lpstr>'EFCF Exh 9'!Print_Titles</vt:lpstr>
      <vt:lpstr>GFIS_BA!Print_Titles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Carolina County Exhibits and Statements</dc:title>
  <dc:subject/>
  <dc:creator>Samatha Cox</dc:creator>
  <cp:keywords/>
  <dc:description/>
  <cp:lastModifiedBy>Kendra Boyle</cp:lastModifiedBy>
  <cp:revision/>
  <cp:lastPrinted>2022-09-30T16:07:12Z</cp:lastPrinted>
  <dcterms:created xsi:type="dcterms:W3CDTF">2001-01-26T20:11:38Z</dcterms:created>
  <dcterms:modified xsi:type="dcterms:W3CDTF">2022-10-03T20:10:09Z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System Account</vt:lpwstr>
  </property>
  <property fmtid="{D5CDD505-2E9C-101B-9397-08002B2CF9AE}" pid="3" name="display_urn:schemas-microsoft-com:office:office#Author">
    <vt:lpwstr>Lawrence Koffa</vt:lpwstr>
  </property>
  <property fmtid="{D5CDD505-2E9C-101B-9397-08002B2CF9AE}" pid="4" name="_dlc_DocId">
    <vt:lpwstr/>
  </property>
  <property fmtid="{D5CDD505-2E9C-101B-9397-08002B2CF9AE}" pid="5" name="Description0">
    <vt:lpwstr>Carolina County Exhibits and Statements</vt:lpwstr>
  </property>
  <property fmtid="{D5CDD505-2E9C-101B-9397-08002B2CF9AE}" pid="6" name="Publication Date">
    <vt:lpwstr>6/28/2017</vt:lpwstr>
  </property>
  <property fmtid="{D5CDD505-2E9C-101B-9397-08002B2CF9AE}" pid="7" name="Sort Order">
    <vt:lpwstr/>
  </property>
  <property fmtid="{D5CDD505-2E9C-101B-9397-08002B2CF9AE}" pid="8" name="Category">
    <vt:lpwstr>Illustrative Financial Statements</vt:lpwstr>
  </property>
  <property fmtid="{D5CDD505-2E9C-101B-9397-08002B2CF9AE}" pid="9" name="Resource Category">
    <vt:lpwstr>Sample Financial Statement</vt:lpwstr>
  </property>
  <property fmtid="{D5CDD505-2E9C-101B-9397-08002B2CF9AE}" pid="10" name="Resource Group">
    <vt:lpwstr/>
  </property>
  <property fmtid="{D5CDD505-2E9C-101B-9397-08002B2CF9AE}" pid="11" name="ContentTypeId">
    <vt:lpwstr>0x0101007ABE4B1080C3494780B91150D9F28D27</vt:lpwstr>
  </property>
</Properties>
</file>