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L:\2020 Business Process Review\2020 Review Season\2020 Master Templates\2020 Master Data Input Worksheets\"/>
    </mc:Choice>
  </mc:AlternateContent>
  <xr:revisionPtr revIDLastSave="0" documentId="13_ncr:1_{145D5974-496E-472B-8137-B54C57A9E922}" xr6:coauthVersionLast="45" xr6:coauthVersionMax="45" xr10:uidLastSave="{00000000-0000-0000-0000-000000000000}"/>
  <bookViews>
    <workbookView xWindow="20370" yWindow="-120" windowWidth="29040" windowHeight="15840" xr2:uid="{00000000-000D-0000-FFFF-FFFF00000000}"/>
  </bookViews>
  <sheets>
    <sheet name="Instructions" sheetId="39" r:id="rId1"/>
    <sheet name="Unit Data for Audit Worksheet" sheetId="1" r:id="rId2"/>
    <sheet name="IMPORT" sheetId="28" state="hidden" r:id="rId3"/>
    <sheet name="RSS" sheetId="30" r:id="rId4"/>
    <sheet name="Unit Names" sheetId="29" state="hidden" r:id="rId5"/>
    <sheet name="2018 Data" sheetId="35" state="hidden" r:id="rId6"/>
    <sheet name="2019 Data" sheetId="38" state="hidden" r:id="rId7"/>
  </sheets>
  <externalReferences>
    <externalReference r:id="rId8"/>
  </externalReferences>
  <definedNames>
    <definedName name="Audit_Dtl">[1]Database!$AC$3:$AP$413</definedName>
    <definedName name="_xlnm.Print_Area" localSheetId="0">Instructions!$B$1:$B$34</definedName>
    <definedName name="_xlnm.Print_Titles" localSheetId="1">'Unit Data for Audit Worksheet'!$5:$5</definedName>
    <definedName name="Temp">[1]Database!$BF$3:$EG$3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9" i="1" l="1"/>
  <c r="F83" i="28" l="1"/>
  <c r="G90" i="1"/>
  <c r="F84" i="28" s="1"/>
  <c r="G91" i="1"/>
  <c r="F85" i="28" s="1"/>
  <c r="G92" i="1"/>
  <c r="F86" i="28" s="1"/>
  <c r="G93" i="1"/>
  <c r="F87" i="28" s="1"/>
  <c r="G94" i="1"/>
  <c r="F88" i="28" s="1"/>
  <c r="G95" i="1"/>
  <c r="F89" i="28" s="1"/>
  <c r="G96" i="1"/>
  <c r="F90" i="28" s="1"/>
  <c r="F108" i="1" l="1"/>
  <c r="F107" i="1"/>
  <c r="F106" i="1"/>
  <c r="F105" i="1"/>
  <c r="F104" i="1"/>
  <c r="G108" i="1"/>
  <c r="F95" i="28" s="1"/>
  <c r="G107" i="1"/>
  <c r="F94" i="28" s="1"/>
  <c r="G106" i="1"/>
  <c r="F93" i="28" s="1"/>
  <c r="G105" i="1"/>
  <c r="F92" i="28" s="1"/>
  <c r="G104" i="1"/>
  <c r="F91" i="28" s="1"/>
  <c r="G18" i="1" l="1"/>
  <c r="G17" i="1"/>
  <c r="G16" i="1"/>
  <c r="G15" i="1"/>
  <c r="G14" i="1"/>
  <c r="G13" i="1"/>
  <c r="G9" i="1" l="1"/>
  <c r="L74" i="28" l="1"/>
  <c r="E85" i="1"/>
  <c r="E74" i="1"/>
  <c r="E72" i="1"/>
  <c r="E71" i="1"/>
  <c r="E70" i="1"/>
  <c r="E69" i="1"/>
  <c r="E68" i="1"/>
  <c r="E67" i="1"/>
  <c r="E66" i="1"/>
  <c r="E63" i="1"/>
  <c r="E62" i="1"/>
  <c r="E61" i="1"/>
  <c r="E60" i="1"/>
  <c r="E59" i="1"/>
  <c r="E58" i="1"/>
  <c r="E57" i="1"/>
  <c r="E56" i="1"/>
  <c r="E55" i="1"/>
  <c r="E54" i="1"/>
  <c r="E52" i="1"/>
  <c r="G63" i="1" s="1"/>
  <c r="E49" i="1"/>
  <c r="E48" i="1"/>
  <c r="E47" i="1"/>
  <c r="E46" i="1"/>
  <c r="E45" i="1"/>
  <c r="E44" i="1"/>
  <c r="E43" i="1"/>
  <c r="E42" i="1"/>
  <c r="E41" i="1"/>
  <c r="E39" i="1"/>
  <c r="E38" i="1"/>
  <c r="E36" i="1"/>
  <c r="E35" i="1"/>
  <c r="E34" i="1"/>
  <c r="E33" i="1"/>
  <c r="E32" i="1"/>
  <c r="E31" i="1"/>
  <c r="E30" i="1"/>
  <c r="E29" i="1"/>
  <c r="E28" i="1"/>
  <c r="E27" i="1"/>
  <c r="E25" i="1"/>
  <c r="E24" i="1"/>
  <c r="E22" i="1"/>
  <c r="E21" i="1"/>
  <c r="E20" i="1"/>
  <c r="E19" i="1"/>
  <c r="E18" i="1"/>
  <c r="E11" i="1"/>
  <c r="E10" i="1"/>
  <c r="E9" i="1"/>
  <c r="E8" i="1"/>
  <c r="E7" i="1"/>
  <c r="G36" i="1" l="1"/>
  <c r="E92" i="28"/>
  <c r="L92" i="28" s="1"/>
  <c r="Q92" i="28" s="1"/>
  <c r="E91" i="28"/>
  <c r="L91" i="28" s="1"/>
  <c r="Q91" i="28" s="1"/>
  <c r="E76" i="1" l="1"/>
  <c r="E79" i="1" l="1"/>
  <c r="G62" i="1" l="1"/>
  <c r="G52" i="1"/>
  <c r="G35" i="1"/>
  <c r="G22" i="1"/>
  <c r="E93" i="28"/>
  <c r="L93" i="28" s="1"/>
  <c r="Q93" i="28" s="1"/>
  <c r="E94" i="28"/>
  <c r="L94" i="28" s="1"/>
  <c r="Q94" i="28" s="1"/>
  <c r="E95" i="28"/>
  <c r="L95" i="28" s="1"/>
  <c r="Q95" i="28" s="1"/>
  <c r="C91" i="28"/>
  <c r="C84" i="28"/>
  <c r="E84" i="28"/>
  <c r="L84" i="28" s="1"/>
  <c r="Q84" i="28" s="1"/>
  <c r="C85" i="28"/>
  <c r="E85" i="28"/>
  <c r="L85" i="28" s="1"/>
  <c r="Q85" i="28" s="1"/>
  <c r="C86" i="28"/>
  <c r="E86" i="28"/>
  <c r="L86" i="28" s="1"/>
  <c r="Q86" i="28" s="1"/>
  <c r="C87" i="28"/>
  <c r="E87" i="28"/>
  <c r="L87" i="28" s="1"/>
  <c r="Q87" i="28" s="1"/>
  <c r="C88" i="28"/>
  <c r="E88" i="28"/>
  <c r="L88" i="28" s="1"/>
  <c r="Q88" i="28" s="1"/>
  <c r="C89" i="28"/>
  <c r="E89" i="28"/>
  <c r="L89" i="28" s="1"/>
  <c r="Q89" i="28" s="1"/>
  <c r="C90" i="28"/>
  <c r="E90" i="28"/>
  <c r="L90" i="28" s="1"/>
  <c r="Q90" i="28" s="1"/>
  <c r="E83" i="28"/>
  <c r="L83" i="28" s="1"/>
  <c r="Q83" i="28" s="1"/>
  <c r="C83" i="28"/>
  <c r="C93" i="28"/>
  <c r="C94" i="28"/>
  <c r="C95" i="28"/>
  <c r="C92" i="28"/>
  <c r="A95" i="28"/>
  <c r="A91" i="28"/>
  <c r="A92" i="28"/>
  <c r="A93" i="28"/>
  <c r="A94" i="28"/>
  <c r="A83" i="28"/>
  <c r="A84" i="28"/>
  <c r="A85" i="28"/>
  <c r="A86" i="28"/>
  <c r="A87" i="28"/>
  <c r="A88" i="28"/>
  <c r="A89" i="28"/>
  <c r="A90" i="28"/>
  <c r="AE190" i="38" l="1"/>
  <c r="G12" i="1"/>
  <c r="A57" i="28"/>
  <c r="B57" i="28"/>
  <c r="C57" i="28"/>
  <c r="E57" i="28"/>
  <c r="H57" i="28"/>
  <c r="A44" i="28"/>
  <c r="B44" i="28"/>
  <c r="C44" i="28"/>
  <c r="E44" i="28"/>
  <c r="H44" i="28"/>
  <c r="A45" i="28"/>
  <c r="B45" i="28"/>
  <c r="C45" i="28"/>
  <c r="E45" i="28"/>
  <c r="H45" i="28"/>
  <c r="A10" i="28"/>
  <c r="U10" i="28" s="1"/>
  <c r="B10" i="28"/>
  <c r="C10" i="28"/>
  <c r="E10" i="28"/>
  <c r="H10" i="28"/>
  <c r="A11" i="28"/>
  <c r="U11" i="28" s="1"/>
  <c r="B11" i="28"/>
  <c r="C11" i="28"/>
  <c r="E11" i="28"/>
  <c r="H11" i="28"/>
  <c r="A12" i="28"/>
  <c r="U12" i="28" s="1"/>
  <c r="B12" i="28"/>
  <c r="C12" i="28"/>
  <c r="E12" i="28"/>
  <c r="H12" i="28"/>
  <c r="A13" i="28"/>
  <c r="U13" i="28" s="1"/>
  <c r="B13" i="28"/>
  <c r="C13" i="28"/>
  <c r="E13" i="28"/>
  <c r="H13" i="28"/>
  <c r="A14" i="28"/>
  <c r="U14" i="28" s="1"/>
  <c r="B14" i="28"/>
  <c r="C14" i="28"/>
  <c r="E14" i="28"/>
  <c r="H14" i="28"/>
  <c r="A15" i="28"/>
  <c r="R15" i="28" s="1"/>
  <c r="B15" i="28"/>
  <c r="C15" i="28"/>
  <c r="E15" i="28"/>
  <c r="H15" i="28"/>
  <c r="G64" i="1"/>
  <c r="G51" i="1"/>
  <c r="G50" i="1"/>
  <c r="L14" i="28" l="1"/>
  <c r="W14" i="28" s="1"/>
  <c r="L12" i="28"/>
  <c r="W12" i="28" s="1"/>
  <c r="L57" i="28"/>
  <c r="W57" i="28" s="1"/>
  <c r="L13" i="28"/>
  <c r="W13" i="28" s="1"/>
  <c r="L45" i="28"/>
  <c r="L15" i="28"/>
  <c r="W15" i="28" s="1"/>
  <c r="L44" i="28"/>
  <c r="V44" i="28" s="1"/>
  <c r="L11" i="28"/>
  <c r="W11" i="28" s="1"/>
  <c r="U15" i="28"/>
  <c r="R11" i="28"/>
  <c r="R10" i="28"/>
  <c r="R14" i="28"/>
  <c r="R13" i="28"/>
  <c r="R12" i="28"/>
  <c r="V57" i="28" l="1"/>
  <c r="V12" i="28"/>
  <c r="F13" i="28"/>
  <c r="F15" i="28"/>
  <c r="V15" i="28"/>
  <c r="V11" i="28"/>
  <c r="V13" i="28"/>
  <c r="F45" i="28"/>
  <c r="W45" i="28"/>
  <c r="F14" i="28"/>
  <c r="F44" i="28"/>
  <c r="W44" i="28"/>
  <c r="F11" i="28"/>
  <c r="F12" i="28"/>
  <c r="V45" i="28"/>
  <c r="V14" i="28"/>
  <c r="G34" i="1"/>
  <c r="H67" i="28"/>
  <c r="E66" i="28"/>
  <c r="C66" i="28"/>
  <c r="B66" i="28"/>
  <c r="A66" i="28"/>
  <c r="U66" i="28" s="1"/>
  <c r="E154" i="35"/>
  <c r="F154" i="35"/>
  <c r="G154" i="35"/>
  <c r="H154" i="35"/>
  <c r="I154" i="35"/>
  <c r="J154" i="35"/>
  <c r="K154" i="35"/>
  <c r="L154" i="35"/>
  <c r="M154" i="35"/>
  <c r="N154" i="35"/>
  <c r="O154" i="35"/>
  <c r="P154" i="35"/>
  <c r="Q154" i="35"/>
  <c r="R154" i="35"/>
  <c r="S154" i="35"/>
  <c r="T154" i="35"/>
  <c r="U154" i="35"/>
  <c r="V154" i="35"/>
  <c r="W154" i="35"/>
  <c r="X154" i="35"/>
  <c r="Y154" i="35"/>
  <c r="Z154" i="35"/>
  <c r="AA154" i="35"/>
  <c r="AB154" i="35"/>
  <c r="AC154" i="35"/>
  <c r="AD154" i="35"/>
  <c r="AE154" i="35"/>
  <c r="AF154" i="35"/>
  <c r="D154" i="35"/>
  <c r="AG169" i="35"/>
  <c r="E153" i="35"/>
  <c r="E169" i="35" s="1"/>
  <c r="F153" i="35"/>
  <c r="F169" i="35" s="1"/>
  <c r="G153" i="35"/>
  <c r="G169" i="35" s="1"/>
  <c r="H153" i="35"/>
  <c r="H169" i="35" s="1"/>
  <c r="I153" i="35"/>
  <c r="I169" i="35" s="1"/>
  <c r="J153" i="35"/>
  <c r="J169" i="35" s="1"/>
  <c r="K153" i="35"/>
  <c r="K169" i="35" s="1"/>
  <c r="L153" i="35"/>
  <c r="L169" i="35" s="1"/>
  <c r="M153" i="35"/>
  <c r="M169" i="35" s="1"/>
  <c r="N153" i="35"/>
  <c r="N169" i="35" s="1"/>
  <c r="O153" i="35"/>
  <c r="O169" i="35" s="1"/>
  <c r="P153" i="35"/>
  <c r="P169" i="35" s="1"/>
  <c r="Q153" i="35"/>
  <c r="Q155" i="35" s="1"/>
  <c r="R153" i="35"/>
  <c r="R169" i="35" s="1"/>
  <c r="S153" i="35"/>
  <c r="S169" i="35" s="1"/>
  <c r="T153" i="35"/>
  <c r="T169" i="35" s="1"/>
  <c r="U153" i="35"/>
  <c r="U169" i="35" s="1"/>
  <c r="V153" i="35"/>
  <c r="V169" i="35" s="1"/>
  <c r="W153" i="35"/>
  <c r="W169" i="35" s="1"/>
  <c r="X153" i="35"/>
  <c r="X169" i="35" s="1"/>
  <c r="Y153" i="35"/>
  <c r="Y155" i="35" s="1"/>
  <c r="Z153" i="35"/>
  <c r="Z169" i="35" s="1"/>
  <c r="AA153" i="35"/>
  <c r="AA169" i="35" s="1"/>
  <c r="AB153" i="35"/>
  <c r="AB169" i="35" s="1"/>
  <c r="AC153" i="35"/>
  <c r="AC169" i="35" s="1"/>
  <c r="AD153" i="35"/>
  <c r="AD169" i="35" s="1"/>
  <c r="AE153" i="35"/>
  <c r="AE169" i="35" s="1"/>
  <c r="AF153" i="35"/>
  <c r="AF169" i="35" s="1"/>
  <c r="D153" i="35"/>
  <c r="D169" i="35" s="1"/>
  <c r="L66" i="28" l="1"/>
  <c r="W66" i="28" s="1"/>
  <c r="I155" i="35"/>
  <c r="Y169" i="35"/>
  <c r="Q169" i="35"/>
  <c r="P155" i="35"/>
  <c r="G155" i="35"/>
  <c r="D155" i="35"/>
  <c r="X155" i="35"/>
  <c r="O155" i="35"/>
  <c r="F155" i="35"/>
  <c r="AF155" i="35"/>
  <c r="W155" i="35"/>
  <c r="N155" i="35"/>
  <c r="E155" i="35"/>
  <c r="AE155" i="35"/>
  <c r="V155" i="35"/>
  <c r="M155" i="35"/>
  <c r="AD155" i="35"/>
  <c r="U155" i="35"/>
  <c r="K155" i="35"/>
  <c r="AC155" i="35"/>
  <c r="S155" i="35"/>
  <c r="J155" i="35"/>
  <c r="AA155" i="35"/>
  <c r="R155" i="35"/>
  <c r="Z155" i="35"/>
  <c r="H155" i="35"/>
  <c r="AB155" i="35"/>
  <c r="T155" i="35"/>
  <c r="L155" i="35"/>
  <c r="E5" i="28"/>
  <c r="L5" i="28" s="1"/>
  <c r="C5" i="28"/>
  <c r="B5" i="28"/>
  <c r="A5" i="28"/>
  <c r="I2" i="29"/>
  <c r="J2" i="29"/>
  <c r="I3" i="29"/>
  <c r="J3" i="29"/>
  <c r="I4" i="29"/>
  <c r="J4" i="29"/>
  <c r="I5" i="29"/>
  <c r="J5" i="29"/>
  <c r="I6" i="29"/>
  <c r="J6" i="29"/>
  <c r="I7" i="29"/>
  <c r="J7" i="29"/>
  <c r="I8" i="29"/>
  <c r="J8" i="29"/>
  <c r="I9" i="29"/>
  <c r="J9" i="29"/>
  <c r="I10" i="29"/>
  <c r="J10" i="29"/>
  <c r="I11" i="29"/>
  <c r="J11" i="29"/>
  <c r="I12" i="29"/>
  <c r="J12" i="29"/>
  <c r="I13" i="29"/>
  <c r="J13" i="29"/>
  <c r="I14" i="29"/>
  <c r="J14" i="29"/>
  <c r="I15" i="29"/>
  <c r="J15" i="29"/>
  <c r="I16" i="29"/>
  <c r="J16" i="29"/>
  <c r="I17" i="29"/>
  <c r="J17" i="29"/>
  <c r="I18" i="29"/>
  <c r="J18" i="29"/>
  <c r="I19" i="29"/>
  <c r="J19" i="29"/>
  <c r="I20" i="29"/>
  <c r="J20" i="29"/>
  <c r="I21" i="29"/>
  <c r="J21" i="29"/>
  <c r="I22" i="29"/>
  <c r="J22" i="29"/>
  <c r="I23" i="29"/>
  <c r="J23" i="29"/>
  <c r="I24" i="29"/>
  <c r="J24" i="29"/>
  <c r="I25" i="29"/>
  <c r="J25" i="29"/>
  <c r="I26" i="29"/>
  <c r="J26" i="29"/>
  <c r="I27" i="29"/>
  <c r="J27" i="29"/>
  <c r="I28" i="29"/>
  <c r="J28" i="29"/>
  <c r="I29" i="29"/>
  <c r="J29" i="29"/>
  <c r="J1" i="29"/>
  <c r="I1" i="29"/>
  <c r="H82" i="1"/>
  <c r="G82" i="1" s="1"/>
  <c r="H81" i="1"/>
  <c r="H80" i="1"/>
  <c r="G81" i="1"/>
  <c r="G80" i="1"/>
  <c r="H73" i="28"/>
  <c r="E73" i="28"/>
  <c r="L73" i="28" s="1"/>
  <c r="C73" i="28"/>
  <c r="B72" i="28"/>
  <c r="A73" i="28"/>
  <c r="G87" i="1"/>
  <c r="O32" i="28"/>
  <c r="O31" i="28"/>
  <c r="O20" i="28"/>
  <c r="O19" i="28"/>
  <c r="D3" i="1"/>
  <c r="U36" i="28"/>
  <c r="U37" i="28"/>
  <c r="H69" i="28"/>
  <c r="H70" i="28"/>
  <c r="E69" i="28"/>
  <c r="E70" i="28"/>
  <c r="E71" i="28"/>
  <c r="A69" i="28"/>
  <c r="U69" i="28" s="1"/>
  <c r="A70" i="28"/>
  <c r="U70" i="28" s="1"/>
  <c r="A71" i="28"/>
  <c r="U71" i="28" s="1"/>
  <c r="C69" i="28"/>
  <c r="C70" i="28"/>
  <c r="C71" i="28"/>
  <c r="B69" i="28"/>
  <c r="B70" i="28"/>
  <c r="B71" i="28"/>
  <c r="E37" i="28"/>
  <c r="E55" i="28"/>
  <c r="E46" i="28"/>
  <c r="E31" i="28"/>
  <c r="E20" i="28"/>
  <c r="E7" i="28"/>
  <c r="G42" i="28"/>
  <c r="C67" i="28"/>
  <c r="G77" i="1"/>
  <c r="F67" i="28" s="1"/>
  <c r="A34" i="28"/>
  <c r="U34" i="28" s="1"/>
  <c r="B34" i="28"/>
  <c r="C34" i="28"/>
  <c r="E34" i="28"/>
  <c r="H34" i="28"/>
  <c r="H33" i="28"/>
  <c r="E33" i="28"/>
  <c r="C33" i="28"/>
  <c r="B33" i="28"/>
  <c r="A33" i="28"/>
  <c r="U33" i="28" s="1"/>
  <c r="A60" i="28"/>
  <c r="U60" i="28" s="1"/>
  <c r="A64" i="28"/>
  <c r="U64" i="28" s="1"/>
  <c r="G58" i="28"/>
  <c r="E63" i="28"/>
  <c r="E64" i="28"/>
  <c r="B64" i="28"/>
  <c r="C64" i="28"/>
  <c r="E60" i="28"/>
  <c r="B60" i="28"/>
  <c r="C60" i="28"/>
  <c r="B37" i="28"/>
  <c r="C37" i="28"/>
  <c r="G47" i="1"/>
  <c r="C2" i="28"/>
  <c r="H72" i="28"/>
  <c r="H68" i="28"/>
  <c r="H65" i="28"/>
  <c r="H59" i="28"/>
  <c r="H61" i="28"/>
  <c r="H62" i="28"/>
  <c r="H63" i="28"/>
  <c r="H58" i="28"/>
  <c r="H47" i="28"/>
  <c r="H48" i="28"/>
  <c r="H49" i="28"/>
  <c r="H50" i="28"/>
  <c r="H51" i="28"/>
  <c r="H52" i="28"/>
  <c r="H53" i="28"/>
  <c r="H54" i="28"/>
  <c r="H55" i="28"/>
  <c r="H56" i="28"/>
  <c r="H36" i="28"/>
  <c r="H38" i="28"/>
  <c r="H39" i="28"/>
  <c r="H40" i="28"/>
  <c r="H41" i="28"/>
  <c r="H42" i="28"/>
  <c r="H43" i="28"/>
  <c r="H46" i="28"/>
  <c r="H35" i="28"/>
  <c r="H23" i="28"/>
  <c r="H24" i="28"/>
  <c r="H25" i="28"/>
  <c r="H26" i="28"/>
  <c r="H27" i="28"/>
  <c r="H28" i="28"/>
  <c r="H29" i="28"/>
  <c r="H30" i="28"/>
  <c r="H31" i="28"/>
  <c r="H32" i="28"/>
  <c r="H22" i="28"/>
  <c r="H21" i="28"/>
  <c r="H6" i="28"/>
  <c r="H7" i="28"/>
  <c r="H8" i="28"/>
  <c r="H9" i="28"/>
  <c r="H16" i="28"/>
  <c r="H17" i="28"/>
  <c r="H18" i="28"/>
  <c r="H19" i="28"/>
  <c r="H20" i="28"/>
  <c r="A67" i="28"/>
  <c r="B67" i="28"/>
  <c r="E67" i="28"/>
  <c r="L67" i="28" s="1"/>
  <c r="A8" i="28"/>
  <c r="U8" i="28" s="1"/>
  <c r="B8" i="28"/>
  <c r="C8" i="28"/>
  <c r="E8" i="28"/>
  <c r="A9" i="28"/>
  <c r="U9" i="28" s="1"/>
  <c r="B9" i="28"/>
  <c r="C9" i="28"/>
  <c r="E9" i="28"/>
  <c r="G10" i="1"/>
  <c r="G11" i="1"/>
  <c r="H4" i="30"/>
  <c r="F4" i="30"/>
  <c r="E54" i="28"/>
  <c r="E50" i="28"/>
  <c r="E43" i="28"/>
  <c r="G46" i="1"/>
  <c r="E35" i="28"/>
  <c r="E30" i="28"/>
  <c r="G31" i="1"/>
  <c r="B4" i="30"/>
  <c r="B68" i="28"/>
  <c r="B65" i="28"/>
  <c r="B63" i="28"/>
  <c r="B62" i="28"/>
  <c r="B61" i="28"/>
  <c r="B59" i="28"/>
  <c r="B58" i="28"/>
  <c r="B56" i="28"/>
  <c r="B55" i="28"/>
  <c r="B54" i="28"/>
  <c r="B53" i="28"/>
  <c r="B52" i="28"/>
  <c r="B51" i="28"/>
  <c r="B50" i="28"/>
  <c r="B49" i="28"/>
  <c r="B48" i="28"/>
  <c r="B47" i="28"/>
  <c r="B46" i="28"/>
  <c r="B43" i="28"/>
  <c r="B42" i="28"/>
  <c r="B41" i="28"/>
  <c r="B40" i="28"/>
  <c r="B39" i="28"/>
  <c r="B38" i="28"/>
  <c r="B36" i="28"/>
  <c r="B35" i="28"/>
  <c r="B32" i="28"/>
  <c r="B31" i="28"/>
  <c r="B30" i="28"/>
  <c r="B29" i="28"/>
  <c r="B28" i="28"/>
  <c r="B27" i="28"/>
  <c r="B26" i="28"/>
  <c r="B25" i="28"/>
  <c r="B24" i="28"/>
  <c r="B23" i="28"/>
  <c r="B22" i="28"/>
  <c r="B21" i="28"/>
  <c r="B20" i="28"/>
  <c r="B19" i="28"/>
  <c r="B18" i="28"/>
  <c r="B17" i="28"/>
  <c r="B16" i="28"/>
  <c r="B7" i="28"/>
  <c r="B6" i="28"/>
  <c r="C52" i="28"/>
  <c r="C53" i="28"/>
  <c r="C54" i="28"/>
  <c r="A52" i="28"/>
  <c r="U52" i="28" s="1"/>
  <c r="A53" i="28"/>
  <c r="U53" i="28" s="1"/>
  <c r="A54" i="28"/>
  <c r="U54" i="28" s="1"/>
  <c r="G60" i="1"/>
  <c r="E68" i="28"/>
  <c r="A68" i="28"/>
  <c r="U68" i="28" s="1"/>
  <c r="C68" i="28"/>
  <c r="G79" i="1"/>
  <c r="G42" i="1"/>
  <c r="G41" i="1"/>
  <c r="G25" i="1"/>
  <c r="G24" i="1"/>
  <c r="G8" i="1"/>
  <c r="G7" i="1"/>
  <c r="G74" i="1"/>
  <c r="E65" i="28"/>
  <c r="C65" i="28"/>
  <c r="A65" i="28"/>
  <c r="U65" i="28" s="1"/>
  <c r="C72" i="28"/>
  <c r="A72" i="28"/>
  <c r="U72" i="28" s="1"/>
  <c r="A59" i="28"/>
  <c r="U59" i="28" s="1"/>
  <c r="A61" i="28"/>
  <c r="U61" i="28" s="1"/>
  <c r="A62" i="28"/>
  <c r="U62" i="28" s="1"/>
  <c r="A63" i="28"/>
  <c r="U63" i="28" s="1"/>
  <c r="A58" i="28"/>
  <c r="U58" i="28" s="1"/>
  <c r="A47" i="28"/>
  <c r="U47" i="28" s="1"/>
  <c r="A48" i="28"/>
  <c r="U48" i="28" s="1"/>
  <c r="A49" i="28"/>
  <c r="U49" i="28" s="1"/>
  <c r="A50" i="28"/>
  <c r="U50" i="28" s="1"/>
  <c r="A51" i="28"/>
  <c r="U51" i="28" s="1"/>
  <c r="A55" i="28"/>
  <c r="U55" i="28" s="1"/>
  <c r="A56" i="28"/>
  <c r="U56" i="28" s="1"/>
  <c r="A38" i="28"/>
  <c r="U38" i="28" s="1"/>
  <c r="A39" i="28"/>
  <c r="U39" i="28" s="1"/>
  <c r="A40" i="28"/>
  <c r="U40" i="28" s="1"/>
  <c r="A41" i="28"/>
  <c r="U41" i="28" s="1"/>
  <c r="A42" i="28"/>
  <c r="U42" i="28" s="1"/>
  <c r="A43" i="28"/>
  <c r="U43" i="28" s="1"/>
  <c r="A46" i="28"/>
  <c r="U46" i="28" s="1"/>
  <c r="A35" i="28"/>
  <c r="U35" i="28" s="1"/>
  <c r="A27" i="28"/>
  <c r="U27" i="28" s="1"/>
  <c r="A28" i="28"/>
  <c r="U28" i="28" s="1"/>
  <c r="A29" i="28"/>
  <c r="U29" i="28" s="1"/>
  <c r="A30" i="28"/>
  <c r="U30" i="28" s="1"/>
  <c r="A31" i="28"/>
  <c r="U31" i="28" s="1"/>
  <c r="A32" i="28"/>
  <c r="U32" i="28" s="1"/>
  <c r="A23" i="28"/>
  <c r="U23" i="28" s="1"/>
  <c r="A24" i="28"/>
  <c r="U24" i="28" s="1"/>
  <c r="A25" i="28"/>
  <c r="U25" i="28" s="1"/>
  <c r="A26" i="28"/>
  <c r="U26" i="28" s="1"/>
  <c r="A22" i="28"/>
  <c r="U22" i="28" s="1"/>
  <c r="A21" i="28"/>
  <c r="U21" i="28" s="1"/>
  <c r="A6" i="28"/>
  <c r="U6" i="28" s="1"/>
  <c r="A7" i="28"/>
  <c r="U7" i="28" s="1"/>
  <c r="A16" i="28"/>
  <c r="U16" i="28" s="1"/>
  <c r="A17" i="28"/>
  <c r="U17" i="28" s="1"/>
  <c r="A18" i="28"/>
  <c r="U18" i="28" s="1"/>
  <c r="A19" i="28"/>
  <c r="U19" i="28" s="1"/>
  <c r="A20" i="28"/>
  <c r="U20" i="28" s="1"/>
  <c r="E56" i="28"/>
  <c r="E53" i="28"/>
  <c r="E52" i="28"/>
  <c r="C55" i="28"/>
  <c r="C56" i="28"/>
  <c r="C51" i="28"/>
  <c r="C48" i="28"/>
  <c r="G85" i="1"/>
  <c r="G49" i="1"/>
  <c r="C6" i="28"/>
  <c r="C7" i="28"/>
  <c r="C16" i="28"/>
  <c r="C17" i="28"/>
  <c r="C18" i="28"/>
  <c r="C19" i="28"/>
  <c r="C20" i="28"/>
  <c r="C21" i="28"/>
  <c r="C22" i="28"/>
  <c r="C23" i="28"/>
  <c r="C24" i="28"/>
  <c r="C25" i="28"/>
  <c r="C26" i="28"/>
  <c r="C27" i="28"/>
  <c r="C28" i="28"/>
  <c r="C29" i="28"/>
  <c r="C30" i="28"/>
  <c r="C31" i="28"/>
  <c r="C32" i="28"/>
  <c r="C35" i="28"/>
  <c r="C36" i="28"/>
  <c r="C38" i="28"/>
  <c r="C39" i="28"/>
  <c r="C40" i="28"/>
  <c r="C41" i="28"/>
  <c r="C42" i="28"/>
  <c r="C43" i="28"/>
  <c r="C46" i="28"/>
  <c r="C47" i="28"/>
  <c r="C49" i="28"/>
  <c r="C50" i="28"/>
  <c r="C58" i="28"/>
  <c r="C59" i="28"/>
  <c r="C61" i="28"/>
  <c r="C62" i="28"/>
  <c r="C63" i="28"/>
  <c r="G32" i="1"/>
  <c r="G28" i="1"/>
  <c r="G48" i="1"/>
  <c r="G29" i="1"/>
  <c r="E72" i="28"/>
  <c r="E62" i="28"/>
  <c r="E59" i="28"/>
  <c r="E58" i="28"/>
  <c r="E51" i="28"/>
  <c r="E49" i="28"/>
  <c r="E48" i="28"/>
  <c r="E42" i="28"/>
  <c r="E40" i="28"/>
  <c r="E38" i="28"/>
  <c r="E36" i="28"/>
  <c r="E32" i="28"/>
  <c r="E28" i="28"/>
  <c r="E25" i="28"/>
  <c r="E24" i="28"/>
  <c r="E23" i="28"/>
  <c r="E22" i="28"/>
  <c r="E21" i="28"/>
  <c r="E6" i="28"/>
  <c r="E16" i="28"/>
  <c r="E17" i="28"/>
  <c r="E19" i="28"/>
  <c r="G55" i="1"/>
  <c r="G27" i="1"/>
  <c r="G19" i="1"/>
  <c r="E2" i="28"/>
  <c r="G57" i="1"/>
  <c r="E47" i="28"/>
  <c r="E39" i="28"/>
  <c r="G45" i="1"/>
  <c r="E27" i="28"/>
  <c r="G30" i="1"/>
  <c r="E26" i="28"/>
  <c r="H22" i="1"/>
  <c r="E61" i="28"/>
  <c r="H35" i="1"/>
  <c r="G33" i="1"/>
  <c r="E18" i="28"/>
  <c r="E29" i="28"/>
  <c r="H52" i="1"/>
  <c r="E41" i="28"/>
  <c r="H62" i="1"/>
  <c r="O18" i="28"/>
  <c r="V66" i="28" l="1"/>
  <c r="L19" i="28"/>
  <c r="W19" i="28" s="1"/>
  <c r="L50" i="28"/>
  <c r="V50" i="28" s="1"/>
  <c r="L55" i="28"/>
  <c r="W55" i="28" s="1"/>
  <c r="L47" i="28"/>
  <c r="V47" i="28"/>
  <c r="L17" i="28"/>
  <c r="V17" i="28" s="1"/>
  <c r="L28" i="28"/>
  <c r="V28" i="28" s="1"/>
  <c r="L51" i="28"/>
  <c r="W51" i="28" s="1"/>
  <c r="L54" i="28"/>
  <c r="W54" i="28" s="1"/>
  <c r="L37" i="28"/>
  <c r="W37" i="28" s="1"/>
  <c r="L49" i="28"/>
  <c r="V49" i="28" s="1"/>
  <c r="L8" i="28"/>
  <c r="V8" i="28" s="1"/>
  <c r="L64" i="28"/>
  <c r="W64" i="28" s="1"/>
  <c r="L33" i="28"/>
  <c r="W33" i="28" s="1"/>
  <c r="L25" i="28"/>
  <c r="V25" i="28" s="1"/>
  <c r="L61" i="28"/>
  <c r="W61" i="28" s="1"/>
  <c r="L65" i="28"/>
  <c r="V65" i="28" s="1"/>
  <c r="L63" i="28"/>
  <c r="W63" i="28" s="1"/>
  <c r="L71" i="28"/>
  <c r="W71" i="28" s="1"/>
  <c r="L41" i="28"/>
  <c r="V41" i="28" s="1"/>
  <c r="L38" i="28"/>
  <c r="W38" i="28" s="1"/>
  <c r="L52" i="28"/>
  <c r="V52" i="28" s="1"/>
  <c r="L30" i="28"/>
  <c r="W30" i="28" s="1"/>
  <c r="L70" i="28"/>
  <c r="W70" i="28" s="1"/>
  <c r="L39" i="28"/>
  <c r="W39" i="28" s="1"/>
  <c r="L32" i="28"/>
  <c r="W32" i="28" s="1"/>
  <c r="L58" i="28"/>
  <c r="V58" i="28" s="1"/>
  <c r="L36" i="28"/>
  <c r="W36" i="28" s="1"/>
  <c r="L59" i="28"/>
  <c r="V59" i="28" s="1"/>
  <c r="L26" i="28"/>
  <c r="L21" i="28"/>
  <c r="V21" i="28" s="1"/>
  <c r="L62" i="28"/>
  <c r="L22" i="28"/>
  <c r="V22" i="28" s="1"/>
  <c r="L40" i="28"/>
  <c r="W40" i="28" s="1"/>
  <c r="L72" i="28"/>
  <c r="W72" i="28" s="1"/>
  <c r="L53" i="28"/>
  <c r="V53" i="28" s="1"/>
  <c r="L68" i="28"/>
  <c r="V68" i="28" s="1"/>
  <c r="L35" i="28"/>
  <c r="F35" i="28" s="1"/>
  <c r="L34" i="28"/>
  <c r="W34" i="28" s="1"/>
  <c r="L20" i="28"/>
  <c r="W20" i="28" s="1"/>
  <c r="L69" i="28"/>
  <c r="V69" i="28" s="1"/>
  <c r="L29" i="28"/>
  <c r="L56" i="28"/>
  <c r="W56" i="28" s="1"/>
  <c r="L31" i="28"/>
  <c r="W31" i="28" s="1"/>
  <c r="L27" i="28"/>
  <c r="V27" i="28" s="1"/>
  <c r="L23" i="28"/>
  <c r="V23" i="28" s="1"/>
  <c r="L42" i="28"/>
  <c r="V42" i="28" s="1"/>
  <c r="L18" i="28"/>
  <c r="W18" i="28" s="1"/>
  <c r="L24" i="28"/>
  <c r="W24" i="28" s="1"/>
  <c r="L48" i="28"/>
  <c r="W48" i="28" s="1"/>
  <c r="L43" i="28"/>
  <c r="W43" i="28" s="1"/>
  <c r="L60" i="28"/>
  <c r="W60" i="28" s="1"/>
  <c r="L46" i="28"/>
  <c r="W46" i="28" s="1"/>
  <c r="L6" i="28"/>
  <c r="W6" i="28" s="1"/>
  <c r="L96" i="28"/>
  <c r="L4" i="28"/>
  <c r="L9" i="28"/>
  <c r="V9" i="28" s="1"/>
  <c r="L10" i="28"/>
  <c r="F50" i="28"/>
  <c r="H63" i="1"/>
  <c r="L16" i="28"/>
  <c r="V16" i="28" s="1"/>
  <c r="H36" i="1"/>
  <c r="O46" i="28"/>
  <c r="L7" i="28"/>
  <c r="W7" i="28" s="1"/>
  <c r="F20" i="30" l="1"/>
  <c r="W47" i="28"/>
  <c r="G55" i="28"/>
  <c r="F16" i="28"/>
  <c r="V37" i="28"/>
  <c r="F72" i="28"/>
  <c r="V34" i="28"/>
  <c r="V54" i="28"/>
  <c r="F10" i="30"/>
  <c r="H10" i="30" s="1"/>
  <c r="V24" i="28"/>
  <c r="V56" i="28"/>
  <c r="V46" i="28"/>
  <c r="V38" i="28"/>
  <c r="F58" i="28"/>
  <c r="F9" i="30"/>
  <c r="H9" i="30" s="1"/>
  <c r="W58" i="28"/>
  <c r="W62" i="28"/>
  <c r="V33" i="28"/>
  <c r="F36" i="28"/>
  <c r="V70" i="28"/>
  <c r="V63" i="28"/>
  <c r="V51" i="28"/>
  <c r="V19" i="28"/>
  <c r="V43" i="28"/>
  <c r="G32" i="28"/>
  <c r="F70" i="28"/>
  <c r="V48" i="28"/>
  <c r="V64" i="28"/>
  <c r="V55" i="28"/>
  <c r="F48" i="28"/>
  <c r="F26" i="30"/>
  <c r="H26" i="30" s="1"/>
  <c r="V72" i="28"/>
  <c r="V39" i="28"/>
  <c r="V61" i="28"/>
  <c r="F8" i="30"/>
  <c r="V60" i="28"/>
  <c r="V18" i="28"/>
  <c r="V31" i="28"/>
  <c r="F7" i="30"/>
  <c r="H7" i="30" s="1"/>
  <c r="Q38" i="28"/>
  <c r="G38" i="28" s="1"/>
  <c r="W35" i="28"/>
  <c r="F10" i="28"/>
  <c r="W10" i="28"/>
  <c r="F52" i="28"/>
  <c r="W52" i="28"/>
  <c r="F17" i="28"/>
  <c r="W17" i="28"/>
  <c r="F32" i="28"/>
  <c r="F55" i="28"/>
  <c r="F9" i="28"/>
  <c r="W9" i="28"/>
  <c r="F69" i="28"/>
  <c r="W69" i="28"/>
  <c r="F68" i="28"/>
  <c r="W68" i="28"/>
  <c r="F22" i="28"/>
  <c r="W22" i="28"/>
  <c r="F59" i="28"/>
  <c r="W59" i="28"/>
  <c r="F51" i="28"/>
  <c r="F46" i="28"/>
  <c r="H71" i="28"/>
  <c r="Q71" i="28" s="1"/>
  <c r="V20" i="28"/>
  <c r="V62" i="28"/>
  <c r="V36" i="28"/>
  <c r="F65" i="28"/>
  <c r="W65" i="28"/>
  <c r="F27" i="28"/>
  <c r="W27" i="28"/>
  <c r="D1" i="28"/>
  <c r="F24" i="28"/>
  <c r="F11" i="30"/>
  <c r="H11" i="30" s="1"/>
  <c r="F14" i="30"/>
  <c r="G31" i="28"/>
  <c r="Q31" i="28" s="1"/>
  <c r="F21" i="28"/>
  <c r="W21" i="28"/>
  <c r="V30" i="28"/>
  <c r="V71" i="28"/>
  <c r="F29" i="28"/>
  <c r="W29" i="28"/>
  <c r="F26" i="28"/>
  <c r="W26" i="28"/>
  <c r="Q55" i="28"/>
  <c r="F29" i="30"/>
  <c r="H29" i="30" s="1"/>
  <c r="G46" i="28"/>
  <c r="Q46" i="28" s="1"/>
  <c r="F40" i="28"/>
  <c r="F53" i="28"/>
  <c r="W53" i="28"/>
  <c r="F56" i="28"/>
  <c r="F42" i="28"/>
  <c r="W42" i="28"/>
  <c r="F41" i="28"/>
  <c r="W41" i="28"/>
  <c r="F8" i="28"/>
  <c r="W8" i="28"/>
  <c r="F17" i="30"/>
  <c r="F43" i="28"/>
  <c r="F38" i="28"/>
  <c r="F31" i="28"/>
  <c r="W16" i="28"/>
  <c r="F39" i="28"/>
  <c r="F23" i="28"/>
  <c r="W23" i="28"/>
  <c r="V29" i="28"/>
  <c r="V35" i="28"/>
  <c r="V40" i="28"/>
  <c r="V26" i="28"/>
  <c r="V32" i="28"/>
  <c r="F25" i="28"/>
  <c r="W25" i="28"/>
  <c r="F49" i="28"/>
  <c r="W49" i="28"/>
  <c r="F28" i="28"/>
  <c r="W28" i="28"/>
  <c r="F28" i="30"/>
  <c r="H28" i="30" s="1"/>
  <c r="W50" i="28"/>
  <c r="F6" i="28"/>
  <c r="V6" i="28"/>
  <c r="V7" i="28"/>
  <c r="V10" i="28"/>
  <c r="G56" i="28"/>
  <c r="Q56" i="28" s="1"/>
  <c r="F20" i="28"/>
  <c r="G20" i="28"/>
  <c r="Q20" i="28" s="1"/>
  <c r="F7" i="28"/>
  <c r="Q32" i="28" l="1"/>
  <c r="J98" i="28" s="1"/>
  <c r="L98" i="28"/>
  <c r="H30" i="30"/>
  <c r="F30" i="30"/>
  <c r="H12" i="30"/>
  <c r="F12" i="30"/>
  <c r="F15" i="30" s="1"/>
  <c r="F18" i="30" s="1"/>
  <c r="C22" i="30" s="1"/>
  <c r="F71" i="28"/>
  <c r="C21" i="30" l="1"/>
  <c r="F32" i="30"/>
  <c r="H32" i="30"/>
  <c r="F21" i="30"/>
</calcChain>
</file>

<file path=xl/sharedStrings.xml><?xml version="1.0" encoding="utf-8"?>
<sst xmlns="http://schemas.openxmlformats.org/spreadsheetml/2006/main" count="1009" uniqueCount="560">
  <si>
    <t xml:space="preserve">Unit Number:      </t>
  </si>
  <si>
    <t>Description of Requested Amount from Audited Financial Statements</t>
  </si>
  <si>
    <t>Error Messages</t>
  </si>
  <si>
    <t>Notes</t>
  </si>
  <si>
    <t>Notes to the Financial Statements - Other Post-employment benefits (OPEB) Note</t>
  </si>
  <si>
    <t>(The OPEB amounts requested are normally in the OPEB note - however, many of them can also be found on the Required Supplementary Information Schedule for OPEB that follows the Notes.)</t>
  </si>
  <si>
    <t>Notes to the Financial Statements -Fund Balance Note</t>
  </si>
  <si>
    <t>Upload Amounts</t>
  </si>
  <si>
    <t xml:space="preserve"> </t>
  </si>
  <si>
    <t xml:space="preserve">Fiscal Year </t>
  </si>
  <si>
    <t>Water Sewer Dashboard</t>
  </si>
  <si>
    <t>NC County and Municipal Financial Information</t>
  </si>
  <si>
    <t xml:space="preserve">                                                            FINISHED</t>
  </si>
  <si>
    <t>Description</t>
  </si>
  <si>
    <t>Account #</t>
  </si>
  <si>
    <t>Fiscal Year Reviewer Corrections</t>
  </si>
  <si>
    <t>Fiscal Year Unit Input</t>
  </si>
  <si>
    <r>
      <t xml:space="preserve">Instructions:  See Previous Excel tab - </t>
    </r>
    <r>
      <rPr>
        <sz val="14"/>
        <color indexed="8"/>
        <rFont val="Century Schoolbook"/>
        <family val="1"/>
      </rPr>
      <t>Please enter current year audited data in column F</t>
    </r>
  </si>
  <si>
    <t xml:space="preserve">                    FINISHED</t>
  </si>
  <si>
    <t>IMPORT</t>
  </si>
  <si>
    <t>Errors</t>
  </si>
  <si>
    <t>Yes</t>
  </si>
  <si>
    <t>No</t>
  </si>
  <si>
    <t>Review Summary</t>
  </si>
  <si>
    <t>Error Detection</t>
  </si>
  <si>
    <t>Review Summary - FBA</t>
  </si>
  <si>
    <t>General Info used to evaluate health of unit</t>
  </si>
  <si>
    <t>Fiduciary Funds</t>
  </si>
  <si>
    <t>Calculation</t>
  </si>
  <si>
    <t>Total</t>
  </si>
  <si>
    <t>Without Including Restricted Cash</t>
  </si>
  <si>
    <t>Fund Balance Available for Appropriation - G.S. §159-8(a)</t>
  </si>
  <si>
    <t>Unrestricted Cash and Investments ………………………………..…………………..</t>
  </si>
  <si>
    <t>Restricted cash and investments (This would normally include Powell Bill, Bond Proceeds, consolidated funds such as capital reserve funds or tax revaluation funds)</t>
  </si>
  <si>
    <t>Encumbrances at June 30 (listed in the notes)……………………………...…………………………</t>
  </si>
  <si>
    <t>Unavailable or Unearned Revenues Arising from Cash Receipts ……………………………</t>
  </si>
  <si>
    <t>ü</t>
  </si>
  <si>
    <t>Fund Balance Available for Appropriation ……………………………………………………….</t>
  </si>
  <si>
    <t>Total Fund Balance (From Audited Financial Statements) ……………………………………..………………….</t>
  </si>
  <si>
    <t>Total Restricted by State Statue………………………………………….…………………………………………..</t>
  </si>
  <si>
    <t>Restricted by State Statute Presented on Financial Statements</t>
  </si>
  <si>
    <t>Less</t>
  </si>
  <si>
    <t>Non Spendable -  Inventory, Prepaids, or Other ……………………………………………...…………………..</t>
  </si>
  <si>
    <t>Restricted - Stabilization by State Statute (LGC calculation) …………………….………………..</t>
  </si>
  <si>
    <t>Restricted - Stabilization by State Statute (From Audited Financial Statements) ……………………….…………….…………………………</t>
  </si>
  <si>
    <t>Analysis</t>
  </si>
  <si>
    <t>Without Including</t>
  </si>
  <si>
    <t xml:space="preserve"> Total </t>
  </si>
  <si>
    <t>Expenditures - General Fund</t>
  </si>
  <si>
    <t>Total Expenditures - General Fund ………………………………..………………………………..</t>
  </si>
  <si>
    <t>Adjustments</t>
  </si>
  <si>
    <t xml:space="preserve">    Transfers Out …………………………...…………………………………...…….</t>
  </si>
  <si>
    <t xml:space="preserve">    Issuance of Capital Leases &amp; Installment Purchases ……………...………….</t>
  </si>
  <si>
    <t>Total Expenditures (As Adjusted) ………………………………...…………………….</t>
  </si>
  <si>
    <t xml:space="preserve">    Fund Balance Available  as % of Expenditures …………………………..........</t>
  </si>
  <si>
    <t xml:space="preserve"> Restricted Cash</t>
  </si>
  <si>
    <t>Gov - Net Investment in Capital Assets</t>
  </si>
  <si>
    <t>Gov - Restricted Net Position</t>
  </si>
  <si>
    <t>Gov - Unrestricted Net Position</t>
  </si>
  <si>
    <t>Gov - Any Adj. to Beginning Net Position</t>
  </si>
  <si>
    <t>How Data is used</t>
  </si>
  <si>
    <t>Statutory Calculation of Fund Balance Available for Appropriation At June 30 for the General Fund
Restricted - Stabilization by State Statute</t>
  </si>
  <si>
    <t>Gov - Total Assets and deferred outflows</t>
  </si>
  <si>
    <t>Gov - Total Liabilities and total deferred inflows</t>
  </si>
  <si>
    <t>Gov - Unearned Revenues included in Select Current Liabilities</t>
  </si>
  <si>
    <t>Gen Fund - Total Assets and deferred outflows</t>
  </si>
  <si>
    <t>Gen  Fund - Current  Liabilities</t>
  </si>
  <si>
    <t>Gen Fund - deferred inflows derived from Cash Receipts</t>
  </si>
  <si>
    <t>Gen Fund - Deferred inflows Not from Cash Receipts</t>
  </si>
  <si>
    <t>New Questions  -  Please read and answer if applicable</t>
  </si>
  <si>
    <t>LGC USE</t>
  </si>
  <si>
    <t>Government Wide Statements - Net Position Statement - Governmental Activities Column</t>
  </si>
  <si>
    <t>Statement</t>
  </si>
  <si>
    <t>Net Position-Governmental Activities</t>
  </si>
  <si>
    <r>
      <t xml:space="preserve"> </t>
    </r>
    <r>
      <rPr>
        <u/>
        <sz val="11"/>
        <color indexed="8"/>
        <rFont val="Calibri"/>
        <family val="2"/>
      </rPr>
      <t>All restricted Cash and investments</t>
    </r>
  </si>
  <si>
    <t>Total Assets and deferred outflows</t>
  </si>
  <si>
    <t>Total Liabilities and total deferred inflows</t>
  </si>
  <si>
    <t xml:space="preserve"> Total Net investment in capital assets</t>
  </si>
  <si>
    <t xml:space="preserve"> Total Net Position, Restricted</t>
  </si>
  <si>
    <t>Total Net Position, Unrestricted</t>
  </si>
  <si>
    <t>Government Wide Statements-Net Position-Business Activities Column</t>
  </si>
  <si>
    <r>
      <rPr>
        <u/>
        <sz val="11"/>
        <color indexed="8"/>
        <rFont val="Calibri"/>
        <family val="2"/>
      </rPr>
      <t>All unrestricted Cash and investments.</t>
    </r>
    <r>
      <rPr>
        <sz val="11"/>
        <color theme="1"/>
        <rFont val="Calibri"/>
        <family val="2"/>
        <scheme val="minor"/>
      </rPr>
      <t xml:space="preserve"> 
</t>
    </r>
    <r>
      <rPr>
        <b/>
        <sz val="11"/>
        <color indexed="8"/>
        <rFont val="Calibri"/>
        <family val="2"/>
      </rPr>
      <t>Exclude</t>
    </r>
    <r>
      <rPr>
        <sz val="11"/>
        <color theme="1"/>
        <rFont val="Calibri"/>
        <family val="2"/>
        <scheme val="minor"/>
      </rPr>
      <t xml:space="preserve"> restricted cash and cash held by a third party. </t>
    </r>
  </si>
  <si>
    <t>All restricted Cash and investments</t>
  </si>
  <si>
    <t>Net Position-Business Activities</t>
  </si>
  <si>
    <t>Government Wide Statements - Statement of Activities  - Governmental Activities Column</t>
  </si>
  <si>
    <t xml:space="preserve">Charges for services </t>
  </si>
  <si>
    <t>Operating grants and contributions</t>
  </si>
  <si>
    <t>Capital grants and contributions</t>
  </si>
  <si>
    <t>Statement of Activities - Governmental</t>
  </si>
  <si>
    <r>
      <t>Total Transfers in</t>
    </r>
    <r>
      <rPr>
        <sz val="11"/>
        <color theme="1"/>
        <rFont val="Calibri"/>
        <family val="2"/>
        <scheme val="minor"/>
      </rPr>
      <t xml:space="preserve">    </t>
    </r>
    <r>
      <rPr>
        <sz val="11"/>
        <color indexed="60"/>
        <rFont val="Calibri"/>
        <family val="2"/>
      </rPr>
      <t>(Preference is that transfers-in  are not netted against transfers-out)</t>
    </r>
  </si>
  <si>
    <r>
      <t>Total Transfers out</t>
    </r>
    <r>
      <rPr>
        <sz val="11"/>
        <color theme="1"/>
        <rFont val="Calibri"/>
        <family val="2"/>
        <scheme val="minor"/>
      </rPr>
      <t xml:space="preserve">    </t>
    </r>
    <r>
      <rPr>
        <sz val="11"/>
        <color indexed="60"/>
        <rFont val="Calibri"/>
        <family val="2"/>
      </rPr>
      <t>(Preference is that transfers-in  are not netted against transfers-out)</t>
    </r>
  </si>
  <si>
    <t>Fund Statements - General Fund Balance Sheet</t>
  </si>
  <si>
    <t>All restricted cash and investments</t>
  </si>
  <si>
    <t xml:space="preserve">Fund balance, Restricted for Stabilization by State Statute </t>
  </si>
  <si>
    <t>Fund balance, Nonspendable-  inventory/prepaids/etc.</t>
  </si>
  <si>
    <t>General Fund-Balance Sheet</t>
  </si>
  <si>
    <t>Total revenues</t>
  </si>
  <si>
    <r>
      <rPr>
        <u/>
        <sz val="11"/>
        <rFont val="Calibri"/>
        <family val="2"/>
      </rPr>
      <t>Total Proceeds from all long-term debt issuances</t>
    </r>
    <r>
      <rPr>
        <sz val="11"/>
        <rFont val="Calibri"/>
        <family val="2"/>
      </rPr>
      <t xml:space="preserve"> 
</t>
    </r>
    <r>
      <rPr>
        <b/>
        <sz val="11"/>
        <rFont val="Calibri"/>
        <family val="2"/>
      </rPr>
      <t xml:space="preserve">Exclude </t>
    </r>
    <r>
      <rPr>
        <sz val="11"/>
        <rFont val="Calibri"/>
        <family val="2"/>
      </rPr>
      <t>proceeds from refundings</t>
    </r>
  </si>
  <si>
    <r>
      <rPr>
        <u/>
        <sz val="11"/>
        <color indexed="8"/>
        <rFont val="Calibri"/>
        <family val="2"/>
      </rPr>
      <t>Change in fund balance</t>
    </r>
    <r>
      <rPr>
        <sz val="11"/>
        <color theme="1"/>
        <rFont val="Calibri"/>
        <family val="2"/>
        <scheme val="minor"/>
      </rPr>
      <t xml:space="preserve"> - </t>
    </r>
    <r>
      <rPr>
        <sz val="11"/>
        <color indexed="60"/>
        <rFont val="Calibri"/>
        <family val="2"/>
      </rPr>
      <t>(Increase in Fund balance is recorded as a positive and a decrease in fund balance is recorded as a negative)</t>
    </r>
  </si>
  <si>
    <t xml:space="preserve">    General Fund Only - Statement of Revenue, Expenditures and Changes in Fund Balance </t>
  </si>
  <si>
    <t>General Fund-Rev, Exp. Change in Fund Balance</t>
  </si>
  <si>
    <r>
      <rPr>
        <u/>
        <sz val="11"/>
        <color indexed="8"/>
        <rFont val="Calibri"/>
        <family val="2"/>
      </rPr>
      <t>General fund deferred inflows derived from cash receipts</t>
    </r>
    <r>
      <rPr>
        <sz val="11"/>
        <color indexed="8"/>
        <rFont val="Calibri"/>
        <family val="2"/>
      </rPr>
      <t xml:space="preserve">. 
</t>
    </r>
    <r>
      <rPr>
        <sz val="11"/>
        <color indexed="60"/>
        <rFont val="Calibri"/>
        <family val="2"/>
      </rPr>
      <t xml:space="preserve"> Prepaid taxes is a common item listed.  Deferred inflows on the face of the statements can include cash and non-cash.  You may have to refer to the note disclosure where the cash and non-cash is broken out.</t>
    </r>
  </si>
  <si>
    <r>
      <rPr>
        <u/>
        <sz val="11"/>
        <color indexed="8"/>
        <rFont val="Calibri"/>
        <family val="2"/>
      </rPr>
      <t>Total Deferred inflows not derived from cash receipts.</t>
    </r>
    <r>
      <rPr>
        <sz val="11"/>
        <color indexed="8"/>
        <rFont val="Calibri"/>
        <family val="2"/>
      </rPr>
      <t xml:space="preserve">  </t>
    </r>
    <r>
      <rPr>
        <sz val="11"/>
        <color indexed="60"/>
        <rFont val="Calibri"/>
        <family val="2"/>
      </rPr>
      <t>Deferred inflows on the face of the statements can include cash and non-cash.  You may have to refer to the note disclosure where the cash and non-cash is broken out.</t>
    </r>
  </si>
  <si>
    <r>
      <rPr>
        <u/>
        <sz val="11"/>
        <rFont val="Calibri"/>
        <family val="2"/>
      </rPr>
      <t>Total expenditures</t>
    </r>
    <r>
      <rPr>
        <sz val="11"/>
        <rFont val="Calibri"/>
        <family val="2"/>
      </rPr>
      <t xml:space="preserve">  
</t>
    </r>
    <r>
      <rPr>
        <b/>
        <sz val="11"/>
        <rFont val="Calibri"/>
        <family val="2"/>
      </rPr>
      <t>Exclude</t>
    </r>
    <r>
      <rPr>
        <sz val="11"/>
        <rFont val="Calibri"/>
        <family val="2"/>
      </rPr>
      <t xml:space="preserve"> expenditures in the "other financing sources (uses)" section.
</t>
    </r>
  </si>
  <si>
    <r>
      <rPr>
        <u/>
        <sz val="11"/>
        <color indexed="8"/>
        <rFont val="Calibri"/>
        <family val="2"/>
      </rPr>
      <t>Cash and investments</t>
    </r>
    <r>
      <rPr>
        <sz val="11"/>
        <color theme="1"/>
        <rFont val="Calibri"/>
        <family val="2"/>
        <scheme val="minor"/>
      </rPr>
      <t xml:space="preserve">.  
</t>
    </r>
    <r>
      <rPr>
        <b/>
        <sz val="11"/>
        <color indexed="8"/>
        <rFont val="Calibri"/>
        <family val="2"/>
      </rPr>
      <t>Include:</t>
    </r>
    <r>
      <rPr>
        <sz val="11"/>
        <color theme="1"/>
        <rFont val="Calibri"/>
        <family val="2"/>
        <scheme val="minor"/>
      </rPr>
      <t xml:space="preserve">  unrestricted and restricted.  
                 cash and investments held by a third party</t>
    </r>
  </si>
  <si>
    <t>Fiduciary Statements</t>
  </si>
  <si>
    <t>OPEB Note</t>
  </si>
  <si>
    <r>
      <rPr>
        <u/>
        <sz val="11"/>
        <color indexed="8"/>
        <rFont val="Calibri"/>
        <family val="2"/>
      </rPr>
      <t>General Fund -  Total Encumbrances.</t>
    </r>
    <r>
      <rPr>
        <sz val="11"/>
        <color theme="1"/>
        <rFont val="Calibri"/>
        <family val="2"/>
        <scheme val="minor"/>
      </rPr>
      <t xml:space="preserve">  </t>
    </r>
    <r>
      <rPr>
        <sz val="11"/>
        <color indexed="60"/>
        <rFont val="Calibri"/>
        <family val="2"/>
      </rPr>
      <t>You will probably have to refer to the note disclosure where the amount of encumbrances is listed.</t>
    </r>
  </si>
  <si>
    <t>Fund Balance Note</t>
  </si>
  <si>
    <t>Liabilities……………………………………………………………….………………………….</t>
  </si>
  <si>
    <r>
      <rPr>
        <u/>
        <sz val="11"/>
        <color indexed="8"/>
        <rFont val="Calibri"/>
        <family val="2"/>
      </rPr>
      <t>Total Special and Extraordinary items</t>
    </r>
    <r>
      <rPr>
        <sz val="11"/>
        <color theme="1"/>
        <rFont val="Calibri"/>
        <family val="2"/>
        <scheme val="minor"/>
      </rPr>
      <t xml:space="preserve">.   </t>
    </r>
    <r>
      <rPr>
        <sz val="11"/>
        <color indexed="60"/>
        <rFont val="Calibri"/>
        <family val="2"/>
      </rPr>
      <t xml:space="preserve"> (Amounts that increase net position are recorded as positive and amounts that decrease net position are recorded as negative)</t>
    </r>
  </si>
  <si>
    <r>
      <rPr>
        <u/>
        <sz val="11"/>
        <color indexed="8"/>
        <rFont val="Calibri"/>
        <family val="2"/>
      </rPr>
      <t>Total Change in net position</t>
    </r>
    <r>
      <rPr>
        <sz val="11"/>
        <color theme="1"/>
        <rFont val="Calibri"/>
        <family val="2"/>
        <scheme val="minor"/>
      </rPr>
      <t xml:space="preserve"> - </t>
    </r>
    <r>
      <rPr>
        <sz val="11"/>
        <color indexed="60"/>
        <rFont val="Calibri"/>
        <family val="2"/>
      </rPr>
      <t>(Increase in net position is recorded as a positive and a decrease in net position is recorded as a negative)</t>
    </r>
  </si>
  <si>
    <t>Gov - Restricted Cash &amp; Investments</t>
  </si>
  <si>
    <t>Gov - Internal Balance</t>
  </si>
  <si>
    <t>Bus - Unrestricted Cash &amp; Investments</t>
  </si>
  <si>
    <t>Bus - Restricted Cash &amp; Investments</t>
  </si>
  <si>
    <t>Gov - Total Expenses</t>
  </si>
  <si>
    <t>Gov - Charges for Services</t>
  </si>
  <si>
    <t>Gov - Operating grants and contributions</t>
  </si>
  <si>
    <t>Gov - Capital grants and contributions</t>
  </si>
  <si>
    <t>Gov - Total General Revenues</t>
  </si>
  <si>
    <t>Gov - Total Transfers In</t>
  </si>
  <si>
    <t>Gov - Total Transfers Out</t>
  </si>
  <si>
    <t>Gov - Special &amp; Extraordinary Items</t>
  </si>
  <si>
    <t>Gov - Change in Net Position</t>
  </si>
  <si>
    <t>Gen Fund - Unrestricted Cash &amp; Investments</t>
  </si>
  <si>
    <t>Gen Fund - Restricted Cash &amp; Investments</t>
  </si>
  <si>
    <t>Gen Fund - RSS</t>
  </si>
  <si>
    <t>Gen Fund - Nonspendable</t>
  </si>
  <si>
    <t>Gen Fund - Total Fund Balance per report</t>
  </si>
  <si>
    <t>Gen Fund - Total Revenue</t>
  </si>
  <si>
    <t>Gen Fund - Total Expenditures (w/o Neg Refund)</t>
  </si>
  <si>
    <t xml:space="preserve">Gen Fund - Total Expenditures </t>
  </si>
  <si>
    <t>Gen Fund - Transfers In</t>
  </si>
  <si>
    <t>Gen Fund - Transfers Out</t>
  </si>
  <si>
    <t xml:space="preserve">Gen Fund - Proceeds from LTD </t>
  </si>
  <si>
    <t>Gen Fund - Other items</t>
  </si>
  <si>
    <t>Gen Fund - Positive debt refund</t>
  </si>
  <si>
    <t>Gen fund - Negative debt refund</t>
  </si>
  <si>
    <t>Gen Fund - Change in Fund Balance</t>
  </si>
  <si>
    <t>Gen Fund - Any Adj. to Beginning Net Assets</t>
  </si>
  <si>
    <t>WS - Inventories &amp; Prepaids in Curr Assets</t>
  </si>
  <si>
    <t>Electric - Inventories &amp; Prepaids in Curr Assets</t>
  </si>
  <si>
    <t>Fiduciary - Cash and Investments</t>
  </si>
  <si>
    <t>OPEB- Actuarial Value of Assets</t>
  </si>
  <si>
    <t>Transfer from General Fund to Electric</t>
  </si>
  <si>
    <t>Transfer from Electric to General Fund</t>
  </si>
  <si>
    <t>Gen Fund - Encumbrances</t>
  </si>
  <si>
    <t>Current year's levy -- Excluding motor vehicles</t>
  </si>
  <si>
    <t>Current year's levy -- Motor vehicles (only)</t>
  </si>
  <si>
    <t>Uncollected Taxes - Curr Year's Levy Exclude Motor Vehicles</t>
  </si>
  <si>
    <t>Uncollected Taxes - Curr Year's Levy Motor Vehicles</t>
  </si>
  <si>
    <t>Comb-Proprietary Funds- Inventories &amp; Prepaids in Curr Assets</t>
  </si>
  <si>
    <t>WS Cap Asset - Buildings</t>
  </si>
  <si>
    <t>WS Cap Asset - Plant/Distributions/Lines</t>
  </si>
  <si>
    <t>WS Cap Asset - Infrastructure</t>
  </si>
  <si>
    <t>WS Cap Asset- All other Depreciable Assets</t>
  </si>
  <si>
    <t>WS Annual Dep - Buildings</t>
  </si>
  <si>
    <t>WS Annual Dep - Plant/Distributions/Lines</t>
  </si>
  <si>
    <t>WS Annual Dep - Infrastructure</t>
  </si>
  <si>
    <t>WS Annual Dep - All Other Depreciable Assets</t>
  </si>
  <si>
    <t>WS Acc Dep - Buildings</t>
  </si>
  <si>
    <t>WS Acc Dep - Plant/Distributions/Lines</t>
  </si>
  <si>
    <t>WS Acc Dep - Infrastructure</t>
  </si>
  <si>
    <t>WS Acc Dep - All Other Depreciable Assets</t>
  </si>
  <si>
    <t>Electric Cap Asset - Gross Value of Non-Depreciated Assets</t>
  </si>
  <si>
    <t>CCH Unit Type</t>
  </si>
  <si>
    <t>CCH Unit Code</t>
  </si>
  <si>
    <t>Prior Year Amts.</t>
  </si>
  <si>
    <t>Combined Totals of all Proprietary Funds - Cash Flow from Operating</t>
  </si>
  <si>
    <t>Combined Totals of all Proprietary Funds - Capital Contributions</t>
  </si>
  <si>
    <t>GF- Restricted cash &amp; investments</t>
  </si>
  <si>
    <t>GF- Total Intergovernmental revenue (Rest &amp; Unrest)</t>
  </si>
  <si>
    <t>GA- Total accum. deprec. on all capital assets</t>
  </si>
  <si>
    <t>GA- Transfers In (SOA)</t>
  </si>
  <si>
    <t>GA- extraordinary &amp; special items (SOA)</t>
  </si>
  <si>
    <t>GF- Restricted for Stablization by State Statute</t>
  </si>
  <si>
    <t>Gen Fund - Proceeds from LTD (w/o Pos Refund)</t>
  </si>
  <si>
    <t>Select Your Unit's Name from the drop down box in cell D2</t>
  </si>
  <si>
    <r>
      <rPr>
        <u/>
        <sz val="11"/>
        <color indexed="8"/>
        <rFont val="Calibri"/>
        <family val="2"/>
      </rPr>
      <t xml:space="preserve"> All unrestricted Cash and investments.</t>
    </r>
    <r>
      <rPr>
        <sz val="11"/>
        <color theme="1"/>
        <rFont val="Calibri"/>
        <family val="2"/>
        <scheme val="minor"/>
      </rPr>
      <t xml:space="preserve">  
</t>
    </r>
    <r>
      <rPr>
        <b/>
        <sz val="11"/>
        <color indexed="8"/>
        <rFont val="Calibri"/>
        <family val="2"/>
      </rPr>
      <t>Exclude:</t>
    </r>
    <r>
      <rPr>
        <sz val="11"/>
        <color theme="1"/>
        <rFont val="Calibri"/>
        <family val="2"/>
        <scheme val="minor"/>
      </rPr>
      <t xml:space="preserve"> restricted cash 
                   cash held by a third party. </t>
    </r>
  </si>
  <si>
    <r>
      <t xml:space="preserve">All unrestricted cash and investments.  
</t>
    </r>
    <r>
      <rPr>
        <b/>
        <sz val="11"/>
        <color indexed="8"/>
        <rFont val="Calibri"/>
        <family val="2"/>
      </rPr>
      <t>Exclude</t>
    </r>
    <r>
      <rPr>
        <sz val="11"/>
        <color indexed="8"/>
        <rFont val="Calibri"/>
        <family val="2"/>
      </rPr>
      <t xml:space="preserve"> restricted cash and cash held by a third party. </t>
    </r>
  </si>
  <si>
    <r>
      <t xml:space="preserve">Total Transfers in   </t>
    </r>
    <r>
      <rPr>
        <sz val="11"/>
        <color indexed="60"/>
        <rFont val="Calibri"/>
        <family val="2"/>
      </rPr>
      <t xml:space="preserve"> (Preference is that transfers-in  are not netted against transfers-out)</t>
    </r>
  </si>
  <si>
    <r>
      <t xml:space="preserve">Total Transfers out   </t>
    </r>
    <r>
      <rPr>
        <sz val="11"/>
        <color theme="1"/>
        <rFont val="Calibri"/>
        <family val="2"/>
        <scheme val="minor"/>
      </rPr>
      <t xml:space="preserve"> </t>
    </r>
    <r>
      <rPr>
        <sz val="11"/>
        <color indexed="60"/>
        <rFont val="Calibri"/>
        <family val="2"/>
      </rPr>
      <t>(Preference is that transfers-in  are not netted against transfers-out)</t>
    </r>
  </si>
  <si>
    <r>
      <rPr>
        <u/>
        <sz val="11"/>
        <color indexed="8"/>
        <rFont val="Calibri"/>
        <family val="2"/>
      </rPr>
      <t xml:space="preserve">Total General revenues
</t>
    </r>
    <r>
      <rPr>
        <b/>
        <u/>
        <sz val="11"/>
        <color indexed="8"/>
        <rFont val="Calibri"/>
        <family val="2"/>
      </rPr>
      <t>E</t>
    </r>
    <r>
      <rPr>
        <b/>
        <sz val="11"/>
        <color indexed="8"/>
        <rFont val="Calibri"/>
        <family val="2"/>
      </rPr>
      <t>xclude:</t>
    </r>
    <r>
      <rPr>
        <sz val="11"/>
        <color indexed="8"/>
        <rFont val="Calibri"/>
        <family val="2"/>
      </rPr>
      <t xml:space="preserve"> transfers-in or out,
                 special items,
                 extraordinary amounts</t>
    </r>
  </si>
  <si>
    <r>
      <rPr>
        <u/>
        <sz val="11"/>
        <color indexed="8"/>
        <rFont val="Calibri"/>
        <family val="2"/>
      </rPr>
      <t>Any adjustment to beginning net position including rounding, prior period adjustments and restatements</t>
    </r>
    <r>
      <rPr>
        <sz val="11"/>
        <color theme="1"/>
        <rFont val="Calibri"/>
        <family val="2"/>
        <scheme val="minor"/>
      </rPr>
      <t xml:space="preserve">.  </t>
    </r>
    <r>
      <rPr>
        <sz val="11"/>
        <color indexed="60"/>
        <rFont val="Calibri"/>
        <family val="2"/>
      </rPr>
      <t xml:space="preserve"> (Increases to net position are positive; decreases to net position are negative)</t>
    </r>
  </si>
  <si>
    <r>
      <rPr>
        <u/>
        <sz val="11"/>
        <color indexed="8"/>
        <rFont val="Calibri"/>
        <family val="2"/>
      </rPr>
      <t>Total Fund balance</t>
    </r>
    <r>
      <rPr>
        <sz val="11"/>
        <color theme="1"/>
        <rFont val="Calibri"/>
        <family val="2"/>
        <scheme val="minor"/>
      </rPr>
      <t xml:space="preserve"> </t>
    </r>
    <r>
      <rPr>
        <sz val="11"/>
        <color indexed="60"/>
        <rFont val="Calibri"/>
        <family val="2"/>
      </rPr>
      <t>(enter fund deficits as negative)</t>
    </r>
  </si>
  <si>
    <t>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t>
  </si>
  <si>
    <t>Debt Refunding - Net refunding proceeds against debt payoff and if negative place results on this line.</t>
  </si>
  <si>
    <t xml:space="preserve">All other items on this statement that were not included in total revenues, total expenditures, transfers in or out, or proceeds from long-term debt above.  </t>
  </si>
  <si>
    <t>Debt Refunding - Net refunding proceeds against debt payoff and if positive place results on this line.</t>
  </si>
  <si>
    <t>If your unit is not on the Drop Down list in cell D2 please select the blank space at the top of the drop down list in cell D2 and enter your units name here and complete the worksheet</t>
  </si>
  <si>
    <t xml:space="preserve">OPEB 
1-implicit rate only  
2-no benefit 
3-benfit 
4- state health plan  </t>
  </si>
  <si>
    <t>Pension Notes</t>
  </si>
  <si>
    <t>Note this number is adjusted for any negative internal balances</t>
  </si>
  <si>
    <t>Formula Results</t>
  </si>
  <si>
    <t>GW-positive internal balance</t>
  </si>
  <si>
    <t>GW-negative internal balance</t>
  </si>
  <si>
    <t>Error Amounts</t>
  </si>
  <si>
    <t>Error Count</t>
  </si>
  <si>
    <r>
      <rPr>
        <u/>
        <sz val="11"/>
        <color indexed="8"/>
        <rFont val="Calibri"/>
        <family val="2"/>
      </rPr>
      <t xml:space="preserve">Unearned revenues that were included in current liabilities in your audit report or entered in acct # 336 above. </t>
    </r>
    <r>
      <rPr>
        <sz val="11"/>
        <color theme="1"/>
        <rFont val="Calibri"/>
        <family val="2"/>
        <scheme val="minor"/>
      </rPr>
      <t xml:space="preserve">
</t>
    </r>
    <r>
      <rPr>
        <b/>
        <sz val="11"/>
        <color indexed="8"/>
        <rFont val="Calibri"/>
        <family val="2"/>
      </rPr>
      <t xml:space="preserve">Exclude - </t>
    </r>
    <r>
      <rPr>
        <sz val="11"/>
        <color theme="1"/>
        <rFont val="Calibri"/>
        <family val="2"/>
        <scheme val="minor"/>
      </rPr>
      <t>unearned revenues that are listed in deferred inflows.</t>
    </r>
  </si>
  <si>
    <t>Errors :  The cell to the left indicates the number of error messages on the data input tab</t>
  </si>
  <si>
    <t>Unit Data Input Worksheet - Airport</t>
  </si>
  <si>
    <t>Fund Statements - Enterprise</t>
  </si>
  <si>
    <t>Statement of Net Position - combined totals from all Proprietary Funds</t>
  </si>
  <si>
    <t>Combined Totals of all Proprietary Funds - Amount of Inventories and Prepaids in current assets</t>
  </si>
  <si>
    <r>
      <t xml:space="preserve">Comb-Proprietary Funds-Current Assets 
</t>
    </r>
    <r>
      <rPr>
        <b/>
        <sz val="11"/>
        <color indexed="8"/>
        <rFont val="Calibri"/>
        <family val="2"/>
      </rPr>
      <t>Exclude:</t>
    </r>
    <r>
      <rPr>
        <sz val="11"/>
        <color theme="1"/>
        <rFont val="Calibri"/>
        <family val="2"/>
        <scheme val="minor"/>
      </rPr>
      <t xml:space="preserve"> any restricted assets
                  deferred outflows.</t>
    </r>
  </si>
  <si>
    <t>Rev,, Exp. &amp; Changes in Net Position-combined totals from all proprietary funds</t>
  </si>
  <si>
    <t>Combined Totals of all Proprietary Funds - Depreciation &amp; Amortization Expense (Enter as a Positive)</t>
  </si>
  <si>
    <r>
      <t>Combined Totals of all Proprietary Funds - Change in net position -</t>
    </r>
    <r>
      <rPr>
        <sz val="11"/>
        <color indexed="60"/>
        <rFont val="Calibri"/>
        <family val="2"/>
      </rPr>
      <t xml:space="preserve"> (increase in net position is recorded as a positive and a decrease in net position is recorded as a negative)</t>
    </r>
  </si>
  <si>
    <t>Cash Flows- all proprietary funds</t>
  </si>
  <si>
    <r>
      <t xml:space="preserve">Current Liabilities 
</t>
    </r>
    <r>
      <rPr>
        <b/>
        <sz val="11"/>
        <color indexed="8"/>
        <rFont val="Calibri"/>
        <family val="2"/>
      </rPr>
      <t>Exclude</t>
    </r>
    <r>
      <rPr>
        <sz val="11"/>
        <color indexed="8"/>
        <rFont val="Calibri"/>
        <family val="2"/>
      </rPr>
      <t xml:space="preserve"> all deferred inflows. 
</t>
    </r>
    <r>
      <rPr>
        <b/>
        <sz val="11"/>
        <color indexed="8"/>
        <rFont val="Calibri"/>
        <family val="2"/>
      </rPr>
      <t>Include</t>
    </r>
    <r>
      <rPr>
        <sz val="11"/>
        <color indexed="8"/>
        <rFont val="Calibri"/>
        <family val="2"/>
      </rPr>
      <t xml:space="preserve"> advance from(long-term portion of interfund loans)</t>
    </r>
  </si>
  <si>
    <t>Advance To: Interfund loan receivable-portion of repayment plan longer than 12 months</t>
  </si>
  <si>
    <t>GF-Advance To - Asset</t>
  </si>
  <si>
    <t>Account</t>
  </si>
  <si>
    <t>GF- Reserved by state statute per report</t>
  </si>
  <si>
    <t>C-EF- Current Assets (unrestricted, excl. inventory and prepaids)</t>
  </si>
  <si>
    <t>C-EF Current Assets (unrestricted, incl. inventory and prepaids)</t>
  </si>
  <si>
    <t>C-EF- Current liabilities (Inc. Def Rev, Excl. BANs &amp; Comp Abs) Enter as positive.</t>
  </si>
  <si>
    <t>GF- Total revenues</t>
  </si>
  <si>
    <t>GF- Transfers In (incl. CU)</t>
  </si>
  <si>
    <t>GF- Total expenditures. Enter as positive.</t>
  </si>
  <si>
    <t>C-EF- Capital contributions. (only positive)</t>
  </si>
  <si>
    <t>GF- Transfers Out (incl. CU) ENTER AS A POSITIVE!</t>
  </si>
  <si>
    <t>GF- Proceeds from all LT debt issuance (COPs, IPs, Notes, CLs, etc.)</t>
  </si>
  <si>
    <t>GF- Other items. Should be only positive items. If negative, group with Total expenditures or Transfers out.</t>
  </si>
  <si>
    <t>GF-net change in fund balance</t>
  </si>
  <si>
    <t>GF- Total cash &amp; investments (restricted &amp; unrestricted)</t>
  </si>
  <si>
    <t>All cash and investments (unit-wide, w/ fiduciary fds, &amp; restricted cash)</t>
  </si>
  <si>
    <t>GA- net assets, ICAND</t>
  </si>
  <si>
    <t>GA-net assets, restricted</t>
  </si>
  <si>
    <t>GA-net assets -unrestricted</t>
  </si>
  <si>
    <t>GA-change in net assets</t>
  </si>
  <si>
    <t>GA-special items</t>
  </si>
  <si>
    <t>GA-extraordinary items</t>
  </si>
  <si>
    <t>BTA- net assets, ICAND</t>
  </si>
  <si>
    <t>BTA-net assets, restricted</t>
  </si>
  <si>
    <t>BTA-net assets, unrestricted</t>
  </si>
  <si>
    <t>BTA-change in net assets</t>
  </si>
  <si>
    <t>BTA-special items</t>
  </si>
  <si>
    <t>BTA-extraordinary items</t>
  </si>
  <si>
    <t>C-EF- Change in Net Assets - per exhibits</t>
  </si>
  <si>
    <t>Entity-Wide Buildings and Structures at Original Cost</t>
  </si>
  <si>
    <t>C-EF- Depreciation &amp; Amort Expense. Enter as positive.</t>
  </si>
  <si>
    <t>OPEB- Net OPEB obligation, ending</t>
  </si>
  <si>
    <t>OPEB- Annual OPEB cost(expense)</t>
  </si>
  <si>
    <t>OPEB- Total UAAL (unfunded actuarial accrued liability)</t>
  </si>
  <si>
    <t>OPEB- ARC (annual required contribution)</t>
  </si>
  <si>
    <t>OPEB- UAAL as % of covered payroll</t>
  </si>
  <si>
    <t>C-EF- Cash Flow from Operating Activities</t>
  </si>
  <si>
    <t>GA- Total Unrestricted Cash &amp; Investments (SNA)</t>
  </si>
  <si>
    <t>GA- Total Depreciable capital assets, gross (no non-depreciable CA)(Notes)</t>
  </si>
  <si>
    <t>GA- Unearned revenues- current portion only (SNA) Enter as positive.</t>
  </si>
  <si>
    <t>GA- Current liabilities (Inc. UR, LTD, ISF)(Ex. BANs, Comp Abs, Pension, OPEB, Payables from Rest. Assets)(SNA) Enter as positive.</t>
  </si>
  <si>
    <t>GA- Total LTD (ST &amp;LT, include BANs; No Comp Abs, Pension, OPEB)(Notes) Enter as positive.</t>
  </si>
  <si>
    <t>GA- Total liabilities (SNA). Enter as postive.</t>
  </si>
  <si>
    <t>GA- Total Charges for services (SOA)</t>
  </si>
  <si>
    <t>GA- Total Program revenues (positive only)(SOA)</t>
  </si>
  <si>
    <t>GA- Total General revenues (positive only; No transfers, special, extraordinary items)(SOA)</t>
  </si>
  <si>
    <t>GA- Total Net transfers in(out) (SOA)</t>
  </si>
  <si>
    <t>GA- Principal paid on LT Debt (Notes) Enter as positive.</t>
  </si>
  <si>
    <t>GA- Interest of LTD (SOA) Enter as positive.</t>
  </si>
  <si>
    <t>GF- Liabilities payable from restricted assets. Enter as positive.</t>
  </si>
  <si>
    <t>GF- Principal &amp; interest paid on LT debt (Exh. 4) Enter as positive.</t>
  </si>
  <si>
    <t>GF- Transfers out to Debt Service Fund (Enter as positive)</t>
  </si>
  <si>
    <t>Legal debt margin (amount cited in notes)</t>
  </si>
  <si>
    <t>GA- PPA &amp; restatements to Beg. Bal.</t>
  </si>
  <si>
    <t>GF- Total assets</t>
  </si>
  <si>
    <t>GF- Deferred rev NOT from cash. Enter as positive.</t>
  </si>
  <si>
    <t>GA- Total assets (SNA)</t>
  </si>
  <si>
    <t>GA- Transfers Out (SOA) Enter as positive.</t>
  </si>
  <si>
    <t>GA- Total Expenses (SOA) Enter as positive.</t>
  </si>
  <si>
    <t>BTA- extraordinary &amp; special items (SOA)</t>
  </si>
  <si>
    <t>GF- Liabilities (Excl deferred/unearned rev)(Inc Payables from restricted asets) Enter as positive.</t>
  </si>
  <si>
    <t>GF- Deferred/unearned rev from cash receipts (Notes) Enter as positive.</t>
  </si>
  <si>
    <t>Cash and Investment - Bond Proceeds - all Funds</t>
  </si>
  <si>
    <t>GF- Encumbrances in fund balance</t>
  </si>
  <si>
    <t>GF- Inventory/prepaids in fund balance</t>
  </si>
  <si>
    <t>GF- Total Fund Balance per report</t>
  </si>
  <si>
    <t xml:space="preserve">Retiree Premiums pd by unit
</t>
  </si>
  <si>
    <t xml:space="preserve">"OPEB 
1-implicit rate only  
2-no benefit 
3-benfit 
4- state health plan  "
</t>
  </si>
  <si>
    <t xml:space="preserve">The Unfunded actuarially accrued liability for the unit's LEO benefit.
</t>
  </si>
  <si>
    <t xml:space="preserve">Single Audit Only - total amount of federal awards and grants expended as found on SEFSA
</t>
  </si>
  <si>
    <t xml:space="preserve">Single Audit Only - Total amount of federal awards and grants that were audited as major as found on SEFSA
</t>
  </si>
  <si>
    <t xml:space="preserve">Single Audit Only - total amount of state awards and grants expended as found on SEFSA
</t>
  </si>
  <si>
    <t xml:space="preserve">Single Audit Only - Total amount of state awards and grants that were audited as major as found on SEFSA
</t>
  </si>
  <si>
    <t>Aeronautics Auth. of The City of Henderson</t>
  </si>
  <si>
    <t>Asheville Regional Airport</t>
  </si>
  <si>
    <t>Avery County Airport Authority</t>
  </si>
  <si>
    <t>Beaufort Morehead City Airport Authority</t>
  </si>
  <si>
    <t>Brunswick Co. Airport</t>
  </si>
  <si>
    <t>Burlington-Alamance Airport</t>
  </si>
  <si>
    <t>Dare Co. Airport</t>
  </si>
  <si>
    <t>Elizabeth City-Pasquotank Co. Airport</t>
  </si>
  <si>
    <t>Elizabethtown Airport Economic Development Comm.</t>
  </si>
  <si>
    <t>Foothills Regional Airport Authority</t>
  </si>
  <si>
    <t>Forsyth County Airport</t>
  </si>
  <si>
    <t>Halifax Northampton Regional Airport Authority</t>
  </si>
  <si>
    <t>Johnston County Airport</t>
  </si>
  <si>
    <t>Laurinburg-Maxton Airport Commission</t>
  </si>
  <si>
    <t>Lincoln County Airport Authority</t>
  </si>
  <si>
    <t>Lumberton Airport Commission</t>
  </si>
  <si>
    <t>Macon County Airport Authority</t>
  </si>
  <si>
    <t>Moore County Airport Authority</t>
  </si>
  <si>
    <t>Mount Airy-Surry Co. Airport Authority</t>
  </si>
  <si>
    <t>New Hanover County Airport Authority</t>
  </si>
  <si>
    <t>Piedmont Triad Airport Authority</t>
  </si>
  <si>
    <t>Pitt Co. Greenville Airport Authority</t>
  </si>
  <si>
    <t>Raleigh-Durham Airport Authority</t>
  </si>
  <si>
    <t>Rockingham County Airport Authority</t>
  </si>
  <si>
    <t>Rocky Mount-Wilson Airport Authority</t>
  </si>
  <si>
    <t>Sanford-Lee Co. Regional Airport Authority</t>
  </si>
  <si>
    <t>Tarboro-Edgecombe Airport</t>
  </si>
  <si>
    <t>Tri-County Airport Authority</t>
  </si>
  <si>
    <t>Combined Total of all Proprietary Funds - Change in Net Position</t>
  </si>
  <si>
    <t xml:space="preserve">Combined Totals of all Proprietary Funds - Depreciation &amp; Amortization Expense </t>
  </si>
  <si>
    <t>"Internal Control-
1) no IC issues 
2)Immaterial 
3) Unit letter for IC 
4) Unit visit for IC"</t>
  </si>
  <si>
    <t>Comb-Proprietary-Current Assets less restricted assets and deferred outflows</t>
  </si>
  <si>
    <t>Combined Totals of all Proprietary Funds - Total Current Liabilities  
Include:  current portions of long-term debt 
Exclude:  current portions of bond anticipation notes
                   pensions
                   other post-employment liabilities
                   payables from restricted assets
                   deferred inflows.</t>
  </si>
  <si>
    <r>
      <rPr>
        <u/>
        <sz val="11"/>
        <color indexed="8"/>
        <rFont val="Calibri"/>
        <family val="2"/>
      </rPr>
      <t xml:space="preserve">Record any </t>
    </r>
    <r>
      <rPr>
        <i/>
        <u/>
        <sz val="12"/>
        <color indexed="8"/>
        <rFont val="Calibri"/>
        <family val="2"/>
      </rPr>
      <t>negative</t>
    </r>
    <r>
      <rPr>
        <u/>
        <sz val="11"/>
        <color indexed="8"/>
        <rFont val="Calibri"/>
        <family val="2"/>
      </rPr>
      <t xml:space="preserve"> </t>
    </r>
    <r>
      <rPr>
        <u/>
        <sz val="11"/>
        <color indexed="8"/>
        <rFont val="Calibri"/>
        <family val="2"/>
      </rPr>
      <t>Internal balances on the net position statement</t>
    </r>
    <r>
      <rPr>
        <u/>
        <sz val="11"/>
        <color indexed="8"/>
        <rFont val="Calibri"/>
        <family val="2"/>
      </rPr>
      <t>s that appear in the Asset Section of the Net Position Statement.</t>
    </r>
    <r>
      <rPr>
        <sz val="11"/>
        <color theme="1"/>
        <rFont val="Calibri"/>
        <family val="2"/>
        <scheme val="minor"/>
      </rPr>
      <t xml:space="preserve">
</t>
    </r>
    <r>
      <rPr>
        <sz val="14"/>
        <color indexed="8"/>
        <rFont val="Calibri"/>
        <family val="2"/>
      </rPr>
      <t>enter as a positive</t>
    </r>
    <r>
      <rPr>
        <sz val="11"/>
        <color indexed="62"/>
        <rFont val="Calibri"/>
        <family val="2"/>
      </rPr>
      <t/>
    </r>
  </si>
  <si>
    <r>
      <rPr>
        <u/>
        <sz val="11"/>
        <color indexed="8"/>
        <rFont val="Calibri"/>
        <family val="2"/>
      </rPr>
      <t>Record any</t>
    </r>
    <r>
      <rPr>
        <i/>
        <u/>
        <sz val="12"/>
        <color indexed="8"/>
        <rFont val="Calibri"/>
        <family val="2"/>
      </rPr>
      <t xml:space="preserve"> </t>
    </r>
    <r>
      <rPr>
        <i/>
        <u/>
        <sz val="12"/>
        <color indexed="8"/>
        <rFont val="Calibri"/>
        <family val="2"/>
      </rPr>
      <t>positive</t>
    </r>
    <r>
      <rPr>
        <u/>
        <sz val="11"/>
        <color indexed="8"/>
        <rFont val="Calibri"/>
        <family val="2"/>
      </rPr>
      <t xml:space="preserve"> </t>
    </r>
    <r>
      <rPr>
        <u/>
        <sz val="11"/>
        <color indexed="8"/>
        <rFont val="Calibri"/>
        <family val="2"/>
      </rPr>
      <t>Internal balances on the net position statement</t>
    </r>
    <r>
      <rPr>
        <u/>
        <sz val="11"/>
        <color indexed="8"/>
        <rFont val="Calibri"/>
        <family val="2"/>
      </rPr>
      <t>s that appear in the Asset Section of the Net Position Statement</t>
    </r>
    <r>
      <rPr>
        <sz val="11"/>
        <color theme="1"/>
        <rFont val="Calibri"/>
        <family val="2"/>
        <scheme val="minor"/>
      </rPr>
      <t xml:space="preserve">
</t>
    </r>
    <r>
      <rPr>
        <sz val="14"/>
        <color indexed="8"/>
        <rFont val="Calibri"/>
        <family val="2"/>
      </rPr>
      <t>enter as a positive</t>
    </r>
    <r>
      <rPr>
        <sz val="11"/>
        <color indexed="62"/>
        <rFont val="Calibri"/>
        <family val="2"/>
      </rPr>
      <t/>
    </r>
  </si>
  <si>
    <t>Government Wide Statements - Statement of Activities  - Business-Type Activities Column</t>
  </si>
  <si>
    <t>Statement of activities - Business-Type</t>
  </si>
  <si>
    <t>Statement of Activities - Business Activities</t>
  </si>
  <si>
    <t>Reporting</t>
  </si>
  <si>
    <t>Total Expenses - Exclude Transfers</t>
  </si>
  <si>
    <t>Business Type - Change in Net Position</t>
  </si>
  <si>
    <t>Business Type - Total Expenses</t>
  </si>
  <si>
    <t xml:space="preserve">Reviewer if you need to change what the unit entered, do so directly in cell to the right.  Enter "1" to the right if the unit has defined benefit other than the ones adm.   Leave blank if the unit does not answer.
  </t>
  </si>
  <si>
    <t>https://www.nctreasurer.com/slg/lfm/financial-analysis/Pages/Analysis-by-Population.aspx</t>
  </si>
  <si>
    <t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t>
  </si>
  <si>
    <r>
      <rPr>
        <u/>
        <sz val="11"/>
        <color indexed="8"/>
        <rFont val="Calibri"/>
        <family val="2"/>
      </rPr>
      <t>Combined Totals of all Proprietary Funds - Total Current Liabilities</t>
    </r>
    <r>
      <rPr>
        <sz val="11"/>
        <color theme="1"/>
        <rFont val="Calibri"/>
        <family val="2"/>
        <scheme val="minor"/>
      </rPr>
      <t xml:space="preserve">  
</t>
    </r>
    <r>
      <rPr>
        <b/>
        <sz val="11"/>
        <color indexed="8"/>
        <rFont val="Calibri"/>
        <family val="2"/>
      </rPr>
      <t>Include:</t>
    </r>
    <r>
      <rPr>
        <sz val="11"/>
        <color theme="1"/>
        <rFont val="Calibri"/>
        <family val="2"/>
        <scheme val="minor"/>
      </rPr>
      <t xml:space="preserve">  Current liabilities and current portion of long-term debt 
</t>
    </r>
    <r>
      <rPr>
        <b/>
        <sz val="11"/>
        <color indexed="8"/>
        <rFont val="Calibri"/>
        <family val="2"/>
      </rPr>
      <t>Exclude:</t>
    </r>
    <r>
      <rPr>
        <sz val="11"/>
        <color theme="1"/>
        <rFont val="Calibri"/>
        <family val="2"/>
        <scheme val="minor"/>
      </rPr>
      <t xml:space="preserve">   Bond anticipation notes
                   Compensated Absences
                   Pension liabilities
                   Liabilities payable from restricted assets
                   Other post employment liabilities (OPEB)
                   Deferred inflows</t>
    </r>
  </si>
  <si>
    <r>
      <rPr>
        <u/>
        <sz val="11"/>
        <color indexed="8"/>
        <rFont val="Calibri"/>
        <family val="2"/>
      </rPr>
      <t>Any adjustment to beginning fund balance including rounding, prior period adjustments and restatements.</t>
    </r>
    <r>
      <rPr>
        <sz val="11"/>
        <color theme="1"/>
        <rFont val="Calibri"/>
        <family val="2"/>
        <scheme val="minor"/>
      </rPr>
      <t xml:space="preserve">  </t>
    </r>
    <r>
      <rPr>
        <sz val="11"/>
        <color indexed="60"/>
        <rFont val="Calibri"/>
        <family val="2"/>
      </rPr>
      <t xml:space="preserve"> (Amounts that increase fund balance are recorded as positive and amounts that decrease fund balance are recorded as negative)</t>
    </r>
  </si>
  <si>
    <t>For Internal Control Issues Only
1) no IC issues 
2)Immaterial IC issues
3) Unit letter for IC 
4) Consider placing on Unit Assistance List due to IC issues
5) Communication with DPI</t>
  </si>
  <si>
    <t xml:space="preserve">In your professional opinion do you believe the unit of government can best be served by:
1 - No UL
2 - UL requiring a written response from the unit
3 - UL no written  response required from unit - schedule a staff followup
4-  UL requires a written reponse from unit and a staff followup
5 - Special unit letter requiring a written response
6- Communication to DPI
</t>
  </si>
  <si>
    <t>GF - Advance to</t>
  </si>
  <si>
    <t>Yes  or "1" indicates unit has defined benefit other than the ones adm. By the state</t>
  </si>
  <si>
    <r>
      <t xml:space="preserve">Total change in Net Position - Business-Type
</t>
    </r>
    <r>
      <rPr>
        <sz val="11"/>
        <color indexed="60"/>
        <rFont val="Calibri"/>
        <family val="2"/>
      </rPr>
      <t>(Increases to net position are positive; decreases to net position are negative)</t>
    </r>
  </si>
  <si>
    <t>Davidson County Airport Authority</t>
  </si>
  <si>
    <t>OPEB
 Note or RSI</t>
  </si>
  <si>
    <t>Health benefits - total OPEB liability</t>
  </si>
  <si>
    <t>Health benefits- OPEB plan fiduciary net position</t>
  </si>
  <si>
    <t>OPEB
RSI</t>
  </si>
  <si>
    <t>Vision benefits - total OPEB liability</t>
  </si>
  <si>
    <t>Vision benefits - OPEB plan fiduciary net position</t>
  </si>
  <si>
    <t>Dental benefits - total OPEB liability</t>
  </si>
  <si>
    <t>Dental benefits - OPEB plan fiduciary net position</t>
  </si>
  <si>
    <t>Other benefits - total OPEB liability</t>
  </si>
  <si>
    <t>Other benefits - OPEB plan fiduciary net position</t>
  </si>
  <si>
    <t xml:space="preserve">For Internal Control Uses Only:
1) NO IC Issues
2) Immaterial IC Issues
3) Unit Visit needed, no UL
4) Unit Letter for IC
5) Consider placing/remaining on Unit Assistance List
6) Consider taking off Unit Assistance List
7) Communication to DPI
</t>
  </si>
  <si>
    <t>Unit was issued:
1) No UL
2) No UL but visit is needed
3) UL with response
4) UL no response required
5) SUL requiring written response
6) Communication to DPI</t>
  </si>
  <si>
    <t>Financial opinion - enter "1" for clean Opinion or "2" for other than clean opinion</t>
  </si>
  <si>
    <t>In your professional opinion do you believe the unit of government can best be served by:
100 - No UL
200 - UL with call
300 - UL call-investing
400 - UL visit
500 - SUL</t>
  </si>
  <si>
    <t>Debt Issued with next 12 months</t>
  </si>
  <si>
    <t>Do you expect to issue debt requiring LGC approval within 12 months from the date that the audit is submitted - select "1" for year and "2" for no</t>
  </si>
  <si>
    <t xml:space="preserve"> All unrestricted Cash and investments.  
Exclude: restricted cash 
                   cash held by a third party. </t>
  </si>
  <si>
    <t>Data Import 2018</t>
  </si>
  <si>
    <t>Compliance opinion - enter "1" for clean Opinion or "2" for other than clean opinion</t>
  </si>
  <si>
    <t>Health benefits - plan’s fiduciary net position as a percentage of the total OPEB liability </t>
  </si>
  <si>
    <t>Vision benefits -  plan’s fiduciary net position as a percentage of the total OPEB liability </t>
  </si>
  <si>
    <t>Dental benefits - plan’s fiduciary net position as a percentage of the total OPEB liability</t>
  </si>
  <si>
    <t>Other benefits  - plan’s fiduciary net position as a percentage of the total OPEB liability</t>
  </si>
  <si>
    <t xml:space="preserve">                -  </t>
  </si>
  <si>
    <t>Notes to the Financial Statements - Pension Note</t>
  </si>
  <si>
    <t>FS., Pension note or RSI</t>
  </si>
  <si>
    <r>
      <t xml:space="preserve">Unit's Share of Net Pension Liability ($s)
- unit of government is a participating employer in the State's </t>
    </r>
    <r>
      <rPr>
        <b/>
        <sz val="11"/>
        <color theme="1"/>
        <rFont val="Calibri"/>
        <family val="2"/>
        <scheme val="minor"/>
      </rPr>
      <t>TSERS</t>
    </r>
    <r>
      <rPr>
        <sz val="11"/>
        <color theme="1"/>
        <rFont val="Calibri"/>
        <family val="2"/>
        <scheme val="minor"/>
      </rPr>
      <t xml:space="preserve"> (Teachers' and State Employees' Retirement System) or the </t>
    </r>
    <r>
      <rPr>
        <b/>
        <sz val="11"/>
        <color theme="1"/>
        <rFont val="Calibri"/>
        <family val="2"/>
        <scheme val="minor"/>
      </rPr>
      <t>LGERS</t>
    </r>
    <r>
      <rPr>
        <sz val="11"/>
        <color theme="1"/>
        <rFont val="Calibri"/>
        <family val="2"/>
        <scheme val="minor"/>
      </rPr>
      <t xml:space="preserve"> (Local Governmental Employees' Retirement System).  </t>
    </r>
  </si>
  <si>
    <t>Net Pension Liability</t>
  </si>
  <si>
    <t>Total Current Liabilities including current portion of long-term debt</t>
  </si>
  <si>
    <t>Current Liabilities - bond anticipation notes</t>
  </si>
  <si>
    <t>Current Liabilities - current compensated absences</t>
  </si>
  <si>
    <t>Current Liabilities - current pension liabilities</t>
  </si>
  <si>
    <t>Current Liabilities - current liabilities payable from restricted assets</t>
  </si>
  <si>
    <t>Current Liabilities - OPEB</t>
  </si>
  <si>
    <t>This information was not collected in 2019</t>
  </si>
  <si>
    <t>Determination of Fiscal Health</t>
  </si>
  <si>
    <r>
      <t xml:space="preserve">Please enter any bond anticipation notes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</si>
  <si>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compensated absences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</si>
  <si>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pension liabilities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</si>
  <si>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current liabilities that are payable from restricted assets and included row 12 above </t>
    </r>
    <r>
      <rPr>
        <sz val="11"/>
        <color theme="5" tint="-0.249977111117893"/>
        <rFont val="Calibri"/>
        <family val="2"/>
      </rPr>
      <t>(amounts entered should agree to the current amount included in the changes to long-term debt note)</t>
    </r>
  </si>
  <si>
    <r>
      <t xml:space="preserve">Please enter any OPEB liabilities that are classified as current liabilities and included row 12 above </t>
    </r>
    <r>
      <rPr>
        <sz val="11"/>
        <color theme="5" tint="-0.249977111117893"/>
        <rFont val="Calibri"/>
        <family val="2"/>
      </rPr>
      <t>(amounts entered should agree to the current amount included in the changes to long-term debt note)</t>
    </r>
  </si>
  <si>
    <t xml:space="preserve">Fund balance, Assigned </t>
  </si>
  <si>
    <t>Fund Balance, Unassigned</t>
  </si>
  <si>
    <t>Debt Service Fund</t>
  </si>
  <si>
    <t>Please enter the Total Fund Balance for any Debt Service Funds</t>
  </si>
  <si>
    <t xml:space="preserve"> GF - Fund balance, Assigned </t>
  </si>
  <si>
    <t>GF - Fund Balance, Unassigned</t>
  </si>
  <si>
    <t>Debt Service Funds Total Fund Balance</t>
  </si>
  <si>
    <t>First name of finance officer or interim finance officer (please enter “vacant” for first or last name if the position is currently vacant)</t>
  </si>
  <si>
    <t>Data not collected in 2019</t>
  </si>
  <si>
    <t>Last name of finance officer or interim finance officer (please enter “vacant” for first or last name if the position is currently vacant)</t>
  </si>
  <si>
    <t>Is the finance officer serving in a permanent role or an interim role? (permanent/interim/vacant)</t>
  </si>
  <si>
    <t>Permanent</t>
  </si>
  <si>
    <t>Has the finance officer been formally appointed by the local government, public authority, or designated official?  (Y/N)</t>
  </si>
  <si>
    <t>Has the finance officer or interim finance officer read, understand, and is in compliance with the requirements of N.C.G.S. 159, as applicable based on unit type and circumstances? (Y/N)</t>
  </si>
  <si>
    <t>Does the finance officer or interim finance officer maintain and update (or ensures the maintenance and update of)  financial records monthly, including reconciliation of bank accounts to the general ledger? (Y/N)</t>
  </si>
  <si>
    <t xml:space="preserve">Has the finance officer or interim finance officer submitted (or has ensured the submission of) all required and applicable reports, including but not limited to, the annual audit report (N.C.G.S. 159-34), the semi-annual report on cash and investments (“LGC-203”)(N.C.G.S. 159-33), and the annual financial information report (“AFIR”)(N.C.G.S. 159-33.1) during the fiscal year corresponding to the audit report being submitted? (Y/N)
</t>
  </si>
  <si>
    <t>REQUIRED</t>
  </si>
  <si>
    <t>MANDATORY</t>
  </si>
  <si>
    <t>All Fields Must Be Completed</t>
  </si>
  <si>
    <t>The Official should be the Finance Officer or acting Finance Officer as designated by the Board.</t>
  </si>
  <si>
    <t>Title of Official</t>
  </si>
  <si>
    <t>Date                        (Enter as "MM/DD/YYYY")</t>
  </si>
  <si>
    <t>Telephone number</t>
  </si>
  <si>
    <t>E-mail address</t>
  </si>
  <si>
    <t>https://efc.sog.unc.edu/reslib/item/north-carolina-water-and-wastewater-rates-dashboard#</t>
  </si>
  <si>
    <r>
      <t xml:space="preserve">The worksheet is organized based on how the audit report is laid out.  Titles on this worksheet appear in highlighted colors and correspond to various exhibits, statements, notes and schedules where the requested amounts should be found.  We have also provided the previous year's data in column E so that you can reference last year's amounts to aid in the completion of the worksheet.  </t>
    </r>
    <r>
      <rPr>
        <b/>
        <sz val="12"/>
        <color indexed="8"/>
        <rFont val="Century Schoolbook"/>
        <family val="1"/>
      </rPr>
      <t>Please record the numbers in the shaded column F.  Please enter all numbers as positive</t>
    </r>
    <r>
      <rPr>
        <sz val="12"/>
        <color indexed="8"/>
        <rFont val="Century Schoolbook"/>
        <family val="1"/>
      </rPr>
      <t xml:space="preserve"> unless specifically stated otherwise in the description of the amount requested.  </t>
    </r>
  </si>
  <si>
    <t>RSS-Accounts used to calculate the RSS are shaded in Green</t>
  </si>
  <si>
    <t>Rocky Mount - Wilson Airport</t>
  </si>
  <si>
    <t>10</t>
  </si>
  <si>
    <t>12</t>
  </si>
  <si>
    <t>13</t>
  </si>
  <si>
    <t>14</t>
  </si>
  <si>
    <t>16</t>
  </si>
  <si>
    <t>17</t>
  </si>
  <si>
    <t>19</t>
  </si>
  <si>
    <t>193</t>
  </si>
  <si>
    <t>20</t>
  </si>
  <si>
    <t>21</t>
  </si>
  <si>
    <t>22</t>
  </si>
  <si>
    <t>23</t>
  </si>
  <si>
    <t>231</t>
  </si>
  <si>
    <t>251</t>
  </si>
  <si>
    <t>252</t>
  </si>
  <si>
    <t>253</t>
  </si>
  <si>
    <t>254</t>
  </si>
  <si>
    <t>255</t>
  </si>
  <si>
    <t>256</t>
  </si>
  <si>
    <t>257</t>
  </si>
  <si>
    <t>258</t>
  </si>
  <si>
    <t>259</t>
  </si>
  <si>
    <t>260</t>
  </si>
  <si>
    <t>261</t>
  </si>
  <si>
    <t>262</t>
  </si>
  <si>
    <t>263</t>
  </si>
  <si>
    <t>31</t>
  </si>
  <si>
    <t>317</t>
  </si>
  <si>
    <t>32</t>
  </si>
  <si>
    <t>320</t>
  </si>
  <si>
    <t>321</t>
  </si>
  <si>
    <t>322</t>
  </si>
  <si>
    <t>323</t>
  </si>
  <si>
    <t>324</t>
  </si>
  <si>
    <t>325</t>
  </si>
  <si>
    <t>33</t>
  </si>
  <si>
    <t>333</t>
  </si>
  <si>
    <t>334</t>
  </si>
  <si>
    <t>335</t>
  </si>
  <si>
    <t>336</t>
  </si>
  <si>
    <t>337</t>
  </si>
  <si>
    <t>338</t>
  </si>
  <si>
    <t>339</t>
  </si>
  <si>
    <t>340</t>
  </si>
  <si>
    <t>341</t>
  </si>
  <si>
    <t>342</t>
  </si>
  <si>
    <t>343</t>
  </si>
  <si>
    <t>344</t>
  </si>
  <si>
    <t>367</t>
  </si>
  <si>
    <t>368</t>
  </si>
  <si>
    <t>369</t>
  </si>
  <si>
    <t>370</t>
  </si>
  <si>
    <t>371</t>
  </si>
  <si>
    <t>372</t>
  </si>
  <si>
    <t>373</t>
  </si>
  <si>
    <t>376</t>
  </si>
  <si>
    <t>379</t>
  </si>
  <si>
    <t>380</t>
  </si>
  <si>
    <t>385</t>
  </si>
  <si>
    <t>386</t>
  </si>
  <si>
    <t>387</t>
  </si>
  <si>
    <t>388</t>
  </si>
  <si>
    <t>389</t>
  </si>
  <si>
    <t>390</t>
  </si>
  <si>
    <t>391</t>
  </si>
  <si>
    <t>4</t>
  </si>
  <si>
    <t>5</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</si>
  <si>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</si>
  <si>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</si>
  <si>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</si>
  <si>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</si>
  <si>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</si>
  <si>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</si>
  <si>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</si>
  <si>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</si>
  <si>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</si>
  <si>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</si>
  <si>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</si>
  <si>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</si>
  <si>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</si>
  <si>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</si>
  <si>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</si>
  <si>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</si>
  <si>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</si>
  <si>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</si>
  <si>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</si>
  <si>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</si>
  <si>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</si>
  <si>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</si>
  <si>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</si>
  <si>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</si>
  <si>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</si>
  <si>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</si>
  <si>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</si>
  <si>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</si>
  <si>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</si>
  <si>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</si>
  <si>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</si>
  <si>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</si>
  <si>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</si>
  <si>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</si>
  <si>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</si>
  <si>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</si>
  <si>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</si>
  <si>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6</t>
  </si>
  <si>
    <t>7</t>
  </si>
  <si>
    <t>9</t>
  </si>
  <si>
    <t>Data Import 2019</t>
  </si>
  <si>
    <t>Unit was issued:
1) No UL
2) No UL but visit is needed
3) UL with response
4) SUL requiring written response
5) Communication to DPI</t>
  </si>
  <si>
    <t>Total OPEB benefits - total OPEB liability
If you do not provide benefit, please enter 0</t>
  </si>
  <si>
    <t>Total OPEB benefits- OPEB plan fiduciary net position
If no fiduciary net position, enter 0</t>
  </si>
  <si>
    <t>Total OPEB benefits - What is the plan’s fiduciary net position as a percentage of the total OPEB liability?  Please enter as percentage value; for example, 83.5% should be entered as 83.5.  If assets have not been set aside in a trust, please enter 0.0</t>
  </si>
  <si>
    <t>Operations</t>
  </si>
  <si>
    <t>Capital</t>
  </si>
  <si>
    <t>Interim</t>
  </si>
  <si>
    <t>Vacant</t>
  </si>
  <si>
    <t>OPEB-Plan's fiduciary net position as a % of total OPEB liability</t>
  </si>
  <si>
    <t>Dashboard; Determination of Fiscal Health</t>
  </si>
  <si>
    <r>
      <t>Date on which the local government, public authority, or designated official appointed the finance officer?</t>
    </r>
    <r>
      <rPr>
        <b/>
        <sz val="11"/>
        <color theme="5" tint="-0.249977111117893"/>
        <rFont val="Calibri"/>
        <family val="2"/>
        <scheme val="minor"/>
      </rPr>
      <t xml:space="preserve"> (If the date of appointment by the board is difficult to find you may enter January 1 and the year)</t>
    </r>
    <r>
      <rPr>
        <sz val="11"/>
        <color theme="1"/>
        <rFont val="Calibri"/>
        <family val="2"/>
        <scheme val="minor"/>
      </rPr>
      <t xml:space="preserve">  </t>
    </r>
    <r>
      <rPr>
        <b/>
        <sz val="11"/>
        <color theme="1"/>
        <rFont val="Calibri"/>
        <family val="2"/>
        <scheme val="minor"/>
      </rPr>
      <t xml:space="preserve"> Date Format   MM/DD/YYYY</t>
    </r>
  </si>
  <si>
    <t>If unit is an employer participant in one of the State Cost Sharing Plans rows 69 - 71 should be blank.  Unless they have an additional single employer plan.</t>
  </si>
  <si>
    <t>Single Audit Only - total amount of federal awards and grants expended as found on SEFSA</t>
  </si>
  <si>
    <t>Single Audit Only - Total amount of federal awards and grants that were audited as major as found on SEFSA</t>
  </si>
  <si>
    <t>Single Audit Only - total amount of state awards and grants expended as found on SEFSA</t>
  </si>
  <si>
    <t>Single Audit Only - Total amount of state awards and grants that were audited as major as found on SEFSA</t>
  </si>
  <si>
    <t>Single Audit Only - Type of compliance report(s) issued:  #1- all unmodified; #2- at least one other (qualified, adverse)</t>
  </si>
  <si>
    <t>Single Audit Only - Coronavirus Relief Fund expenditures (21.019)</t>
  </si>
  <si>
    <t xml:space="preserve">Single Audit Only - Other CARES Act /Coronavirus funding </t>
  </si>
  <si>
    <t>The below information must be completed 
in order to process your audit report.</t>
  </si>
  <si>
    <t>Name of Finance Officer</t>
  </si>
  <si>
    <t xml:space="preserve">Date on which the local government, public authority, or designated official appointed the finance officer? (If the date of appointment by the board is difficult to find you may enter January 1 and the year) </t>
  </si>
  <si>
    <r>
      <rPr>
        <u/>
        <sz val="11"/>
        <color indexed="8"/>
        <rFont val="Calibri"/>
        <family val="2"/>
      </rPr>
      <t>Current liabilities</t>
    </r>
    <r>
      <rPr>
        <sz val="11"/>
        <color indexed="8"/>
        <rFont val="Calibri"/>
        <family val="2"/>
      </rPr>
      <t xml:space="preserve">
</t>
    </r>
    <r>
      <rPr>
        <b/>
        <sz val="11"/>
        <color indexed="8"/>
        <rFont val="Calibri"/>
        <family val="2"/>
      </rPr>
      <t>Include:</t>
    </r>
    <r>
      <rPr>
        <sz val="11"/>
        <color indexed="8"/>
        <rFont val="Calibri"/>
        <family val="2"/>
      </rPr>
      <t xml:space="preserve">   Current liabilities including current portion of long-term debt.  </t>
    </r>
    <r>
      <rPr>
        <b/>
        <sz val="11"/>
        <color rgb="FF000000"/>
        <rFont val="Calibri"/>
        <family val="2"/>
      </rPr>
      <t>Deferred inflows should not be included in Current Liabilities</t>
    </r>
    <r>
      <rPr>
        <sz val="11"/>
        <color indexed="8"/>
        <rFont val="Calibri"/>
        <family val="2"/>
      </rPr>
      <t xml:space="preserve">     
</t>
    </r>
  </si>
  <si>
    <r>
      <rPr>
        <b/>
        <i/>
        <sz val="12"/>
        <rFont val="Cambria"/>
        <family val="1"/>
      </rPr>
      <t xml:space="preserve">Unit Data from Audit Worksheet </t>
    </r>
    <r>
      <rPr>
        <i/>
        <sz val="12"/>
        <rFont val="Cambria"/>
        <family val="1"/>
      </rPr>
      <t xml:space="preserve">- The </t>
    </r>
    <r>
      <rPr>
        <i/>
        <sz val="12"/>
        <color rgb="FFFF0000"/>
        <rFont val="Cambria"/>
        <family val="1"/>
      </rPr>
      <t xml:space="preserve">self-reported </t>
    </r>
    <r>
      <rPr>
        <i/>
        <sz val="12"/>
        <rFont val="Cambria"/>
        <family val="1"/>
      </rPr>
      <t xml:space="preserve">data provided in this worksheet is used by staff as the primary tool to determine a unit of government's fiscal health as well as providing information to the North Carolina Legislature, North Carolina Budget and the Governor’s Office and other state agencies.  The North Carolina League of Municipalities and North Carolina Association of County Commissioners also use this information to advocate before the Executive, Legislative and Judicial branches of State Government on behalf of local governments.  </t>
    </r>
    <r>
      <rPr>
        <i/>
        <u/>
        <sz val="12"/>
        <color rgb="FFFF0000"/>
        <rFont val="Cambria"/>
        <family val="1"/>
      </rPr>
      <t xml:space="preserve">Accuracy in completion of data is important for your local government.  </t>
    </r>
  </si>
  <si>
    <t>Important Notes to the Preparer</t>
  </si>
  <si>
    <r>
      <t xml:space="preserve">All information provided is </t>
    </r>
    <r>
      <rPr>
        <sz val="12"/>
        <color rgb="FFFF0000"/>
        <rFont val="Century Schoolbook"/>
        <family val="1"/>
      </rPr>
      <t xml:space="preserve">self-reported </t>
    </r>
    <r>
      <rPr>
        <sz val="12"/>
        <color theme="1"/>
        <rFont val="Century Schoolbook"/>
        <family val="1"/>
      </rPr>
      <t xml:space="preserve">by the units of local government.  The staff of the State and Local Government Fiscal Management Section does NOT recalculate and is not responsible for incorrectly reported amounts. </t>
    </r>
  </si>
  <si>
    <t>The Unit Data from Audit Worksheet contains edits that will display error messages if these edit tests are not passed.  Please make sure that your worksheet is error free.  The worksheet may be returned to the unit to correct any errors that have not been resolved.</t>
  </si>
  <si>
    <t>New for Fiscal 2020</t>
  </si>
  <si>
    <t>Data documenting the unit's compliance with General Statue 159-25 is captured in account numbers 947, 948, 949, 950, 952, 954, 956, and 958.</t>
  </si>
  <si>
    <t>Links to Websites that provide financial data and ratios for Municipalities and Counties</t>
  </si>
  <si>
    <t>Instructions for the Unit Data from Audit Worksheet</t>
  </si>
  <si>
    <r>
      <t xml:space="preserve">The Unit Data from Audit Worksheet must be completed using your audited financial statements and submitted with the audit report to the Local Government Commission.  This worksheet is designed so that each unit should be able to complete it in less than an hour, if they have a completed audit report.  Units can always choose to outsource the completion of this worksheet but it must be certified by the finance officer.  The worksheet must be </t>
    </r>
    <r>
      <rPr>
        <b/>
        <sz val="12"/>
        <color indexed="8"/>
        <rFont val="Century Schoolbook"/>
        <family val="1"/>
      </rPr>
      <t>submitted with the unit’s audit report</t>
    </r>
    <r>
      <rPr>
        <sz val="12"/>
        <color indexed="8"/>
        <rFont val="Century Schoolbook"/>
        <family val="1"/>
      </rPr>
      <t>.</t>
    </r>
  </si>
  <si>
    <t xml:space="preserve">The worksheet requests information for every possible service we collect data on; however, you only need to complete sections that apply to your unit.  For example, the Water Sewer, Electric and OPEB sections may be skipped if you do not have these funds or benefits.   The Water Sewer Questions are only for Water Sewer Funds that are operating as a proprietary fund.  Also, please note that all numbers on the financial statements will not be entered on this worksheet, as we are only requesting information used in the communications described above. </t>
  </si>
  <si>
    <t>If you have any questions, please call 919-814-4299.</t>
  </si>
  <si>
    <t>Introduction to the Unit Data from Audit Worksheet</t>
  </si>
  <si>
    <t xml:space="preserve">Date </t>
  </si>
  <si>
    <t>unit code must be completed</t>
  </si>
  <si>
    <t>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t>
  </si>
  <si>
    <r>
      <t xml:space="preserve">The data provided in the </t>
    </r>
    <r>
      <rPr>
        <i/>
        <sz val="12"/>
        <color theme="1"/>
        <rFont val="Century Schoolbook"/>
        <family val="1"/>
      </rPr>
      <t xml:space="preserve">Unit Data from Audit Worksheet </t>
    </r>
    <r>
      <rPr>
        <sz val="12"/>
        <color theme="1"/>
        <rFont val="Century Schoolbook"/>
        <family val="1"/>
      </rPr>
      <t xml:space="preserve">now requires a certification by the Finance Officer that is located at the end of the worksheet in account numbers 960, 962, 964, 966, and 968.  </t>
    </r>
  </si>
  <si>
    <t>Version Date 8/31/2020</t>
  </si>
  <si>
    <t>The staff of the Local Government Commission is requesting the following information to ensure that our records are current and to determine if units are aware of and in compliance with their statutory responsibilities so that we can better assist and meet the needs of all local governments and public authorities.  G.S. 159-25.  By providing the information below, the submitter is verifying that the answers have been provided and verified by the finance officer.</t>
  </si>
  <si>
    <t>Finance Officer Verification of Unit Data from Audit Worksheet</t>
  </si>
  <si>
    <t xml:space="preserve">Data reported in the “Unit Data from Audit” worksheet must be verified by the finance officer and confirmed to be prepared in accordance with the instructions and in agreement with the unit’s audited financial statements. By providing the information below, the submitter is verifying that the finance officer has ensured that the data meets these requirements. 
</t>
  </si>
  <si>
    <r>
      <t xml:space="preserve">The </t>
    </r>
    <r>
      <rPr>
        <i/>
        <sz val="12"/>
        <color theme="1"/>
        <rFont val="Century Schoolbook"/>
        <family val="1"/>
      </rPr>
      <t>Resubmission Form</t>
    </r>
    <r>
      <rPr>
        <sz val="12"/>
        <color theme="1"/>
        <rFont val="Century Schoolbook"/>
        <family val="1"/>
      </rPr>
      <t xml:space="preserve"> is replacing prior years' </t>
    </r>
    <r>
      <rPr>
        <i/>
        <sz val="12"/>
        <color theme="1"/>
        <rFont val="Century Schoolbook"/>
        <family val="1"/>
      </rPr>
      <t xml:space="preserve">Audit Report Reissued Form. </t>
    </r>
    <r>
      <rPr>
        <sz val="12"/>
        <color theme="1"/>
        <rFont val="Century Schoolbook"/>
        <family val="1"/>
      </rPr>
      <t xml:space="preserve">The </t>
    </r>
    <r>
      <rPr>
        <i/>
        <sz val="12"/>
        <color theme="1"/>
        <rFont val="Century Schoolbook"/>
        <family val="1"/>
      </rPr>
      <t>Resubmission Form</t>
    </r>
    <r>
      <rPr>
        <sz val="12"/>
        <color theme="1"/>
        <rFont val="Century Schoolbook"/>
        <family val="1"/>
      </rPr>
      <t xml:space="preserve"> provides instructions for reissuing audit reports and modifying data input workbooks.  See the "Resubmitting Audit Reports and Data" section of our website (link below) for detailed instructions and a matrix of the documents to include in a resubmission.   </t>
    </r>
  </si>
  <si>
    <t>https://www.nctreasurer.com/state-and-local-government-finance-division/local-government-commission/submitting-your-audit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</si>
</sst>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_);[Red]\(0\)"/>
    <numFmt numFmtId="167" formatCode="_(&quot;$&quot;* #,##0_);_(&quot;$&quot;* \(#,##0\);_(&quot;$&quot;* &quot;-&quot;??_);_(@_)"/>
    <numFmt numFmtId="168" formatCode="0_);\(0\)"/>
    <numFmt numFmtId="169" formatCode="_(* #,##0.00%_);[Red]_(* \(#,##0.00%\);_(0.00%_);@"/>
    <numFmt numFmtId="170" formatCode="m/d/yy;@"/>
    <numFmt numFmtId="171" formatCode="mm/dd/yyyy"/>
    <numFmt numFmtId="172" formatCode="0.0"/>
  </numFmts>
  <fonts count="171" x14ac:knownFonts="1">
    <font>
      <sz val="11"/>
      <color theme="1"/>
      <name val="Calibri"/>
      <family val="2"/>
      <scheme val="minor"/>
    </font>
    <font>
      <sz val="11"/>
      <color indexed="8"/>
      <name val="Calibri"/>
      <family val="2"/>
    </font>
    <font>
      <sz val="11"/>
      <color indexed="10"/>
      <name val="Calibri"/>
      <family val="2"/>
    </font>
    <font>
      <b/>
      <sz val="11"/>
      <color indexed="8"/>
      <name val="Calibri"/>
      <family val="2"/>
    </font>
    <font>
      <u/>
      <sz val="11"/>
      <color indexed="8"/>
      <name val="Calibri"/>
      <family val="2"/>
    </font>
    <font>
      <sz val="11"/>
      <name val="Calibri"/>
      <family val="2"/>
    </font>
    <font>
      <b/>
      <sz val="11"/>
      <name val="Calibri"/>
      <family val="2"/>
    </font>
    <font>
      <sz val="11"/>
      <name val="Century Schoolbook"/>
      <family val="1"/>
    </font>
    <font>
      <sz val="11"/>
      <color indexed="62"/>
      <name val="Calibri"/>
      <family val="2"/>
    </font>
    <font>
      <sz val="11"/>
      <color indexed="60"/>
      <name val="Calibri"/>
      <family val="2"/>
    </font>
    <font>
      <sz val="10"/>
      <name val="Times New Roman"/>
      <family val="1"/>
    </font>
    <font>
      <sz val="12"/>
      <color indexed="8"/>
      <name val="Century Schoolbook"/>
      <family val="1"/>
    </font>
    <font>
      <b/>
      <sz val="12"/>
      <color indexed="8"/>
      <name val="Century Schoolbook"/>
      <family val="1"/>
    </font>
    <font>
      <sz val="14"/>
      <color indexed="8"/>
      <name val="Century Schoolbook"/>
      <family val="1"/>
    </font>
    <font>
      <sz val="11"/>
      <color indexed="9"/>
      <name val="Calibri"/>
      <family val="2"/>
    </font>
    <font>
      <b/>
      <sz val="11"/>
      <color indexed="9"/>
      <name val="Calibri"/>
      <family val="2"/>
    </font>
    <font>
      <sz val="11"/>
      <color indexed="17"/>
      <name val="Calibri"/>
      <family val="2"/>
    </font>
    <font>
      <b/>
      <sz val="11"/>
      <color indexed="63"/>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6"/>
      <name val="Calibri"/>
      <family val="2"/>
    </font>
    <font>
      <b/>
      <sz val="11"/>
      <color indexed="53"/>
      <name val="Calibri"/>
      <family val="2"/>
    </font>
    <font>
      <sz val="11"/>
      <color indexed="53"/>
      <name val="Calibri"/>
      <family val="2"/>
    </font>
    <font>
      <sz val="8"/>
      <name val="Arial"/>
      <family val="2"/>
    </font>
    <font>
      <sz val="8"/>
      <name val="Arial"/>
      <family val="2"/>
    </font>
    <font>
      <sz val="10"/>
      <name val="Century Schoolbook"/>
      <family val="1"/>
    </font>
    <font>
      <sz val="10"/>
      <color indexed="8"/>
      <name val="Times New Roman"/>
      <family val="1"/>
    </font>
    <font>
      <sz val="12"/>
      <name val="Garamond"/>
      <family val="1"/>
    </font>
    <font>
      <sz val="12"/>
      <name val="Garamond"/>
      <family val="1"/>
    </font>
    <font>
      <u/>
      <sz val="10"/>
      <color indexed="12"/>
      <name val="Arial"/>
      <family val="2"/>
    </font>
    <font>
      <sz val="10"/>
      <name val="Arial"/>
      <family val="2"/>
    </font>
    <font>
      <b/>
      <sz val="11"/>
      <color indexed="8"/>
      <name val="Century Schoolbook"/>
      <family val="1"/>
    </font>
    <font>
      <b/>
      <sz val="11"/>
      <name val="Century Schoolbook"/>
      <family val="1"/>
    </font>
    <font>
      <u/>
      <sz val="11"/>
      <name val="Calibri"/>
      <family val="2"/>
    </font>
    <font>
      <sz val="9"/>
      <name val="Century Schoolbook"/>
      <family val="1"/>
    </font>
    <font>
      <b/>
      <u/>
      <sz val="11"/>
      <color indexed="8"/>
      <name val="Calibri"/>
      <family val="2"/>
    </font>
    <font>
      <sz val="8"/>
      <name val="Arial"/>
      <family val="2"/>
    </font>
    <font>
      <sz val="10"/>
      <name val="Arial"/>
      <family val="2"/>
    </font>
    <font>
      <sz val="12"/>
      <name val="Garamond"/>
      <family val="1"/>
    </font>
    <font>
      <sz val="14"/>
      <color indexed="8"/>
      <name val="Calibri"/>
      <family val="2"/>
    </font>
    <font>
      <i/>
      <u/>
      <sz val="12"/>
      <color indexed="8"/>
      <name val="Calibri"/>
      <family val="2"/>
    </font>
    <font>
      <sz val="11"/>
      <color indexed="8"/>
      <name val="Century Schoolbook"/>
      <family val="2"/>
    </font>
    <font>
      <b/>
      <sz val="22"/>
      <color indexed="8"/>
      <name val="Calibri"/>
      <family val="2"/>
    </font>
    <font>
      <sz val="11"/>
      <color indexed="8"/>
      <name val="Calibri"/>
      <family val="2"/>
    </font>
    <font>
      <sz val="11"/>
      <color indexed="9"/>
      <name val="Calibri"/>
      <family val="2"/>
    </font>
    <font>
      <sz val="11"/>
      <color indexed="8"/>
      <name val="Century Schoolbook"/>
      <family val="2"/>
    </font>
    <font>
      <sz val="12"/>
      <color indexed="8"/>
      <name val="Calibri"/>
      <family val="2"/>
    </font>
    <font>
      <b/>
      <sz val="22"/>
      <color indexed="8"/>
      <name val="Calibri"/>
      <family val="2"/>
    </font>
    <font>
      <b/>
      <sz val="11"/>
      <color indexed="8"/>
      <name val="Calibri"/>
      <family val="2"/>
    </font>
    <font>
      <b/>
      <sz val="14"/>
      <color indexed="8"/>
      <name val="Calibri"/>
      <family val="2"/>
    </font>
    <font>
      <sz val="9"/>
      <color indexed="8"/>
      <name val="Calibri"/>
      <family val="2"/>
    </font>
    <font>
      <b/>
      <sz val="9"/>
      <color indexed="10"/>
      <name val="Calibri"/>
      <family val="2"/>
    </font>
    <font>
      <sz val="11"/>
      <color indexed="30"/>
      <name val="Calibri"/>
      <family val="2"/>
    </font>
    <font>
      <sz val="11"/>
      <color indexed="8"/>
      <name val="Century Schoolbook"/>
      <family val="1"/>
    </font>
    <font>
      <sz val="14"/>
      <color indexed="8"/>
      <name val="Calibri"/>
      <family val="2"/>
    </font>
    <font>
      <b/>
      <sz val="11"/>
      <color indexed="8"/>
      <name val="Century Schoolbook"/>
      <family val="1"/>
    </font>
    <font>
      <sz val="14"/>
      <name val="Calibri"/>
      <family val="2"/>
    </font>
    <font>
      <b/>
      <sz val="24"/>
      <color indexed="26"/>
      <name val="Century Schoolbook"/>
      <family val="1"/>
    </font>
    <font>
      <b/>
      <sz val="9"/>
      <color indexed="8"/>
      <name val="Calibri"/>
      <family val="2"/>
    </font>
    <font>
      <sz val="24"/>
      <color indexed="9"/>
      <name val="Century Schoolbook"/>
      <family val="1"/>
    </font>
    <font>
      <b/>
      <sz val="48"/>
      <color indexed="9"/>
      <name val="Century Schoolbook"/>
      <family val="1"/>
    </font>
    <font>
      <sz val="24"/>
      <color indexed="26"/>
      <name val="Century Schoolbook"/>
      <family val="1"/>
    </font>
    <font>
      <b/>
      <sz val="12"/>
      <color indexed="9"/>
      <name val="Calibri"/>
      <family val="2"/>
    </font>
    <font>
      <b/>
      <sz val="12"/>
      <color indexed="8"/>
      <name val="Calibri"/>
      <family val="2"/>
    </font>
    <font>
      <sz val="10"/>
      <color indexed="8"/>
      <name val="Calibri"/>
      <family val="2"/>
    </font>
    <font>
      <sz val="10"/>
      <color indexed="8"/>
      <name val="Century Schoolbook"/>
      <family val="1"/>
    </font>
    <font>
      <b/>
      <u/>
      <sz val="12"/>
      <color indexed="8"/>
      <name val="Times New Roman"/>
      <family val="1"/>
    </font>
    <font>
      <u/>
      <sz val="11"/>
      <color indexed="8"/>
      <name val="Calibri"/>
      <family val="2"/>
    </font>
    <font>
      <b/>
      <u/>
      <sz val="16"/>
      <color indexed="8"/>
      <name val="Times New Roman"/>
      <family val="1"/>
    </font>
    <font>
      <b/>
      <sz val="10"/>
      <color indexed="8"/>
      <name val="Times New Roman"/>
      <family val="1"/>
    </font>
    <font>
      <b/>
      <u/>
      <sz val="10"/>
      <color indexed="8"/>
      <name val="Times New Roman"/>
      <family val="1"/>
    </font>
    <font>
      <sz val="10"/>
      <color indexed="8"/>
      <name val="Times New Roman"/>
      <family val="1"/>
    </font>
    <font>
      <b/>
      <sz val="11"/>
      <color indexed="8"/>
      <name val="Wingdings"/>
      <charset val="2"/>
    </font>
    <font>
      <u/>
      <sz val="10"/>
      <color indexed="8"/>
      <name val="Times New Roman"/>
      <family val="1"/>
    </font>
    <font>
      <b/>
      <sz val="16"/>
      <color indexed="8"/>
      <name val="Calibri"/>
      <family val="2"/>
    </font>
    <font>
      <b/>
      <sz val="11"/>
      <color indexed="8"/>
      <name val="Garamond"/>
      <family val="1"/>
    </font>
    <font>
      <sz val="11"/>
      <color indexed="8"/>
      <name val="Calibri"/>
      <family val="2"/>
    </font>
    <font>
      <sz val="11"/>
      <name val="Calibri"/>
      <family val="2"/>
    </font>
    <font>
      <b/>
      <sz val="9"/>
      <color indexed="8"/>
      <name val="Century Schoolbook"/>
      <family val="1"/>
    </font>
    <font>
      <sz val="11"/>
      <color indexed="60"/>
      <name val="Calibri"/>
      <family val="2"/>
    </font>
    <font>
      <sz val="9"/>
      <color indexed="8"/>
      <name val="Century Schoolbook"/>
      <family val="1"/>
    </font>
    <font>
      <sz val="9"/>
      <name val="Calibri"/>
      <family val="2"/>
    </font>
    <font>
      <sz val="8"/>
      <color indexed="8"/>
      <name val="Calibri"/>
      <family val="2"/>
    </font>
    <font>
      <b/>
      <sz val="10"/>
      <color indexed="8"/>
      <name val="Calibri"/>
      <family val="2"/>
    </font>
    <font>
      <sz val="8"/>
      <color indexed="8"/>
      <name val="Century Schoolbook"/>
      <family val="1"/>
    </font>
    <font>
      <b/>
      <sz val="18"/>
      <color indexed="8"/>
      <name val="Calibri"/>
      <family val="2"/>
    </font>
    <font>
      <sz val="11"/>
      <color indexed="8"/>
      <name val="Calibri"/>
      <family val="2"/>
    </font>
    <font>
      <b/>
      <sz val="8"/>
      <color indexed="8"/>
      <name val="Calibri"/>
      <family val="2"/>
    </font>
    <font>
      <b/>
      <sz val="11"/>
      <name val="Calibri"/>
      <family val="2"/>
    </font>
    <font>
      <sz val="28"/>
      <color indexed="8"/>
      <name val="Calibri"/>
      <family val="2"/>
    </font>
    <font>
      <b/>
      <sz val="9"/>
      <name val="Calibri"/>
      <family val="2"/>
    </font>
    <font>
      <b/>
      <sz val="20"/>
      <color indexed="8"/>
      <name val="Calibri"/>
      <family val="2"/>
    </font>
    <font>
      <sz val="10"/>
      <color indexed="10"/>
      <name val="Calibri"/>
      <family val="2"/>
    </font>
    <font>
      <sz val="12"/>
      <color indexed="10"/>
      <name val="Calibri"/>
      <family val="2"/>
    </font>
    <font>
      <sz val="8"/>
      <name val="Calibri"/>
      <family val="2"/>
    </font>
    <font>
      <sz val="8"/>
      <color indexed="10"/>
      <name val="Calibri"/>
      <family val="2"/>
    </font>
    <font>
      <b/>
      <i/>
      <u/>
      <sz val="10"/>
      <color indexed="8"/>
      <name val="Times New Roman"/>
      <family val="1"/>
    </font>
    <font>
      <sz val="11"/>
      <color theme="1"/>
      <name val="Calibri"/>
      <family val="2"/>
      <scheme val="minor"/>
    </font>
    <font>
      <sz val="11"/>
      <color theme="1"/>
      <name val="Century Schoolbook"/>
      <family val="2"/>
    </font>
    <font>
      <u/>
      <sz val="11"/>
      <color theme="10"/>
      <name val="Calibri"/>
      <family val="2"/>
      <scheme val="minor"/>
    </font>
    <font>
      <u/>
      <sz val="11"/>
      <color theme="10"/>
      <name val="Calibri"/>
      <family val="2"/>
    </font>
    <font>
      <sz val="12"/>
      <color theme="1"/>
      <name val="Calibri"/>
      <family val="2"/>
      <scheme val="minor"/>
    </font>
    <font>
      <b/>
      <sz val="22"/>
      <color theme="1"/>
      <name val="Calibri"/>
      <family val="2"/>
      <scheme val="minor"/>
    </font>
    <font>
      <b/>
      <sz val="11"/>
      <color theme="1"/>
      <name val="Calibri"/>
      <family val="2"/>
      <scheme val="minor"/>
    </font>
    <font>
      <sz val="11"/>
      <color rgb="FFFF0000"/>
      <name val="Calibri"/>
      <family val="2"/>
      <scheme val="minor"/>
    </font>
    <font>
      <b/>
      <sz val="11"/>
      <color theme="1"/>
      <name val="Century Schoolbook"/>
      <family val="1"/>
    </font>
    <font>
      <sz val="10"/>
      <color theme="1"/>
      <name val="Century Schoolbook"/>
      <family val="1"/>
    </font>
    <font>
      <sz val="9"/>
      <color theme="1"/>
      <name val="Century Schoolbook"/>
      <family val="1"/>
    </font>
    <font>
      <sz val="9"/>
      <color theme="1"/>
      <name val="Calibri"/>
      <family val="2"/>
      <scheme val="minor"/>
    </font>
    <font>
      <sz val="11"/>
      <color theme="1"/>
      <name val="Century Schoolbook"/>
      <family val="1"/>
    </font>
    <font>
      <sz val="8"/>
      <color theme="1"/>
      <name val="Calibri"/>
      <family val="2"/>
      <scheme val="minor"/>
    </font>
    <font>
      <b/>
      <sz val="8"/>
      <color theme="1"/>
      <name val="Calibri"/>
      <family val="2"/>
      <scheme val="minor"/>
    </font>
    <font>
      <b/>
      <sz val="11"/>
      <color rgb="FF000000"/>
      <name val="Calibri"/>
      <family val="2"/>
    </font>
    <font>
      <sz val="11"/>
      <name val="Calibri"/>
      <family val="2"/>
      <scheme val="minor"/>
    </font>
    <font>
      <sz val="11"/>
      <color theme="5" tint="-0.249977111117893"/>
      <name val="Calibri"/>
      <family val="2"/>
    </font>
    <font>
      <b/>
      <sz val="11"/>
      <color theme="5" tint="-0.249977111117893"/>
      <name val="Calibri"/>
      <family val="2"/>
      <scheme val="minor"/>
    </font>
    <font>
      <b/>
      <sz val="16"/>
      <color theme="1"/>
      <name val="Century Schoolbook"/>
      <family val="1"/>
    </font>
    <font>
      <b/>
      <sz val="16"/>
      <color theme="1"/>
      <name val="Calibri"/>
      <family val="2"/>
      <scheme val="minor"/>
    </font>
    <font>
      <sz val="9"/>
      <color rgb="FFFF0000"/>
      <name val="Calibri"/>
      <family val="2"/>
      <scheme val="minor"/>
    </font>
    <font>
      <i/>
      <sz val="12"/>
      <name val="Cambria"/>
      <family val="1"/>
    </font>
    <font>
      <sz val="12"/>
      <color theme="1"/>
      <name val="Century Schoolbook"/>
      <family val="1"/>
    </font>
    <font>
      <sz val="12"/>
      <color rgb="FFFF0000"/>
      <name val="Century Schoolbook"/>
      <family val="1"/>
    </font>
    <font>
      <i/>
      <sz val="12"/>
      <color theme="1"/>
      <name val="Century Schoolbook"/>
      <family val="1"/>
    </font>
    <font>
      <sz val="8"/>
      <name val="Arial"/>
      <family val="2"/>
    </font>
    <font>
      <sz val="10"/>
      <name val="Arial"/>
      <family val="2"/>
    </font>
    <font>
      <sz val="12"/>
      <name val="Garamond"/>
      <family val="1"/>
    </font>
    <font>
      <sz val="11"/>
      <color indexed="8"/>
      <name val="Calibri"/>
      <family val="2"/>
      <scheme val="minor"/>
    </font>
    <font>
      <b/>
      <sz val="11"/>
      <color indexed="8"/>
      <name val="Calibri"/>
      <family val="2"/>
      <scheme val="minor"/>
    </font>
    <font>
      <b/>
      <sz val="10"/>
      <color theme="1"/>
      <name val="Century Schoolbook"/>
      <family val="2"/>
    </font>
    <font>
      <sz val="11"/>
      <color theme="0"/>
      <name val="Calibri"/>
      <family val="2"/>
    </font>
    <font>
      <sz val="8"/>
      <color theme="0"/>
      <name val="Calibri"/>
      <family val="2"/>
    </font>
    <font>
      <b/>
      <sz val="9"/>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8"/>
      <name val="Arial"/>
      <family val="2"/>
    </font>
    <font>
      <sz val="10"/>
      <name val="Arial"/>
      <family val="2"/>
    </font>
    <font>
      <sz val="12"/>
      <name val="Garamond"/>
      <family val="1"/>
    </font>
    <font>
      <b/>
      <sz val="10"/>
      <color indexed="9"/>
      <name val="Arial"/>
      <family val="2"/>
    </font>
    <font>
      <b/>
      <sz val="10"/>
      <name val="Arial"/>
      <family val="2"/>
    </font>
    <font>
      <b/>
      <sz val="10"/>
      <color indexed="12"/>
      <name val="Arial"/>
      <family val="2"/>
    </font>
    <font>
      <sz val="9"/>
      <name val="Arial"/>
      <family val="2"/>
    </font>
    <font>
      <b/>
      <sz val="9"/>
      <color indexed="18"/>
      <name val="Arial"/>
      <family val="2"/>
    </font>
    <font>
      <b/>
      <sz val="9"/>
      <color indexed="9"/>
      <name val="Arial"/>
      <family val="2"/>
    </font>
    <font>
      <b/>
      <sz val="9"/>
      <name val="Arial"/>
      <family val="2"/>
    </font>
    <font>
      <b/>
      <sz val="10"/>
      <color theme="0"/>
      <name val="Arial"/>
      <family val="2"/>
    </font>
    <font>
      <sz val="11"/>
      <color rgb="FF9C6500"/>
      <name val="Calibri"/>
      <family val="2"/>
      <scheme val="minor"/>
    </font>
    <font>
      <sz val="10"/>
      <color indexed="63"/>
      <name val="Arial"/>
      <family val="2"/>
    </font>
    <font>
      <b/>
      <i/>
      <sz val="10"/>
      <color indexed="63"/>
      <name val="Arial"/>
      <family val="2"/>
    </font>
    <font>
      <b/>
      <sz val="10"/>
      <color indexed="8"/>
      <name val="Arial"/>
      <family val="2"/>
    </font>
    <font>
      <b/>
      <sz val="14"/>
      <color theme="1"/>
      <name val="Calibri"/>
      <family val="2"/>
      <scheme val="minor"/>
    </font>
    <font>
      <b/>
      <sz val="11"/>
      <color rgb="FFFF0000"/>
      <name val="Calibri"/>
      <family val="2"/>
      <scheme val="minor"/>
    </font>
    <font>
      <sz val="18"/>
      <color theme="0"/>
      <name val="Calibri"/>
      <family val="2"/>
      <scheme val="minor"/>
    </font>
    <font>
      <b/>
      <i/>
      <sz val="12"/>
      <name val="Cambria"/>
      <family val="1"/>
    </font>
    <font>
      <i/>
      <sz val="12"/>
      <color rgb="FFFF0000"/>
      <name val="Cambria"/>
      <family val="1"/>
    </font>
    <font>
      <i/>
      <u/>
      <sz val="12"/>
      <color rgb="FFFF0000"/>
      <name val="Cambria"/>
      <family val="1"/>
    </font>
    <font>
      <b/>
      <i/>
      <sz val="14"/>
      <color theme="0"/>
      <name val="Cambria"/>
      <family val="1"/>
    </font>
    <font>
      <i/>
      <sz val="14"/>
      <color theme="0"/>
      <name val="Century Schoolbook"/>
      <family val="1"/>
    </font>
    <font>
      <i/>
      <sz val="14"/>
      <color theme="0"/>
      <name val="Cambria"/>
      <family val="1"/>
    </font>
    <font>
      <sz val="12"/>
      <color theme="0"/>
      <name val="Century Schoolbook"/>
      <family val="1"/>
    </font>
  </fonts>
  <fills count="61">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43"/>
        <bgColor indexed="64"/>
      </patternFill>
    </fill>
    <fill>
      <patternFill patternType="solid">
        <fgColor indexed="11"/>
        <bgColor indexed="64"/>
      </patternFill>
    </fill>
    <fill>
      <patternFill patternType="solid">
        <fgColor indexed="8"/>
        <bgColor indexed="64"/>
      </patternFill>
    </fill>
    <fill>
      <patternFill patternType="solid">
        <fgColor indexed="51"/>
        <bgColor indexed="64"/>
      </patternFill>
    </fill>
    <fill>
      <patternFill patternType="solid">
        <fgColor indexed="30"/>
        <bgColor indexed="64"/>
      </patternFill>
    </fill>
    <fill>
      <patternFill patternType="solid">
        <fgColor indexed="22"/>
        <bgColor indexed="64"/>
      </patternFill>
    </fill>
    <fill>
      <patternFill patternType="solid">
        <fgColor indexed="49"/>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theme="7" tint="0.79998168889431442"/>
        <bgColor indexed="64"/>
      </patternFill>
    </fill>
    <fill>
      <patternFill patternType="solid">
        <fgColor rgb="FFFFFFCC"/>
        <bgColor indexed="64"/>
      </patternFill>
    </fill>
    <fill>
      <patternFill patternType="solid">
        <fgColor rgb="FF33CCCC"/>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18"/>
        <bgColor indexed="64"/>
      </patternFill>
    </fill>
    <fill>
      <patternFill patternType="solid">
        <fgColor rgb="FF99CCFF"/>
        <bgColor indexed="64"/>
      </patternFill>
    </fill>
    <fill>
      <patternFill patternType="solid">
        <fgColor indexed="44"/>
        <bgColor indexed="64"/>
      </patternFill>
    </fill>
    <fill>
      <patternFill patternType="solid">
        <fgColor theme="1" tint="0.24994659260841701"/>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8" tint="0.59999389629810485"/>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44"/>
      </left>
      <right style="thin">
        <color indexed="44"/>
      </right>
      <top style="thin">
        <color indexed="44"/>
      </top>
      <bottom style="thin">
        <color indexed="44"/>
      </bottom>
      <diagonal/>
    </border>
    <border>
      <left/>
      <right style="thin">
        <color indexed="44"/>
      </right>
      <top style="thin">
        <color indexed="44"/>
      </top>
      <bottom style="thin">
        <color indexed="44"/>
      </bottom>
      <diagonal/>
    </border>
    <border>
      <left/>
      <right style="thin">
        <color indexed="44"/>
      </right>
      <top/>
      <bottom style="thin">
        <color indexed="44"/>
      </bottom>
      <diagonal/>
    </border>
    <border>
      <left/>
      <right style="thin">
        <color indexed="64"/>
      </right>
      <top style="thin">
        <color indexed="64"/>
      </top>
      <bottom style="thin">
        <color indexed="64"/>
      </bottom>
      <diagonal/>
    </border>
    <border>
      <left style="thin">
        <color indexed="44"/>
      </left>
      <right/>
      <top style="thin">
        <color indexed="44"/>
      </top>
      <bottom/>
      <diagonal/>
    </border>
    <border>
      <left style="thin">
        <color indexed="44"/>
      </left>
      <right/>
      <top style="thin">
        <color indexed="44"/>
      </top>
      <bottom style="thin">
        <color indexed="44"/>
      </bottom>
      <diagonal/>
    </border>
    <border>
      <left style="thin">
        <color indexed="44"/>
      </left>
      <right/>
      <top/>
      <bottom style="thin">
        <color indexed="44"/>
      </bottom>
      <diagonal/>
    </border>
    <border>
      <left style="thin">
        <color indexed="44"/>
      </left>
      <right style="thin">
        <color indexed="44"/>
      </right>
      <top style="thin">
        <color indexed="44"/>
      </top>
      <bottom/>
      <diagonal/>
    </border>
    <border>
      <left style="thin">
        <color indexed="44"/>
      </left>
      <right style="thin">
        <color indexed="44"/>
      </right>
      <top/>
      <bottom style="thin">
        <color indexed="44"/>
      </bottom>
      <diagonal/>
    </border>
    <border>
      <left style="thin">
        <color indexed="64"/>
      </left>
      <right/>
      <top/>
      <bottom/>
      <diagonal/>
    </border>
    <border>
      <left style="thin">
        <color indexed="64"/>
      </left>
      <right style="thin">
        <color indexed="44"/>
      </right>
      <top style="thin">
        <color indexed="44"/>
      </top>
      <bottom style="thin">
        <color indexed="44"/>
      </bottom>
      <diagonal/>
    </border>
    <border>
      <left/>
      <right style="thin">
        <color indexed="44"/>
      </right>
      <top style="thin">
        <color indexed="44"/>
      </top>
      <bottom/>
      <diagonal/>
    </border>
    <border>
      <left/>
      <right/>
      <top style="thin">
        <color indexed="44"/>
      </top>
      <bottom/>
      <diagonal/>
    </border>
    <border>
      <left/>
      <right style="thin">
        <color theme="3" tint="0.59996337778862885"/>
      </right>
      <top style="thin">
        <color theme="3" tint="0.59996337778862885"/>
      </top>
      <bottom/>
      <diagonal/>
    </border>
    <border>
      <left style="thin">
        <color theme="3" tint="0.59996337778862885"/>
      </left>
      <right style="thin">
        <color theme="3" tint="0.59996337778862885"/>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theme="3" tint="0.59996337778862885"/>
      </left>
      <right/>
      <top/>
      <bottom style="thin">
        <color theme="3" tint="0.59996337778862885"/>
      </bottom>
      <diagonal/>
    </border>
    <border>
      <left/>
      <right style="thin">
        <color indexed="64"/>
      </right>
      <top/>
      <bottom/>
      <diagonal/>
    </border>
    <border>
      <left style="medium">
        <color auto="1"/>
      </left>
      <right style="medium">
        <color auto="1"/>
      </right>
      <top style="medium">
        <color auto="1"/>
      </top>
      <bottom style="medium">
        <color auto="1"/>
      </bottom>
      <diagonal/>
    </border>
    <border>
      <left/>
      <right style="thin">
        <color theme="3" tint="0.59996337778862885"/>
      </right>
      <top/>
      <bottom style="thin">
        <color theme="3" tint="0.59996337778862885"/>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style="thin">
        <color theme="3" tint="0.79998168889431442"/>
      </right>
      <top style="thin">
        <color theme="3" tint="0.79998168889431442"/>
      </top>
      <bottom style="thin">
        <color theme="3" tint="0.79998168889431442"/>
      </bottom>
      <diagonal/>
    </border>
    <border>
      <left style="medium">
        <color indexed="64"/>
      </left>
      <right/>
      <top style="medium">
        <color indexed="64"/>
      </top>
      <bottom/>
      <diagonal/>
    </border>
    <border>
      <left/>
      <right style="medium">
        <color indexed="64"/>
      </right>
      <top style="medium">
        <color indexed="64"/>
      </top>
      <bottom/>
      <diagonal/>
    </border>
  </borders>
  <cellStyleXfs count="520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4"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4" fillId="3"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15" borderId="1" applyNumberFormat="0" applyAlignment="0" applyProtection="0"/>
    <xf numFmtId="0" fontId="24" fillId="15" borderId="1" applyNumberFormat="0" applyAlignment="0" applyProtection="0"/>
    <xf numFmtId="0" fontId="15" fillId="7" borderId="2" applyNumberFormat="0" applyAlignment="0" applyProtection="0"/>
    <xf numFmtId="0" fontId="15" fillId="7" borderId="2" applyNumberFormat="0" applyAlignment="0" applyProtection="0"/>
    <xf numFmtId="43" fontId="46" fillId="0" borderId="0" applyFont="0" applyFill="0" applyBorder="0" applyAlignment="0" applyProtection="0"/>
    <xf numFmtId="43" fontId="48" fillId="0" borderId="0" applyFont="0" applyFill="0" applyBorder="0" applyAlignment="0" applyProtection="0"/>
    <xf numFmtId="43" fontId="101"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46"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01" fillId="0" borderId="0" applyFont="0" applyFill="0" applyBorder="0" applyAlignment="0" applyProtection="0"/>
    <xf numFmtId="43" fontId="44" fillId="0" borderId="0" applyFont="0" applyFill="0" applyBorder="0" applyAlignment="0" applyProtection="0"/>
    <xf numFmtId="43" fontId="46" fillId="0" borderId="0" applyFont="0" applyFill="0" applyBorder="0" applyAlignment="0" applyProtection="0"/>
    <xf numFmtId="43" fontId="101"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8" fillId="0" borderId="0" applyFont="0" applyFill="0" applyBorder="0" applyAlignment="0" applyProtection="0"/>
    <xf numFmtId="43" fontId="44" fillId="0" borderId="0" applyFont="0" applyFill="0" applyBorder="0" applyAlignment="0" applyProtection="0"/>
    <xf numFmtId="43" fontId="48" fillId="0" borderId="0" applyFont="0" applyFill="0" applyBorder="0" applyAlignment="0" applyProtection="0"/>
    <xf numFmtId="43" fontId="101"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101"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46" fillId="0" borderId="0" applyFont="0" applyFill="0" applyBorder="0" applyAlignment="0" applyProtection="0"/>
    <xf numFmtId="43" fontId="4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46"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101" fillId="0" borderId="0" applyFont="0" applyFill="0" applyBorder="0" applyAlignment="0" applyProtection="0"/>
    <xf numFmtId="44" fontId="44" fillId="0" borderId="0" applyFont="0" applyFill="0" applyBorder="0" applyAlignment="0" applyProtection="0"/>
    <xf numFmtId="44" fontId="46" fillId="0" borderId="0" applyFont="0" applyFill="0" applyBorder="0" applyAlignment="0" applyProtection="0"/>
    <xf numFmtId="44" fontId="10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8" fillId="12" borderId="1" applyNumberFormat="0" applyAlignment="0" applyProtection="0"/>
    <xf numFmtId="0" fontId="8" fillId="12" borderId="1" applyNumberFormat="0" applyAlignment="0" applyProtection="0"/>
    <xf numFmtId="0" fontId="25" fillId="0" borderId="6" applyNumberFormat="0" applyFill="0" applyAlignment="0" applyProtection="0"/>
    <xf numFmtId="0" fontId="25" fillId="0" borderId="6" applyNumberFormat="0" applyFill="0" applyAlignment="0" applyProtection="0"/>
    <xf numFmtId="0" fontId="9" fillId="19" borderId="0" applyNumberFormat="0" applyBorder="0" applyAlignment="0" applyProtection="0"/>
    <xf numFmtId="0" fontId="9" fillId="19" borderId="0" applyNumberFormat="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1"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1" fillId="0" borderId="0"/>
    <xf numFmtId="0" fontId="101" fillId="0" borderId="0"/>
    <xf numFmtId="0" fontId="100" fillId="0" borderId="0"/>
    <xf numFmtId="0" fontId="18"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1" fillId="0" borderId="0"/>
    <xf numFmtId="0" fontId="10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0" borderId="0"/>
    <xf numFmtId="0" fontId="26" fillId="0" borderId="0"/>
    <xf numFmtId="0" fontId="27" fillId="0" borderId="0"/>
    <xf numFmtId="0" fontId="26" fillId="0" borderId="0"/>
    <xf numFmtId="0" fontId="26" fillId="0" borderId="0"/>
    <xf numFmtId="0" fontId="39" fillId="0" borderId="0"/>
    <xf numFmtId="0" fontId="26" fillId="0" borderId="0"/>
    <xf numFmtId="0" fontId="39" fillId="0" borderId="0"/>
    <xf numFmtId="0" fontId="26" fillId="0" borderId="0"/>
    <xf numFmtId="0" fontId="26" fillId="0" borderId="0"/>
    <xf numFmtId="0" fontId="26" fillId="0" borderId="0"/>
    <xf numFmtId="0" fontId="26" fillId="0" borderId="0"/>
    <xf numFmtId="0" fontId="39" fillId="0" borderId="0"/>
    <xf numFmtId="0" fontId="26" fillId="0" borderId="0"/>
    <xf numFmtId="0" fontId="39" fillId="0" borderId="0"/>
    <xf numFmtId="0" fontId="26" fillId="0" borderId="0"/>
    <xf numFmtId="0" fontId="26" fillId="0" borderId="0"/>
    <xf numFmtId="0" fontId="39" fillId="0" borderId="0"/>
    <xf numFmtId="0" fontId="26" fillId="0" borderId="0"/>
    <xf numFmtId="0" fontId="26" fillId="0" borderId="0"/>
    <xf numFmtId="0" fontId="39" fillId="0" borderId="0"/>
    <xf numFmtId="0" fontId="26" fillId="0" borderId="0"/>
    <xf numFmtId="0" fontId="26" fillId="0" borderId="0"/>
    <xf numFmtId="0" fontId="39" fillId="0" borderId="0"/>
    <xf numFmtId="0" fontId="26" fillId="0" borderId="0"/>
    <xf numFmtId="0" fontId="39" fillId="0" borderId="0"/>
    <xf numFmtId="0" fontId="26" fillId="0" borderId="0"/>
    <xf numFmtId="0" fontId="26" fillId="0" borderId="0"/>
    <xf numFmtId="0" fontId="26" fillId="0" borderId="0"/>
    <xf numFmtId="0" fontId="39" fillId="0" borderId="0"/>
    <xf numFmtId="0" fontId="26" fillId="0" borderId="0"/>
    <xf numFmtId="0" fontId="39" fillId="0" borderId="0"/>
    <xf numFmtId="0" fontId="26"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7"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6" fillId="0" borderId="0"/>
    <xf numFmtId="0" fontId="27" fillId="0" borderId="0"/>
    <xf numFmtId="0" fontId="33" fillId="0" borderId="0"/>
    <xf numFmtId="0" fontId="18" fillId="0" borderId="0"/>
    <xf numFmtId="0" fontId="40" fillId="0" borderId="0"/>
    <xf numFmtId="0" fontId="18" fillId="0" borderId="0"/>
    <xf numFmtId="0" fontId="18"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18" fillId="0" borderId="0"/>
    <xf numFmtId="0" fontId="40" fillId="0" borderId="0"/>
    <xf numFmtId="0" fontId="18" fillId="0" borderId="0"/>
    <xf numFmtId="0" fontId="40" fillId="0" borderId="0"/>
    <xf numFmtId="0" fontId="18" fillId="0" borderId="0"/>
    <xf numFmtId="0" fontId="27" fillId="0" borderId="0"/>
    <xf numFmtId="0" fontId="26" fillId="0" borderId="0"/>
    <xf numFmtId="0" fontId="40" fillId="0" borderId="0"/>
    <xf numFmtId="0" fontId="18" fillId="0" borderId="0"/>
    <xf numFmtId="0" fontId="18"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40" fillId="0" borderId="0"/>
    <xf numFmtId="0" fontId="18" fillId="0" borderId="0"/>
    <xf numFmtId="0" fontId="26" fillId="0" borderId="0"/>
    <xf numFmtId="0" fontId="18" fillId="0" borderId="0"/>
    <xf numFmtId="0" fontId="18" fillId="0" borderId="0"/>
    <xf numFmtId="0" fontId="40" fillId="0" borderId="0"/>
    <xf numFmtId="0" fontId="18" fillId="0" borderId="0"/>
    <xf numFmtId="0" fontId="40" fillId="0" borderId="0"/>
    <xf numFmtId="0" fontId="18" fillId="0" borderId="0"/>
    <xf numFmtId="0" fontId="39" fillId="0" borderId="0"/>
    <xf numFmtId="0" fontId="26" fillId="0" borderId="0"/>
    <xf numFmtId="0" fontId="39" fillId="0" borderId="0"/>
    <xf numFmtId="0" fontId="26" fillId="0" borderId="0"/>
    <xf numFmtId="0" fontId="26" fillId="0" borderId="0"/>
    <xf numFmtId="0" fontId="26" fillId="0" borderId="0"/>
    <xf numFmtId="0" fontId="26" fillId="0" borderId="0"/>
    <xf numFmtId="0" fontId="39" fillId="0" borderId="0"/>
    <xf numFmtId="0" fontId="26" fillId="0" borderId="0"/>
    <xf numFmtId="0" fontId="39" fillId="0" borderId="0"/>
    <xf numFmtId="0" fontId="26" fillId="0" borderId="0"/>
    <xf numFmtId="0" fontId="26" fillId="0" borderId="0"/>
    <xf numFmtId="0" fontId="39" fillId="0" borderId="0"/>
    <xf numFmtId="0" fontId="26" fillId="0" borderId="0"/>
    <xf numFmtId="0" fontId="26" fillId="0" borderId="0"/>
    <xf numFmtId="0" fontId="39" fillId="0" borderId="0"/>
    <xf numFmtId="0" fontId="26" fillId="0" borderId="0"/>
    <xf numFmtId="0" fontId="26" fillId="0" borderId="0"/>
    <xf numFmtId="0" fontId="39" fillId="0" borderId="0"/>
    <xf numFmtId="0" fontId="26" fillId="0" borderId="0"/>
    <xf numFmtId="0" fontId="39" fillId="0" borderId="0"/>
    <xf numFmtId="0" fontId="26" fillId="0" borderId="0"/>
    <xf numFmtId="0" fontId="26" fillId="0" borderId="0"/>
    <xf numFmtId="0" fontId="26" fillId="0" borderId="0"/>
    <xf numFmtId="0" fontId="26" fillId="0" borderId="0"/>
    <xf numFmtId="0" fontId="39" fillId="0" borderId="0"/>
    <xf numFmtId="0" fontId="26" fillId="0" borderId="0"/>
    <xf numFmtId="0" fontId="100" fillId="0" borderId="0"/>
    <xf numFmtId="0" fontId="39" fillId="0" borderId="0"/>
    <xf numFmtId="0" fontId="40" fillId="0" borderId="0"/>
    <xf numFmtId="0" fontId="18" fillId="0" borderId="0"/>
    <xf numFmtId="0" fontId="39" fillId="0" borderId="0"/>
    <xf numFmtId="0" fontId="26" fillId="0" borderId="0"/>
    <xf numFmtId="0" fontId="26" fillId="0" borderId="0"/>
    <xf numFmtId="0" fontId="100" fillId="0" borderId="0"/>
    <xf numFmtId="0" fontId="26" fillId="0" borderId="0"/>
    <xf numFmtId="0" fontId="100" fillId="0" borderId="0"/>
    <xf numFmtId="0" fontId="100" fillId="0" borderId="0"/>
    <xf numFmtId="0" fontId="100" fillId="0" borderId="0"/>
    <xf numFmtId="0" fontId="39"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26" fillId="0" borderId="0"/>
    <xf numFmtId="0" fontId="18" fillId="0" borderId="0"/>
    <xf numFmtId="0" fontId="31" fillId="0" borderId="0"/>
    <xf numFmtId="0" fontId="30" fillId="0" borderId="0"/>
    <xf numFmtId="0" fontId="30" fillId="0" borderId="0"/>
    <xf numFmtId="0" fontId="40" fillId="0" borderId="0"/>
    <xf numFmtId="0" fontId="18" fillId="0" borderId="0"/>
    <xf numFmtId="0" fontId="33" fillId="0" borderId="0"/>
    <xf numFmtId="0" fontId="18" fillId="0" borderId="0"/>
    <xf numFmtId="0" fontId="40" fillId="0" borderId="0"/>
    <xf numFmtId="0" fontId="18" fillId="0" borderId="0"/>
    <xf numFmtId="0" fontId="18"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18" fillId="0" borderId="0"/>
    <xf numFmtId="0" fontId="40" fillId="0" borderId="0"/>
    <xf numFmtId="0" fontId="18" fillId="0" borderId="0"/>
    <xf numFmtId="0" fontId="40" fillId="0" borderId="0"/>
    <xf numFmtId="0" fontId="18" fillId="0" borderId="0"/>
    <xf numFmtId="0" fontId="18" fillId="0" borderId="0"/>
    <xf numFmtId="0" fontId="18" fillId="0" borderId="0"/>
    <xf numFmtId="0" fontId="18" fillId="0" borderId="0"/>
    <xf numFmtId="0" fontId="18" fillId="0" borderId="0"/>
    <xf numFmtId="0" fontId="40" fillId="0" borderId="0"/>
    <xf numFmtId="0" fontId="40" fillId="0" borderId="0"/>
    <xf numFmtId="0" fontId="18" fillId="0" borderId="0"/>
    <xf numFmtId="0" fontId="26" fillId="0" borderId="0"/>
    <xf numFmtId="0" fontId="40" fillId="0" borderId="0"/>
    <xf numFmtId="0" fontId="18" fillId="0" borderId="0"/>
    <xf numFmtId="0" fontId="30" fillId="0" borderId="0"/>
    <xf numFmtId="0" fontId="100" fillId="0" borderId="0"/>
    <xf numFmtId="0" fontId="100" fillId="0" borderId="0"/>
    <xf numFmtId="0" fontId="100" fillId="0" borderId="0"/>
    <xf numFmtId="0" fontId="100" fillId="0" borderId="0"/>
    <xf numFmtId="0" fontId="31" fillId="0" borderId="0"/>
    <xf numFmtId="0" fontId="30" fillId="0" borderId="0"/>
    <xf numFmtId="0" fontId="41" fillId="0" borderId="0"/>
    <xf numFmtId="0" fontId="30" fillId="0" borderId="0"/>
    <xf numFmtId="0" fontId="30" fillId="0" borderId="0"/>
    <xf numFmtId="0" fontId="30" fillId="0" borderId="0"/>
    <xf numFmtId="0" fontId="30" fillId="0" borderId="0"/>
    <xf numFmtId="0" fontId="41" fillId="0" borderId="0"/>
    <xf numFmtId="0" fontId="30" fillId="0" borderId="0"/>
    <xf numFmtId="0" fontId="41" fillId="0" borderId="0"/>
    <xf numFmtId="0" fontId="30" fillId="0" borderId="0"/>
    <xf numFmtId="0" fontId="30" fillId="0" borderId="0"/>
    <xf numFmtId="0" fontId="41" fillId="0" borderId="0"/>
    <xf numFmtId="0" fontId="30" fillId="0" borderId="0"/>
    <xf numFmtId="0" fontId="30" fillId="0" borderId="0"/>
    <xf numFmtId="0" fontId="41" fillId="0" borderId="0"/>
    <xf numFmtId="0" fontId="30" fillId="0" borderId="0"/>
    <xf numFmtId="0" fontId="30" fillId="0" borderId="0"/>
    <xf numFmtId="0" fontId="41" fillId="0" borderId="0"/>
    <xf numFmtId="0" fontId="30" fillId="0" borderId="0"/>
    <xf numFmtId="0" fontId="41" fillId="0" borderId="0"/>
    <xf numFmtId="0" fontId="3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30" fillId="0" borderId="0"/>
    <xf numFmtId="0" fontId="30" fillId="0" borderId="0"/>
    <xf numFmtId="0" fontId="41" fillId="0" borderId="0"/>
    <xf numFmtId="0" fontId="30" fillId="0" borderId="0"/>
    <xf numFmtId="0" fontId="100" fillId="0" borderId="0"/>
    <xf numFmtId="0" fontId="41" fillId="0" borderId="0"/>
    <xf numFmtId="0" fontId="30" fillId="0" borderId="0"/>
    <xf numFmtId="0" fontId="30" fillId="0" borderId="0"/>
    <xf numFmtId="0" fontId="30" fillId="0" borderId="0"/>
    <xf numFmtId="0" fontId="100" fillId="0" borderId="0"/>
    <xf numFmtId="0" fontId="100" fillId="0" borderId="0"/>
    <xf numFmtId="0" fontId="100" fillId="0" borderId="0"/>
    <xf numFmtId="0" fontId="41" fillId="0" borderId="0"/>
    <xf numFmtId="0" fontId="100" fillId="0" borderId="0"/>
    <xf numFmtId="0" fontId="100" fillId="0" borderId="0"/>
    <xf numFmtId="0" fontId="100" fillId="0" borderId="0"/>
    <xf numFmtId="0" fontId="100" fillId="0" borderId="0"/>
    <xf numFmtId="0" fontId="100" fillId="0" borderId="0"/>
    <xf numFmtId="0" fontId="30" fillId="0" borderId="0"/>
    <xf numFmtId="0" fontId="100" fillId="0" borderId="0"/>
    <xf numFmtId="0" fontId="100" fillId="0" borderId="0"/>
    <xf numFmtId="0" fontId="100" fillId="0" borderId="0"/>
    <xf numFmtId="0" fontId="101" fillId="0" borderId="0"/>
    <xf numFmtId="0" fontId="101" fillId="0" borderId="0"/>
    <xf numFmtId="0" fontId="101" fillId="0" borderId="0"/>
    <xf numFmtId="0" fontId="100" fillId="0" borderId="0"/>
    <xf numFmtId="3" fontId="10" fillId="0" borderId="0"/>
    <xf numFmtId="0" fontId="18" fillId="5" borderId="7" applyNumberFormat="0" applyFont="0" applyAlignment="0" applyProtection="0"/>
    <xf numFmtId="0" fontId="18" fillId="5" borderId="7" applyNumberFormat="0" applyFont="0" applyAlignment="0" applyProtection="0"/>
    <xf numFmtId="0" fontId="17" fillId="15" borderId="8" applyNumberFormat="0" applyAlignment="0" applyProtection="0"/>
    <xf numFmtId="0" fontId="17" fillId="15" borderId="8" applyNumberFormat="0" applyAlignment="0" applyProtection="0"/>
    <xf numFmtId="9" fontId="31" fillId="0" borderId="0" applyFont="0" applyFill="0" applyBorder="0" applyAlignment="0" applyProtection="0"/>
    <xf numFmtId="9" fontId="30" fillId="0" borderId="0" applyFont="0" applyFill="0" applyBorder="0" applyAlignment="0" applyProtection="0"/>
    <xf numFmtId="9" fontId="48" fillId="0" borderId="0" applyFont="0" applyFill="0" applyBorder="0" applyAlignment="0" applyProtection="0"/>
    <xf numFmtId="9" fontId="101" fillId="0" borderId="0" applyFont="0" applyFill="0" applyBorder="0" applyAlignment="0" applyProtection="0"/>
    <xf numFmtId="0" fontId="19" fillId="0" borderId="0" applyNumberFormat="0" applyFill="0" applyBorder="0" applyAlignment="0" applyProtection="0"/>
    <xf numFmtId="0" fontId="50" fillId="30" borderId="0" applyFont="0" applyBorder="0" applyAlignment="0">
      <alignment horizontal="center" wrapText="1"/>
    </xf>
    <xf numFmtId="0" fontId="50" fillId="30" borderId="0" applyFont="0" applyBorder="0" applyAlignment="0">
      <alignment horizontal="center" wrapText="1"/>
    </xf>
    <xf numFmtId="0" fontId="105" fillId="30" borderId="0" applyFont="0" applyBorder="0" applyAlignment="0">
      <alignment horizontal="center" wrapText="1"/>
    </xf>
    <xf numFmtId="0" fontId="45" fillId="30" borderId="0" applyFont="0" applyBorder="0" applyAlignment="0">
      <alignment horizontal="center" wrapText="1"/>
    </xf>
    <xf numFmtId="0" fontId="105" fillId="30" borderId="0" applyFont="0" applyBorder="0" applyAlignment="0">
      <alignment horizontal="center" wrapText="1"/>
    </xf>
    <xf numFmtId="0" fontId="3" fillId="0" borderId="9" applyNumberFormat="0" applyFill="0" applyAlignment="0" applyProtection="0"/>
    <xf numFmtId="0" fontId="3" fillId="0" borderId="9"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100" fillId="0" borderId="0" applyFont="0" applyFill="0" applyBorder="0" applyAlignment="0" applyProtection="0"/>
    <xf numFmtId="0" fontId="126" fillId="0" borderId="0"/>
    <xf numFmtId="0" fontId="126" fillId="0" borderId="0"/>
    <xf numFmtId="0" fontId="126" fillId="0" borderId="0"/>
    <xf numFmtId="0" fontId="127" fillId="0" borderId="0"/>
    <xf numFmtId="0" fontId="127" fillId="0" borderId="0"/>
    <xf numFmtId="0" fontId="127" fillId="0" borderId="0"/>
    <xf numFmtId="0" fontId="127" fillId="0" borderId="0"/>
    <xf numFmtId="0" fontId="126" fillId="0" borderId="0"/>
    <xf numFmtId="0" fontId="127" fillId="0" borderId="0"/>
    <xf numFmtId="0" fontId="127" fillId="0" borderId="0"/>
    <xf numFmtId="0" fontId="127" fillId="0" borderId="0"/>
    <xf numFmtId="0" fontId="127" fillId="0" borderId="0"/>
    <xf numFmtId="0" fontId="128" fillId="0" borderId="0"/>
    <xf numFmtId="0" fontId="128" fillId="0" borderId="0"/>
    <xf numFmtId="44" fontId="100" fillId="0" borderId="0" applyFont="0" applyFill="0" applyBorder="0" applyAlignment="0" applyProtection="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43" fontId="100" fillId="0" borderId="0" applyFont="0" applyFill="0" applyBorder="0" applyAlignment="0" applyProtection="0"/>
    <xf numFmtId="44" fontId="100" fillId="0" borderId="0" applyFont="0" applyFill="0" applyBorder="0" applyAlignment="0" applyProtection="0"/>
    <xf numFmtId="43" fontId="100" fillId="0" borderId="0" applyFont="0" applyFill="0" applyBorder="0" applyAlignment="0" applyProtection="0"/>
    <xf numFmtId="0" fontId="126" fillId="0" borderId="0"/>
    <xf numFmtId="44" fontId="100" fillId="0" borderId="0" applyFont="0" applyFill="0" applyBorder="0" applyAlignment="0" applyProtection="0"/>
    <xf numFmtId="0" fontId="126" fillId="0" borderId="0"/>
    <xf numFmtId="0" fontId="126" fillId="0" borderId="0"/>
    <xf numFmtId="0" fontId="127" fillId="0" borderId="0"/>
    <xf numFmtId="0" fontId="127" fillId="0" borderId="0"/>
    <xf numFmtId="43" fontId="100" fillId="0" borderId="0" applyFont="0" applyFill="0" applyBorder="0" applyAlignment="0" applyProtection="0"/>
    <xf numFmtId="43" fontId="100" fillId="0" borderId="0" applyFont="0" applyFill="0" applyBorder="0" applyAlignment="0" applyProtection="0"/>
    <xf numFmtId="0" fontId="126" fillId="0" borderId="0"/>
    <xf numFmtId="0" fontId="127" fillId="0" borderId="0"/>
    <xf numFmtId="0" fontId="127" fillId="0" borderId="0"/>
    <xf numFmtId="0" fontId="126" fillId="0" borderId="0"/>
    <xf numFmtId="0" fontId="126" fillId="0" borderId="0"/>
    <xf numFmtId="0" fontId="127" fillId="0" borderId="0"/>
    <xf numFmtId="0" fontId="127" fillId="0" borderId="0"/>
    <xf numFmtId="0" fontId="127" fillId="0" borderId="0"/>
    <xf numFmtId="0" fontId="128" fillId="0" borderId="0"/>
    <xf numFmtId="0" fontId="128" fillId="0" borderId="0"/>
    <xf numFmtId="43" fontId="100" fillId="0" borderId="0" applyFont="0" applyFill="0" applyBorder="0" applyAlignment="0" applyProtection="0"/>
    <xf numFmtId="0" fontId="100" fillId="0" borderId="0"/>
    <xf numFmtId="0" fontId="14" fillId="7" borderId="0" applyNumberFormat="0" applyBorder="0" applyAlignment="0" applyProtection="0"/>
    <xf numFmtId="0" fontId="14" fillId="4" borderId="0" applyNumberFormat="0" applyBorder="0" applyAlignment="0" applyProtection="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44" fillId="0" borderId="0" applyFont="0" applyFill="0" applyBorder="0" applyAlignment="0" applyProtection="0"/>
    <xf numFmtId="43" fontId="1" fillId="0" borderId="0" applyFont="0" applyFill="0" applyBorder="0" applyAlignment="0" applyProtection="0"/>
    <xf numFmtId="0" fontId="100" fillId="0" borderId="0"/>
    <xf numFmtId="43" fontId="1"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4" fillId="7" borderId="0" applyNumberFormat="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4" fillId="13" borderId="0" applyNumberFormat="0" applyBorder="0" applyAlignment="0" applyProtection="0"/>
    <xf numFmtId="0" fontId="127" fillId="5" borderId="7" applyNumberFormat="0" applyFont="0" applyAlignment="0" applyProtection="0"/>
    <xf numFmtId="0" fontId="14" fillId="4" borderId="0" applyNumberFormat="0" applyBorder="0" applyAlignment="0" applyProtection="0"/>
    <xf numFmtId="0" fontId="14" fillId="13" borderId="0" applyNumberFormat="0" applyBorder="0" applyAlignment="0" applyProtection="0"/>
    <xf numFmtId="0" fontId="14" fillId="11" borderId="0" applyNumberFormat="0" applyBorder="0" applyAlignment="0" applyProtection="0"/>
    <xf numFmtId="43" fontId="100" fillId="0" borderId="0" applyFont="0" applyFill="0" applyBorder="0" applyAlignment="0" applyProtection="0"/>
    <xf numFmtId="43" fontId="101"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0" fontId="100" fillId="0" borderId="0"/>
    <xf numFmtId="0" fontId="126" fillId="0" borderId="0"/>
    <xf numFmtId="43" fontId="100" fillId="0" borderId="0" applyFont="0" applyFill="0" applyBorder="0" applyAlignment="0" applyProtection="0"/>
    <xf numFmtId="43" fontId="100" fillId="0" borderId="0" applyFont="0" applyFill="0" applyBorder="0" applyAlignment="0" applyProtection="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4" fillId="4" borderId="0" applyNumberFormat="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4" fillId="4" borderId="0" applyNumberFormat="0" applyBorder="0" applyAlignment="0" applyProtection="0"/>
    <xf numFmtId="9" fontId="44" fillId="0" borderId="0" applyFont="0" applyFill="0" applyBorder="0" applyAlignment="0" applyProtection="0"/>
    <xf numFmtId="0" fontId="100" fillId="0" borderId="0"/>
    <xf numFmtId="0" fontId="100" fillId="0" borderId="0"/>
    <xf numFmtId="0" fontId="45" fillId="30" borderId="0" applyFont="0" applyBorder="0" applyAlignment="0">
      <alignment horizontal="center" wrapText="1"/>
    </xf>
    <xf numFmtId="0" fontId="100" fillId="0" borderId="0"/>
    <xf numFmtId="0" fontId="100" fillId="0" borderId="0"/>
    <xf numFmtId="0" fontId="100" fillId="0" borderId="0"/>
    <xf numFmtId="0" fontId="100" fillId="0" borderId="0"/>
    <xf numFmtId="0" fontId="14" fillId="4" borderId="0" applyNumberFormat="0" applyBorder="0" applyAlignment="0" applyProtection="0"/>
    <xf numFmtId="0" fontId="14" fillId="8" borderId="0" applyNumberFormat="0" applyBorder="0" applyAlignment="0" applyProtection="0"/>
    <xf numFmtId="0" fontId="14" fillId="4" borderId="0" applyNumberFormat="0" applyBorder="0" applyAlignment="0" applyProtection="0"/>
    <xf numFmtId="0" fontId="14" fillId="11" borderId="0" applyNumberFormat="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4" fillId="7" borderId="0" applyNumberFormat="0" applyBorder="0" applyAlignment="0" applyProtection="0"/>
    <xf numFmtId="0" fontId="26" fillId="0" borderId="0"/>
    <xf numFmtId="0" fontId="26" fillId="0" borderId="0"/>
    <xf numFmtId="0" fontId="26"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4" fillId="4" borderId="0" applyNumberFormat="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0" fillId="0" borderId="0"/>
    <xf numFmtId="0" fontId="100" fillId="0" borderId="0"/>
    <xf numFmtId="0" fontId="26" fillId="0" borderId="0"/>
    <xf numFmtId="0" fontId="100" fillId="0" borderId="0"/>
    <xf numFmtId="0" fontId="100" fillId="0" borderId="0"/>
    <xf numFmtId="0" fontId="100" fillId="0" borderId="0"/>
    <xf numFmtId="0" fontId="100" fillId="0" borderId="0"/>
    <xf numFmtId="0" fontId="14" fillId="8"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 fillId="11" borderId="0" applyNumberFormat="0" applyBorder="0" applyAlignment="0" applyProtection="0"/>
    <xf numFmtId="0" fontId="30" fillId="0" borderId="0"/>
    <xf numFmtId="0" fontId="30" fillId="0" borderId="0"/>
    <xf numFmtId="0" fontId="3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30" fillId="0" borderId="0"/>
    <xf numFmtId="0" fontId="30" fillId="0" borderId="0"/>
    <xf numFmtId="0" fontId="3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5" borderId="7" applyNumberFormat="0" applyFont="0" applyAlignment="0" applyProtection="0"/>
    <xf numFmtId="0" fontId="14" fillId="4" borderId="0" applyNumberFormat="0" applyBorder="0" applyAlignment="0" applyProtection="0"/>
    <xf numFmtId="0" fontId="100" fillId="0" borderId="0"/>
    <xf numFmtId="0" fontId="100" fillId="0" borderId="0"/>
    <xf numFmtId="0" fontId="14" fillId="4"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7" borderId="0" applyNumberFormat="0" applyBorder="0" applyAlignment="0" applyProtection="0"/>
    <xf numFmtId="0" fontId="14" fillId="1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3"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00" fillId="0" borderId="0"/>
    <xf numFmtId="0" fontId="101" fillId="0" borderId="0"/>
    <xf numFmtId="43" fontId="101" fillId="0" borderId="0" applyFont="0" applyFill="0" applyBorder="0" applyAlignment="0" applyProtection="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6" fillId="0" borderId="0"/>
    <xf numFmtId="0" fontId="26" fillId="0" borderId="0"/>
    <xf numFmtId="0" fontId="26"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0" fillId="0" borderId="0"/>
    <xf numFmtId="0" fontId="100" fillId="0" borderId="0"/>
    <xf numFmtId="0" fontId="100" fillId="0" borderId="0"/>
    <xf numFmtId="0" fontId="100" fillId="0" borderId="0"/>
    <xf numFmtId="0" fontId="30" fillId="0" borderId="0"/>
    <xf numFmtId="0" fontId="30" fillId="0" borderId="0"/>
    <xf numFmtId="0" fontId="3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30" fillId="0" borderId="0"/>
    <xf numFmtId="0" fontId="3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0" borderId="0"/>
    <xf numFmtId="0" fontId="18"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0" borderId="0"/>
    <xf numFmtId="0" fontId="18" fillId="0" borderId="0"/>
    <xf numFmtId="0" fontId="18"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3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3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8" fillId="5" borderId="7" applyNumberFormat="0" applyFont="0" applyAlignment="0" applyProtection="0"/>
    <xf numFmtId="0" fontId="18" fillId="5" borderId="7" applyNumberFormat="0" applyFont="0" applyAlignment="0" applyProtection="0"/>
    <xf numFmtId="0" fontId="26" fillId="0" borderId="0"/>
    <xf numFmtId="0" fontId="18" fillId="0" borderId="0"/>
    <xf numFmtId="0" fontId="100" fillId="0" borderId="0"/>
    <xf numFmtId="0" fontId="135" fillId="0" borderId="43" applyNumberFormat="0" applyFill="0" applyAlignment="0" applyProtection="0"/>
    <xf numFmtId="0" fontId="136" fillId="0" borderId="44" applyNumberFormat="0" applyFill="0" applyAlignment="0" applyProtection="0"/>
    <xf numFmtId="0" fontId="137" fillId="0" borderId="45" applyNumberFormat="0" applyFill="0" applyAlignment="0" applyProtection="0"/>
    <xf numFmtId="0" fontId="137" fillId="0" borderId="0" applyNumberFormat="0" applyFill="0" applyBorder="0" applyAlignment="0" applyProtection="0"/>
    <xf numFmtId="0" fontId="138" fillId="41" borderId="0" applyNumberFormat="0" applyBorder="0" applyAlignment="0" applyProtection="0"/>
    <xf numFmtId="0" fontId="139" fillId="42" borderId="0" applyNumberFormat="0" applyBorder="0" applyAlignment="0" applyProtection="0"/>
    <xf numFmtId="0" fontId="140" fillId="44" borderId="46" applyNumberFormat="0" applyAlignment="0" applyProtection="0"/>
    <xf numFmtId="0" fontId="141" fillId="45" borderId="47" applyNumberFormat="0" applyAlignment="0" applyProtection="0"/>
    <xf numFmtId="0" fontId="142" fillId="45" borderId="46" applyNumberFormat="0" applyAlignment="0" applyProtection="0"/>
    <xf numFmtId="0" fontId="143" fillId="0" borderId="48" applyNumberFormat="0" applyFill="0" applyAlignment="0" applyProtection="0"/>
    <xf numFmtId="0" fontId="144" fillId="46" borderId="49" applyNumberFormat="0" applyAlignment="0" applyProtection="0"/>
    <xf numFmtId="0" fontId="107" fillId="0" borderId="0" applyNumberFormat="0" applyFill="0" applyBorder="0" applyAlignment="0" applyProtection="0"/>
    <xf numFmtId="0" fontId="106" fillId="0" borderId="51" applyNumberFormat="0" applyFill="0" applyAlignment="0" applyProtection="0"/>
    <xf numFmtId="0" fontId="145" fillId="48" borderId="0" applyNumberFormat="0" applyBorder="0" applyAlignment="0" applyProtection="0"/>
    <xf numFmtId="0" fontId="145" fillId="49" borderId="0" applyNumberFormat="0" applyBorder="0" applyAlignment="0" applyProtection="0"/>
    <xf numFmtId="0" fontId="145" fillId="50" borderId="0" applyNumberFormat="0" applyBorder="0" applyAlignment="0" applyProtection="0"/>
    <xf numFmtId="0" fontId="145" fillId="51" borderId="0" applyNumberFormat="0" applyBorder="0" applyAlignment="0" applyProtection="0"/>
    <xf numFmtId="0" fontId="145" fillId="52" borderId="0" applyNumberFormat="0" applyBorder="0" applyAlignment="0" applyProtection="0"/>
    <xf numFmtId="0" fontId="145" fillId="53" borderId="0" applyNumberFormat="0" applyBorder="0" applyAlignment="0" applyProtection="0"/>
    <xf numFmtId="0" fontId="146" fillId="0" borderId="0"/>
    <xf numFmtId="0" fontId="147" fillId="0" borderId="0"/>
    <xf numFmtId="0" fontId="147" fillId="0" borderId="0"/>
    <xf numFmtId="0" fontId="146" fillId="0" borderId="0"/>
    <xf numFmtId="0" fontId="147" fillId="0" borderId="0"/>
    <xf numFmtId="0" fontId="147" fillId="0" borderId="0"/>
    <xf numFmtId="0" fontId="148"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6" fillId="0" borderId="0"/>
    <xf numFmtId="0" fontId="146" fillId="0" borderId="0"/>
    <xf numFmtId="0" fontId="147" fillId="0" borderId="0"/>
    <xf numFmtId="0" fontId="146" fillId="0" borderId="0"/>
    <xf numFmtId="0" fontId="147" fillId="0" borderId="0"/>
    <xf numFmtId="0" fontId="146" fillId="0" borderId="0"/>
    <xf numFmtId="0" fontId="147" fillId="0" borderId="0"/>
    <xf numFmtId="0" fontId="147" fillId="5" borderId="7" applyNumberFormat="0" applyFont="0" applyAlignment="0" applyProtection="0"/>
    <xf numFmtId="0" fontId="147" fillId="0" borderId="0"/>
    <xf numFmtId="0" fontId="146" fillId="0" borderId="0"/>
    <xf numFmtId="0" fontId="146" fillId="0" borderId="0"/>
    <xf numFmtId="0" fontId="147" fillId="0" borderId="0"/>
    <xf numFmtId="0" fontId="147" fillId="0" borderId="0"/>
    <xf numFmtId="0" fontId="147" fillId="0" borderId="0"/>
    <xf numFmtId="0" fontId="147" fillId="0" borderId="0"/>
    <xf numFmtId="0" fontId="148" fillId="0" borderId="0"/>
    <xf numFmtId="0" fontId="148"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57" fillId="43" borderId="0" applyNumberFormat="0" applyBorder="0" applyAlignment="0" applyProtection="0"/>
    <xf numFmtId="0" fontId="100" fillId="47" borderId="50" applyNumberFormat="0" applyFont="0" applyAlignment="0" applyProtection="0"/>
    <xf numFmtId="40" fontId="150" fillId="0" borderId="16">
      <alignment horizontal="right"/>
    </xf>
    <xf numFmtId="0" fontId="151" fillId="0" borderId="0">
      <alignment horizontal="left"/>
    </xf>
    <xf numFmtId="49" fontId="18" fillId="0" borderId="0"/>
    <xf numFmtId="0" fontId="151" fillId="0" borderId="0">
      <alignment horizontal="left"/>
    </xf>
    <xf numFmtId="169" fontId="150" fillId="0" borderId="16">
      <alignment horizontal="right"/>
    </xf>
    <xf numFmtId="49" fontId="150" fillId="0" borderId="0">
      <alignment horizontal="right"/>
    </xf>
    <xf numFmtId="40" fontId="18" fillId="0" borderId="0">
      <alignment horizontal="right"/>
    </xf>
    <xf numFmtId="49" fontId="18" fillId="0" borderId="0">
      <alignment horizontal="left"/>
    </xf>
    <xf numFmtId="40" fontId="18" fillId="0" borderId="0"/>
    <xf numFmtId="49" fontId="18" fillId="0" borderId="0">
      <alignment horizontal="left"/>
    </xf>
    <xf numFmtId="169" fontId="18" fillId="0" borderId="0">
      <alignment horizontal="right"/>
    </xf>
    <xf numFmtId="49" fontId="18" fillId="0" borderId="0"/>
    <xf numFmtId="49" fontId="149" fillId="54" borderId="0">
      <alignment horizontal="right" vertical="center"/>
    </xf>
    <xf numFmtId="49" fontId="149" fillId="54" borderId="0">
      <alignment horizontal="left" vertical="center"/>
    </xf>
    <xf numFmtId="49" fontId="149" fillId="54" borderId="0">
      <alignment horizontal="center" vertical="center"/>
    </xf>
    <xf numFmtId="49" fontId="149" fillId="54" borderId="0">
      <alignment horizontal="center" vertical="center"/>
    </xf>
    <xf numFmtId="49" fontId="149" fillId="54" borderId="0">
      <alignment horizontal="right" vertical="center"/>
    </xf>
    <xf numFmtId="40" fontId="149" fillId="54" borderId="0">
      <alignment horizontal="right"/>
    </xf>
    <xf numFmtId="49" fontId="149" fillId="54" borderId="0">
      <alignment horizontal="center" vertical="center"/>
    </xf>
    <xf numFmtId="40" fontId="18" fillId="0" borderId="0"/>
    <xf numFmtId="0" fontId="18" fillId="0" borderId="0">
      <alignment horizontal="left"/>
    </xf>
    <xf numFmtId="49" fontId="18" fillId="0" borderId="0"/>
    <xf numFmtId="49" fontId="18" fillId="0" borderId="0">
      <alignment horizontal="center" vertical="center"/>
    </xf>
    <xf numFmtId="169" fontId="18" fillId="0" borderId="0">
      <alignment horizontal="right"/>
    </xf>
    <xf numFmtId="49" fontId="18" fillId="0" borderId="0"/>
    <xf numFmtId="49" fontId="149" fillId="54" borderId="0">
      <alignment horizontal="center" vertical="center"/>
    </xf>
    <xf numFmtId="49" fontId="149" fillId="54" borderId="0">
      <alignment horizontal="center" vertical="center"/>
    </xf>
    <xf numFmtId="169" fontId="149" fillId="54" borderId="0">
      <alignment horizontal="center" vertical="center"/>
    </xf>
    <xf numFmtId="49" fontId="149" fillId="54" borderId="0">
      <alignment horizontal="right"/>
    </xf>
    <xf numFmtId="40" fontId="150" fillId="0" borderId="19">
      <alignment horizontal="right"/>
    </xf>
    <xf numFmtId="0" fontId="151" fillId="0" borderId="0">
      <alignment horizontal="left"/>
    </xf>
    <xf numFmtId="49" fontId="18" fillId="0" borderId="0"/>
    <xf numFmtId="0" fontId="151" fillId="0" borderId="0">
      <alignment horizontal="left"/>
    </xf>
    <xf numFmtId="169" fontId="150" fillId="0" borderId="19">
      <alignment horizontal="right"/>
    </xf>
    <xf numFmtId="49" fontId="150" fillId="0" borderId="0">
      <alignment horizontal="right"/>
    </xf>
    <xf numFmtId="49" fontId="18" fillId="0" borderId="0"/>
    <xf numFmtId="49" fontId="18" fillId="0" borderId="0"/>
    <xf numFmtId="40" fontId="150" fillId="0" borderId="17">
      <alignment horizontal="right"/>
    </xf>
    <xf numFmtId="49" fontId="150" fillId="0" borderId="0">
      <alignment horizontal="left"/>
    </xf>
    <xf numFmtId="49" fontId="18" fillId="0" borderId="0"/>
    <xf numFmtId="49" fontId="150" fillId="0" borderId="0">
      <alignment horizontal="left"/>
    </xf>
    <xf numFmtId="169" fontId="150" fillId="0" borderId="17">
      <alignment horizontal="right"/>
    </xf>
    <xf numFmtId="49" fontId="150" fillId="0" borderId="0">
      <alignment horizontal="right"/>
    </xf>
    <xf numFmtId="49" fontId="149" fillId="54" borderId="0">
      <alignment horizontal="center" vertical="center"/>
    </xf>
    <xf numFmtId="49" fontId="149" fillId="54" borderId="0">
      <alignment horizontal="center" vertical="center"/>
    </xf>
    <xf numFmtId="49" fontId="149" fillId="54" borderId="0">
      <alignment horizontal="center" vertical="center"/>
    </xf>
    <xf numFmtId="49" fontId="149" fillId="54" borderId="0">
      <alignment horizontal="center" vertical="center"/>
    </xf>
    <xf numFmtId="49" fontId="149" fillId="54" borderId="0">
      <alignment horizontal="center" vertical="center"/>
    </xf>
    <xf numFmtId="49" fontId="149" fillId="54" borderId="0">
      <alignment horizontal="center" vertical="center"/>
    </xf>
    <xf numFmtId="49" fontId="149" fillId="54" borderId="0">
      <alignment horizontal="center" vertical="center"/>
    </xf>
    <xf numFmtId="49" fontId="149" fillId="54" borderId="0">
      <alignment horizontal="center" vertical="center"/>
    </xf>
    <xf numFmtId="49" fontId="149" fillId="54" borderId="0">
      <alignment horizontal="center" vertical="center"/>
    </xf>
    <xf numFmtId="49" fontId="18" fillId="0" borderId="0"/>
    <xf numFmtId="49" fontId="18" fillId="0" borderId="0"/>
    <xf numFmtId="49" fontId="18" fillId="0" borderId="0"/>
    <xf numFmtId="49" fontId="18" fillId="0" borderId="0"/>
    <xf numFmtId="49" fontId="18" fillId="0" borderId="0"/>
    <xf numFmtId="49" fontId="18" fillId="0" borderId="0"/>
    <xf numFmtId="0" fontId="150" fillId="55" borderId="0">
      <alignment horizontal="center" vertical="center"/>
    </xf>
    <xf numFmtId="49" fontId="18" fillId="55" borderId="0">
      <alignment horizontal="left" vertical="center"/>
    </xf>
    <xf numFmtId="49" fontId="150" fillId="55" borderId="0">
      <alignment horizontal="center" vertical="center"/>
    </xf>
    <xf numFmtId="0" fontId="150" fillId="56" borderId="0">
      <alignment horizontal="left"/>
    </xf>
    <xf numFmtId="49" fontId="18" fillId="0" borderId="0"/>
    <xf numFmtId="0" fontId="150" fillId="56" borderId="0">
      <alignment horizontal="left"/>
    </xf>
    <xf numFmtId="40" fontId="150" fillId="0" borderId="0">
      <alignment horizontal="right"/>
    </xf>
    <xf numFmtId="49" fontId="149" fillId="54" borderId="0"/>
    <xf numFmtId="49" fontId="149" fillId="54" borderId="0"/>
    <xf numFmtId="49" fontId="18" fillId="0" borderId="0"/>
    <xf numFmtId="0" fontId="152" fillId="25" borderId="0" applyFont="0" applyFill="0">
      <alignment horizontal="left" vertical="top" wrapText="1"/>
    </xf>
    <xf numFmtId="40" fontId="152" fillId="0" borderId="0"/>
    <xf numFmtId="40" fontId="152" fillId="0" borderId="0"/>
    <xf numFmtId="0" fontId="152" fillId="0" borderId="0">
      <alignment horizontal="left"/>
    </xf>
    <xf numFmtId="0" fontId="152" fillId="0" borderId="0">
      <alignment horizontal="center"/>
    </xf>
    <xf numFmtId="0" fontId="153" fillId="0" borderId="0">
      <alignment horizontal="center"/>
    </xf>
    <xf numFmtId="0" fontId="154" fillId="54" borderId="0">
      <alignment horizontal="left"/>
    </xf>
    <xf numFmtId="0" fontId="154" fillId="54" borderId="0">
      <alignment horizontal="left"/>
    </xf>
    <xf numFmtId="0" fontId="153" fillId="0" borderId="0">
      <alignment horizontal="center"/>
    </xf>
    <xf numFmtId="40" fontId="155" fillId="0" borderId="18"/>
    <xf numFmtId="40" fontId="155" fillId="0" borderId="18"/>
    <xf numFmtId="0" fontId="155" fillId="0" borderId="0"/>
    <xf numFmtId="0" fontId="155" fillId="0" borderId="0"/>
    <xf numFmtId="0" fontId="153" fillId="0" borderId="0">
      <alignment horizontal="center"/>
    </xf>
    <xf numFmtId="0" fontId="156" fillId="57" borderId="0">
      <alignment horizontal="left"/>
    </xf>
    <xf numFmtId="0" fontId="156" fillId="57" borderId="0">
      <alignment horizontal="left"/>
    </xf>
    <xf numFmtId="40" fontId="150" fillId="0" borderId="0">
      <alignment horizontal="right"/>
    </xf>
    <xf numFmtId="0" fontId="151" fillId="0" borderId="0">
      <alignment horizontal="left"/>
    </xf>
    <xf numFmtId="49" fontId="18" fillId="0" borderId="0"/>
    <xf numFmtId="0" fontId="151" fillId="0" borderId="0">
      <alignment horizontal="left"/>
    </xf>
    <xf numFmtId="169" fontId="150" fillId="0" borderId="0">
      <alignment horizontal="right"/>
    </xf>
    <xf numFmtId="49" fontId="150" fillId="0" borderId="0" applyBorder="0">
      <alignment horizontal="right"/>
    </xf>
    <xf numFmtId="49" fontId="158" fillId="25" borderId="0">
      <alignment horizontal="left"/>
    </xf>
    <xf numFmtId="49" fontId="158" fillId="25" borderId="0">
      <alignment horizontal="left"/>
    </xf>
    <xf numFmtId="0" fontId="159" fillId="25" borderId="0">
      <alignment horizontal="left"/>
    </xf>
    <xf numFmtId="170" fontId="159" fillId="25" borderId="0">
      <alignment horizontal="left"/>
    </xf>
    <xf numFmtId="40" fontId="150" fillId="0" borderId="0">
      <alignment horizontal="right"/>
    </xf>
    <xf numFmtId="49" fontId="160" fillId="25" borderId="0">
      <alignment horizontal="left"/>
    </xf>
    <xf numFmtId="49" fontId="160" fillId="25" borderId="0">
      <alignment horizontal="left"/>
    </xf>
    <xf numFmtId="49" fontId="18" fillId="0" borderId="0"/>
    <xf numFmtId="40" fontId="150" fillId="0" borderId="17">
      <alignment horizontal="right"/>
    </xf>
    <xf numFmtId="49" fontId="150" fillId="0" borderId="0">
      <alignment horizontal="left"/>
    </xf>
    <xf numFmtId="49" fontId="18" fillId="0" borderId="0"/>
    <xf numFmtId="49" fontId="150" fillId="0" borderId="0">
      <alignment horizontal="left"/>
    </xf>
    <xf numFmtId="169" fontId="150" fillId="0" borderId="17">
      <alignment horizontal="right"/>
    </xf>
    <xf numFmtId="49" fontId="150" fillId="0" borderId="0">
      <alignment horizontal="right"/>
    </xf>
    <xf numFmtId="40" fontId="150" fillId="0" borderId="17">
      <alignment horizontal="right"/>
    </xf>
    <xf numFmtId="0" fontId="150" fillId="56" borderId="0">
      <alignment horizontal="left"/>
    </xf>
    <xf numFmtId="49" fontId="18" fillId="0" borderId="0"/>
    <xf numFmtId="0" fontId="150" fillId="56" borderId="0">
      <alignment horizontal="left"/>
    </xf>
    <xf numFmtId="169" fontId="150" fillId="0" borderId="17">
      <alignment horizontal="right"/>
    </xf>
    <xf numFmtId="49" fontId="150" fillId="0" borderId="0">
      <alignment horizontal="right"/>
    </xf>
    <xf numFmtId="0" fontId="155" fillId="0" borderId="0"/>
    <xf numFmtId="40" fontId="152" fillId="0" borderId="18"/>
    <xf numFmtId="40" fontId="152" fillId="0" borderId="18"/>
    <xf numFmtId="0" fontId="152" fillId="0" borderId="0"/>
    <xf numFmtId="0" fontId="152" fillId="0" borderId="0"/>
    <xf numFmtId="40" fontId="152" fillId="0" borderId="0"/>
    <xf numFmtId="171" fontId="152" fillId="0" borderId="0"/>
    <xf numFmtId="40" fontId="152" fillId="0" borderId="0"/>
    <xf numFmtId="0" fontId="152" fillId="0" borderId="0"/>
    <xf numFmtId="0" fontId="152" fillId="0" borderId="0"/>
    <xf numFmtId="40" fontId="150" fillId="0" borderId="18">
      <alignment horizontal="right"/>
    </xf>
    <xf numFmtId="49" fontId="150" fillId="0" borderId="0">
      <alignment horizontal="left"/>
    </xf>
    <xf numFmtId="49" fontId="18" fillId="0" borderId="0"/>
    <xf numFmtId="49" fontId="150" fillId="0" borderId="0">
      <alignment horizontal="left"/>
    </xf>
    <xf numFmtId="169" fontId="150" fillId="0" borderId="18">
      <alignment horizontal="right"/>
    </xf>
    <xf numFmtId="49" fontId="150" fillId="0" borderId="0">
      <alignment horizontal="right"/>
    </xf>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26" fillId="0" borderId="0"/>
    <xf numFmtId="0" fontId="18" fillId="0" borderId="0"/>
    <xf numFmtId="0" fontId="18" fillId="0" borderId="0"/>
    <xf numFmtId="0" fontId="18" fillId="0" borderId="0"/>
    <xf numFmtId="0" fontId="18" fillId="0" borderId="0"/>
    <xf numFmtId="0" fontId="30" fillId="0" borderId="0"/>
    <xf numFmtId="0" fontId="3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26" fillId="0" borderId="0"/>
    <xf numFmtId="0" fontId="18" fillId="0" borderId="0"/>
    <xf numFmtId="0" fontId="18" fillId="0" borderId="0"/>
    <xf numFmtId="0" fontId="26" fillId="0" borderId="0"/>
    <xf numFmtId="0" fontId="18" fillId="0" borderId="0"/>
    <xf numFmtId="0" fontId="18" fillId="0" borderId="0"/>
    <xf numFmtId="0" fontId="26" fillId="0" borderId="0"/>
    <xf numFmtId="0" fontId="26" fillId="0" borderId="0"/>
    <xf numFmtId="0" fontId="18" fillId="0" borderId="0"/>
    <xf numFmtId="0" fontId="18" fillId="0" borderId="0"/>
    <xf numFmtId="0" fontId="18" fillId="0" borderId="0"/>
    <xf numFmtId="0" fontId="30" fillId="0" borderId="0"/>
    <xf numFmtId="0" fontId="3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0" fontId="100" fillId="0" borderId="0"/>
    <xf numFmtId="0" fontId="26" fillId="0" borderId="0"/>
    <xf numFmtId="43" fontId="100" fillId="0" borderId="0" applyFont="0" applyFill="0" applyBorder="0" applyAlignment="0" applyProtection="0"/>
    <xf numFmtId="43" fontId="100" fillId="0" borderId="0" applyFont="0" applyFill="0" applyBorder="0" applyAlignment="0" applyProtection="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cellStyleXfs>
  <cellXfs count="542">
    <xf numFmtId="0" fontId="0" fillId="0" borderId="0" xfId="0"/>
    <xf numFmtId="0" fontId="0" fillId="0" borderId="0" xfId="0" applyProtection="1"/>
    <xf numFmtId="0" fontId="0" fillId="0" borderId="0" xfId="0" applyFill="1" applyAlignment="1" applyProtection="1">
      <alignment horizontal="center"/>
    </xf>
    <xf numFmtId="0" fontId="0" fillId="0" borderId="0" xfId="0" applyAlignment="1" applyProtection="1">
      <alignment wrapText="1"/>
    </xf>
    <xf numFmtId="0" fontId="0" fillId="0" borderId="0" xfId="0" applyFill="1" applyProtection="1"/>
    <xf numFmtId="0" fontId="0" fillId="0" borderId="0" xfId="0" applyFill="1" applyAlignment="1" applyProtection="1">
      <alignment wrapText="1"/>
    </xf>
    <xf numFmtId="0" fontId="52" fillId="20" borderId="10" xfId="0" applyFont="1" applyFill="1" applyBorder="1" applyAlignment="1" applyProtection="1">
      <alignment horizontal="center" wrapText="1"/>
    </xf>
    <xf numFmtId="41" fontId="53" fillId="0" borderId="0" xfId="0" applyNumberFormat="1" applyFont="1" applyFill="1" applyAlignment="1" applyProtection="1">
      <alignment wrapText="1"/>
    </xf>
    <xf numFmtId="41" fontId="54" fillId="0" borderId="0" xfId="0" applyNumberFormat="1" applyFont="1" applyFill="1" applyAlignment="1" applyProtection="1">
      <alignment wrapText="1"/>
    </xf>
    <xf numFmtId="41" fontId="53" fillId="0" borderId="0" xfId="319" applyNumberFormat="1" applyFont="1" applyFill="1" applyAlignment="1" applyProtection="1">
      <alignment wrapText="1"/>
    </xf>
    <xf numFmtId="41" fontId="53" fillId="0" borderId="0" xfId="0" applyNumberFormat="1" applyFont="1" applyAlignment="1" applyProtection="1">
      <alignment wrapText="1"/>
    </xf>
    <xf numFmtId="41" fontId="53" fillId="20" borderId="11" xfId="0" applyNumberFormat="1" applyFont="1" applyFill="1" applyBorder="1" applyAlignment="1" applyProtection="1">
      <alignment wrapText="1"/>
    </xf>
    <xf numFmtId="41" fontId="53" fillId="20" borderId="12" xfId="0" applyNumberFormat="1" applyFont="1" applyFill="1" applyBorder="1" applyAlignment="1" applyProtection="1">
      <alignment wrapText="1"/>
    </xf>
    <xf numFmtId="164" fontId="52" fillId="20" borderId="12" xfId="319" applyNumberFormat="1" applyFont="1" applyFill="1" applyBorder="1" applyAlignment="1" applyProtection="1">
      <alignment horizontal="center" wrapText="1"/>
    </xf>
    <xf numFmtId="0" fontId="0" fillId="20" borderId="0" xfId="0" applyFill="1" applyAlignment="1" applyProtection="1">
      <alignment wrapText="1"/>
    </xf>
    <xf numFmtId="0" fontId="0" fillId="0" borderId="0" xfId="0" applyAlignment="1" applyProtection="1">
      <alignment wrapText="1"/>
      <protection locked="0"/>
    </xf>
    <xf numFmtId="0" fontId="55" fillId="0" borderId="0" xfId="0" applyFont="1" applyProtection="1"/>
    <xf numFmtId="0" fontId="50" fillId="0" borderId="0" xfId="0" applyFont="1" applyFill="1" applyBorder="1" applyAlignment="1" applyProtection="1">
      <alignment horizontal="center"/>
    </xf>
    <xf numFmtId="0" fontId="0" fillId="0" borderId="0" xfId="0" applyFill="1" applyAlignment="1" applyProtection="1">
      <alignment wrapText="1"/>
      <protection locked="0"/>
    </xf>
    <xf numFmtId="0" fontId="56" fillId="20" borderId="10" xfId="0" applyFont="1" applyFill="1" applyBorder="1" applyAlignment="1" applyProtection="1">
      <alignment horizontal="center" vertical="center" wrapText="1"/>
    </xf>
    <xf numFmtId="0" fontId="56" fillId="0" borderId="0" xfId="0" applyFont="1" applyFill="1" applyAlignment="1" applyProtection="1">
      <alignment horizontal="center" vertical="center"/>
    </xf>
    <xf numFmtId="0" fontId="56" fillId="0" borderId="0" xfId="0" applyFont="1" applyAlignment="1" applyProtection="1">
      <alignment horizontal="center" vertical="center"/>
    </xf>
    <xf numFmtId="0" fontId="56" fillId="20" borderId="13" xfId="0" applyFont="1" applyFill="1" applyBorder="1" applyAlignment="1" applyProtection="1">
      <alignment horizontal="left" vertical="center"/>
    </xf>
    <xf numFmtId="0" fontId="0" fillId="0" borderId="0" xfId="0" applyFont="1" applyProtection="1"/>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0" fillId="0" borderId="0" xfId="0" applyAlignment="1" applyProtection="1">
      <alignment vertical="center"/>
    </xf>
    <xf numFmtId="0" fontId="57" fillId="20" borderId="0" xfId="0" applyFont="1" applyFill="1" applyBorder="1" applyProtection="1"/>
    <xf numFmtId="0" fontId="56" fillId="20" borderId="14" xfId="0" applyFont="1" applyFill="1" applyBorder="1" applyAlignment="1" applyProtection="1">
      <alignment horizontal="left" vertical="center"/>
    </xf>
    <xf numFmtId="0" fontId="58" fillId="0" borderId="0" xfId="0" applyFont="1" applyFill="1" applyBorder="1" applyAlignment="1" applyProtection="1">
      <alignment horizontal="left" vertical="center"/>
    </xf>
    <xf numFmtId="0" fontId="0" fillId="0" borderId="0" xfId="0" applyAlignment="1" applyProtection="1">
      <alignment vertical="center"/>
      <protection locked="0"/>
    </xf>
    <xf numFmtId="0" fontId="0" fillId="0" borderId="0" xfId="0" applyProtection="1">
      <protection locked="0"/>
    </xf>
    <xf numFmtId="0" fontId="56" fillId="20" borderId="0" xfId="0" applyFont="1" applyFill="1" applyBorder="1" applyAlignment="1" applyProtection="1">
      <alignment horizontal="center" vertical="center" wrapText="1"/>
    </xf>
    <xf numFmtId="0" fontId="52" fillId="20" borderId="0" xfId="0" applyFont="1" applyFill="1" applyBorder="1" applyAlignment="1" applyProtection="1">
      <alignment horizontal="center" wrapText="1"/>
    </xf>
    <xf numFmtId="0" fontId="0" fillId="21" borderId="0" xfId="0" applyFill="1" applyProtection="1"/>
    <xf numFmtId="40" fontId="59" fillId="20" borderId="15" xfId="0" applyNumberFormat="1" applyFont="1" applyFill="1" applyBorder="1" applyProtection="1"/>
    <xf numFmtId="0" fontId="58" fillId="0" borderId="0" xfId="0" applyFont="1" applyFill="1" applyAlignment="1" applyProtection="1">
      <alignment horizontal="center" vertical="center"/>
    </xf>
    <xf numFmtId="0" fontId="60" fillId="22" borderId="0" xfId="0" applyFont="1" applyFill="1" applyAlignment="1" applyProtection="1">
      <alignment horizontal="left" vertical="center"/>
    </xf>
    <xf numFmtId="0" fontId="61" fillId="23" borderId="10" xfId="0" applyFont="1" applyFill="1" applyBorder="1" applyAlignment="1" applyProtection="1">
      <alignment horizontal="center" wrapText="1"/>
    </xf>
    <xf numFmtId="0" fontId="53" fillId="0" borderId="0" xfId="0" applyFont="1" applyAlignment="1" applyProtection="1">
      <alignment horizontal="left" wrapText="1"/>
    </xf>
    <xf numFmtId="0" fontId="53" fillId="0" borderId="0" xfId="0" applyFont="1" applyAlignment="1" applyProtection="1">
      <alignment horizontal="left" vertical="center" wrapText="1"/>
    </xf>
    <xf numFmtId="0" fontId="51" fillId="0" borderId="0" xfId="0" applyFont="1" applyAlignment="1" applyProtection="1">
      <alignment horizontal="center"/>
    </xf>
    <xf numFmtId="0" fontId="62" fillId="22" borderId="0" xfId="0" applyFont="1" applyFill="1" applyAlignment="1" applyProtection="1">
      <alignment vertical="center"/>
    </xf>
    <xf numFmtId="0" fontId="63" fillId="22" borderId="0" xfId="0" applyFont="1" applyFill="1" applyAlignment="1" applyProtection="1">
      <alignment vertical="center"/>
    </xf>
    <xf numFmtId="0" fontId="64" fillId="22" borderId="0" xfId="0" applyFont="1" applyFill="1" applyAlignment="1" applyProtection="1">
      <alignment vertical="center"/>
      <protection locked="0"/>
    </xf>
    <xf numFmtId="0" fontId="0" fillId="20" borderId="0" xfId="0" applyFill="1" applyProtection="1"/>
    <xf numFmtId="0" fontId="0" fillId="0" borderId="0" xfId="0" applyFill="1" applyBorder="1" applyAlignment="1" applyProtection="1">
      <alignment horizontal="center"/>
    </xf>
    <xf numFmtId="0" fontId="0" fillId="0" borderId="0" xfId="0" applyFill="1" applyBorder="1" applyProtection="1"/>
    <xf numFmtId="0" fontId="0" fillId="0" borderId="0" xfId="0" applyBorder="1" applyProtection="1"/>
    <xf numFmtId="0" fontId="65" fillId="24" borderId="0" xfId="0" applyFont="1" applyFill="1" applyAlignment="1" applyProtection="1">
      <alignment horizontal="center" wrapText="1"/>
    </xf>
    <xf numFmtId="0" fontId="66" fillId="20" borderId="10" xfId="0" applyFont="1" applyFill="1" applyBorder="1" applyAlignment="1" applyProtection="1">
      <alignment horizontal="center" wrapText="1"/>
    </xf>
    <xf numFmtId="0" fontId="66" fillId="20" borderId="0" xfId="0" applyFont="1" applyFill="1" applyBorder="1" applyAlignment="1" applyProtection="1">
      <alignment horizontal="center" wrapText="1"/>
    </xf>
    <xf numFmtId="0" fontId="67" fillId="0" borderId="0" xfId="0" applyFont="1" applyBorder="1" applyAlignment="1" applyProtection="1">
      <alignment wrapText="1"/>
    </xf>
    <xf numFmtId="0" fontId="0" fillId="0" borderId="0" xfId="0" applyFont="1" applyFill="1" applyProtection="1"/>
    <xf numFmtId="0" fontId="68" fillId="0" borderId="0" xfId="0" applyFont="1" applyAlignment="1" applyProtection="1">
      <alignment horizontal="center" vertical="center" wrapText="1"/>
    </xf>
    <xf numFmtId="0" fontId="28" fillId="0" borderId="0" xfId="0" applyFont="1" applyFill="1" applyAlignment="1" applyProtection="1">
      <alignment horizontal="center" vertical="center" wrapText="1"/>
    </xf>
    <xf numFmtId="0" fontId="0" fillId="0" borderId="0" xfId="0" applyAlignment="1" applyProtection="1">
      <alignment wrapText="1"/>
      <protection locked="0"/>
    </xf>
    <xf numFmtId="0" fontId="0" fillId="0" borderId="0" xfId="0"/>
    <xf numFmtId="0" fontId="0" fillId="0" borderId="0" xfId="0" applyProtection="1"/>
    <xf numFmtId="0" fontId="101" fillId="0" borderId="0" xfId="455"/>
    <xf numFmtId="0" fontId="69" fillId="25" borderId="0" xfId="455" applyFont="1" applyFill="1"/>
    <xf numFmtId="0" fontId="101" fillId="25" borderId="0" xfId="455" applyFill="1"/>
    <xf numFmtId="0" fontId="70" fillId="25" borderId="0" xfId="455" applyFont="1" applyFill="1"/>
    <xf numFmtId="0" fontId="70" fillId="0" borderId="0" xfId="455" applyFont="1" applyFill="1"/>
    <xf numFmtId="0" fontId="71" fillId="0" borderId="0" xfId="455" applyFont="1"/>
    <xf numFmtId="0" fontId="71" fillId="0" borderId="0" xfId="455" applyFont="1" applyAlignment="1">
      <alignment vertical="center"/>
    </xf>
    <xf numFmtId="0" fontId="72" fillId="0" borderId="16" xfId="455" applyFont="1" applyBorder="1" applyAlignment="1">
      <alignment horizontal="center"/>
    </xf>
    <xf numFmtId="0" fontId="72" fillId="0" borderId="17" xfId="455" applyFont="1" applyBorder="1" applyAlignment="1">
      <alignment horizontal="center" vertical="center" wrapText="1"/>
    </xf>
    <xf numFmtId="0" fontId="73" fillId="0" borderId="0" xfId="455" applyFont="1"/>
    <xf numFmtId="0" fontId="74" fillId="0" borderId="0" xfId="455" applyFont="1"/>
    <xf numFmtId="167" fontId="29" fillId="25" borderId="0" xfId="386" applyNumberFormat="1" applyFont="1" applyFill="1"/>
    <xf numFmtId="167" fontId="74" fillId="0" borderId="0" xfId="386" applyNumberFormat="1" applyFont="1"/>
    <xf numFmtId="38" fontId="29" fillId="25" borderId="0" xfId="455" applyNumberFormat="1" applyFont="1" applyFill="1"/>
    <xf numFmtId="38" fontId="74" fillId="0" borderId="0" xfId="455" applyNumberFormat="1" applyFont="1"/>
    <xf numFmtId="38" fontId="74" fillId="25" borderId="0" xfId="455" applyNumberFormat="1" applyFont="1" applyFill="1"/>
    <xf numFmtId="38" fontId="74" fillId="25" borderId="16" xfId="329" applyNumberFormat="1" applyFont="1" applyFill="1" applyBorder="1"/>
    <xf numFmtId="38" fontId="74" fillId="0" borderId="0" xfId="329" applyNumberFormat="1" applyFont="1"/>
    <xf numFmtId="0" fontId="75" fillId="0" borderId="0" xfId="455" applyFont="1"/>
    <xf numFmtId="0" fontId="72" fillId="21" borderId="0" xfId="455" applyFont="1" applyFill="1"/>
    <xf numFmtId="0" fontId="101" fillId="21" borderId="0" xfId="455" applyFill="1"/>
    <xf numFmtId="0" fontId="74" fillId="21" borderId="0" xfId="455" applyFont="1" applyFill="1"/>
    <xf numFmtId="167" fontId="72" fillId="21" borderId="0" xfId="386" applyNumberFormat="1" applyFont="1" applyFill="1"/>
    <xf numFmtId="167" fontId="74" fillId="21" borderId="0" xfId="386" applyNumberFormat="1" applyFont="1" applyFill="1"/>
    <xf numFmtId="164" fontId="74" fillId="25" borderId="16" xfId="329" applyNumberFormat="1" applyFont="1" applyFill="1" applyBorder="1"/>
    <xf numFmtId="164" fontId="74" fillId="0" borderId="0" xfId="329" applyNumberFormat="1" applyFont="1"/>
    <xf numFmtId="0" fontId="73" fillId="0" borderId="0" xfId="455" applyFont="1" applyAlignment="1">
      <alignment vertical="center"/>
    </xf>
    <xf numFmtId="0" fontId="76" fillId="0" borderId="0" xfId="455" applyFont="1"/>
    <xf numFmtId="38" fontId="74" fillId="25" borderId="0" xfId="329" applyNumberFormat="1" applyFont="1" applyFill="1"/>
    <xf numFmtId="167" fontId="72" fillId="21" borderId="18" xfId="386" applyNumberFormat="1" applyFont="1" applyFill="1" applyBorder="1"/>
    <xf numFmtId="167" fontId="74" fillId="25" borderId="19" xfId="386" applyNumberFormat="1" applyFont="1" applyFill="1" applyBorder="1"/>
    <xf numFmtId="0" fontId="72" fillId="0" borderId="0" xfId="455" applyFont="1"/>
    <xf numFmtId="167" fontId="72" fillId="0" borderId="20" xfId="386" applyNumberFormat="1" applyFont="1" applyBorder="1"/>
    <xf numFmtId="0" fontId="72" fillId="0" borderId="0" xfId="455" applyFont="1" applyAlignment="1">
      <alignment horizontal="center"/>
    </xf>
    <xf numFmtId="167" fontId="29" fillId="0" borderId="0" xfId="386" applyNumberFormat="1" applyFont="1" applyFill="1"/>
    <xf numFmtId="38" fontId="29" fillId="0" borderId="0" xfId="329" applyNumberFormat="1" applyFont="1" applyFill="1"/>
    <xf numFmtId="38" fontId="29" fillId="0" borderId="16" xfId="329" applyNumberFormat="1" applyFont="1" applyFill="1" applyBorder="1"/>
    <xf numFmtId="167" fontId="74" fillId="0" borderId="19" xfId="386" applyNumberFormat="1" applyFont="1" applyBorder="1"/>
    <xf numFmtId="0" fontId="51" fillId="0" borderId="0" xfId="455" applyFont="1"/>
    <xf numFmtId="10" fontId="72" fillId="0" borderId="19" xfId="455" applyNumberFormat="1" applyFont="1" applyBorder="1"/>
    <xf numFmtId="38" fontId="29" fillId="25" borderId="0" xfId="0" applyNumberFormat="1" applyFont="1" applyFill="1"/>
    <xf numFmtId="38" fontId="29" fillId="25" borderId="16" xfId="0" applyNumberFormat="1" applyFont="1" applyFill="1" applyBorder="1"/>
    <xf numFmtId="0" fontId="77" fillId="20" borderId="0" xfId="0" applyFont="1" applyFill="1" applyBorder="1" applyAlignment="1" applyProtection="1">
      <alignment horizontal="center"/>
    </xf>
    <xf numFmtId="0" fontId="101" fillId="0" borderId="0" xfId="455"/>
    <xf numFmtId="0" fontId="78" fillId="0" borderId="0" xfId="455" applyFont="1" applyFill="1" applyAlignment="1">
      <alignment wrapText="1"/>
    </xf>
    <xf numFmtId="0" fontId="56" fillId="20" borderId="15" xfId="0" applyFont="1" applyFill="1" applyBorder="1" applyAlignment="1" applyProtection="1">
      <alignment horizontal="left" vertical="center"/>
    </xf>
    <xf numFmtId="0" fontId="56" fillId="20" borderId="0" xfId="0" applyFont="1" applyFill="1" applyBorder="1" applyAlignment="1" applyProtection="1">
      <alignment horizontal="left" vertical="center"/>
    </xf>
    <xf numFmtId="0" fontId="79" fillId="0" borderId="0" xfId="0" applyFont="1" applyFill="1" applyAlignment="1" applyProtection="1">
      <alignment horizontal="left" vertical="center" wrapText="1"/>
    </xf>
    <xf numFmtId="0" fontId="7" fillId="26" borderId="0" xfId="0" applyFont="1" applyFill="1" applyAlignment="1" applyProtection="1">
      <alignment horizontal="left" vertical="center"/>
    </xf>
    <xf numFmtId="0" fontId="0" fillId="26" borderId="0" xfId="0" applyNumberFormat="1" applyFill="1" applyAlignment="1" applyProtection="1">
      <alignment wrapText="1"/>
    </xf>
    <xf numFmtId="164" fontId="0" fillId="26" borderId="0" xfId="0" applyNumberFormat="1" applyFill="1" applyAlignment="1" applyProtection="1">
      <alignment vertical="center"/>
    </xf>
    <xf numFmtId="41" fontId="53" fillId="26" borderId="0" xfId="319" applyNumberFormat="1" applyFont="1" applyFill="1" applyAlignment="1" applyProtection="1">
      <alignment wrapText="1"/>
    </xf>
    <xf numFmtId="41" fontId="54" fillId="26" borderId="0" xfId="0" applyNumberFormat="1" applyFont="1" applyFill="1" applyAlignment="1" applyProtection="1">
      <alignment wrapText="1"/>
    </xf>
    <xf numFmtId="0" fontId="57" fillId="26" borderId="0" xfId="0" applyNumberFormat="1" applyFont="1" applyFill="1" applyAlignment="1" applyProtection="1">
      <alignment vertical="center" wrapText="1"/>
    </xf>
    <xf numFmtId="0" fontId="79" fillId="0" borderId="0" xfId="0" applyNumberFormat="1" applyFont="1" applyFill="1" applyAlignment="1" applyProtection="1">
      <alignment vertical="center" wrapText="1"/>
    </xf>
    <xf numFmtId="0" fontId="70" fillId="0" borderId="0" xfId="0" applyFont="1" applyFill="1" applyAlignment="1" applyProtection="1">
      <alignment vertical="center" wrapText="1"/>
    </xf>
    <xf numFmtId="0" fontId="51" fillId="26" borderId="0" xfId="0" applyNumberFormat="1" applyFont="1" applyFill="1" applyAlignment="1" applyProtection="1">
      <alignment vertical="center" wrapText="1"/>
    </xf>
    <xf numFmtId="41" fontId="61" fillId="26" borderId="0" xfId="319" applyNumberFormat="1" applyFont="1" applyFill="1" applyAlignment="1" applyProtection="1">
      <alignment wrapText="1"/>
    </xf>
    <xf numFmtId="0" fontId="37" fillId="0" borderId="0" xfId="0" applyFont="1" applyFill="1" applyAlignment="1" applyProtection="1">
      <alignment horizontal="center" vertical="center" wrapText="1"/>
    </xf>
    <xf numFmtId="0" fontId="5" fillId="0" borderId="0" xfId="0" applyFont="1" applyFill="1" applyAlignment="1" applyProtection="1">
      <alignment vertical="center" wrapText="1"/>
      <protection hidden="1"/>
    </xf>
    <xf numFmtId="0" fontId="80" fillId="0" borderId="0" xfId="0" applyFont="1" applyFill="1" applyAlignment="1" applyProtection="1">
      <alignment vertical="center" wrapText="1"/>
      <protection hidden="1"/>
    </xf>
    <xf numFmtId="0" fontId="58" fillId="26" borderId="0" xfId="0" applyFont="1" applyFill="1" applyAlignment="1" applyProtection="1">
      <alignment vertical="center"/>
    </xf>
    <xf numFmtId="0" fontId="56" fillId="26" borderId="0" xfId="0" applyFont="1" applyFill="1" applyAlignment="1" applyProtection="1">
      <alignment vertical="center"/>
    </xf>
    <xf numFmtId="0" fontId="52" fillId="26" borderId="0" xfId="0" applyFont="1" applyFill="1" applyAlignment="1" applyProtection="1"/>
    <xf numFmtId="0" fontId="0" fillId="0" borderId="0" xfId="0" applyNumberFormat="1" applyFont="1" applyFill="1" applyAlignment="1" applyProtection="1">
      <alignment horizontal="left" vertical="center" wrapText="1"/>
    </xf>
    <xf numFmtId="164" fontId="46" fillId="26" borderId="0" xfId="319" applyNumberFormat="1" applyFont="1" applyFill="1" applyAlignment="1" applyProtection="1">
      <alignment vertical="center"/>
    </xf>
    <xf numFmtId="0" fontId="81" fillId="0" borderId="0" xfId="0" applyFont="1" applyAlignment="1" applyProtection="1">
      <alignment horizontal="center" vertical="center" wrapText="1"/>
    </xf>
    <xf numFmtId="164" fontId="46" fillId="26" borderId="0" xfId="319" applyNumberFormat="1" applyFont="1" applyFill="1" applyProtection="1"/>
    <xf numFmtId="0" fontId="0" fillId="0" borderId="0" xfId="0" applyFill="1" applyAlignment="1" applyProtection="1">
      <alignment wrapText="1"/>
      <protection locked="0"/>
    </xf>
    <xf numFmtId="0" fontId="68" fillId="0" borderId="0" xfId="0" applyFont="1" applyFill="1" applyAlignment="1" applyProtection="1">
      <alignment horizontal="center" vertical="center" wrapText="1"/>
    </xf>
    <xf numFmtId="0" fontId="82" fillId="0" borderId="0" xfId="0" applyNumberFormat="1" applyFont="1" applyFill="1" applyAlignment="1" applyProtection="1">
      <alignment vertical="center" wrapText="1"/>
    </xf>
    <xf numFmtId="0" fontId="0" fillId="26" borderId="0" xfId="0" applyNumberFormat="1" applyFill="1" applyAlignment="1" applyProtection="1">
      <alignment vertical="center" wrapText="1"/>
    </xf>
    <xf numFmtId="0" fontId="52" fillId="26" borderId="0" xfId="0" applyFont="1" applyFill="1" applyAlignment="1" applyProtection="1">
      <alignment vertical="center"/>
    </xf>
    <xf numFmtId="0" fontId="83" fillId="0" borderId="0" xfId="0" applyFont="1" applyAlignment="1" applyProtection="1">
      <alignment horizontal="center" vertical="center" wrapText="1"/>
    </xf>
    <xf numFmtId="0" fontId="56" fillId="26" borderId="0" xfId="0" applyFont="1" applyFill="1" applyAlignment="1" applyProtection="1">
      <alignment horizontal="left" vertical="center"/>
    </xf>
    <xf numFmtId="0" fontId="58" fillId="26" borderId="0" xfId="0" applyFont="1" applyFill="1" applyAlignment="1" applyProtection="1">
      <alignment horizontal="left" vertical="center"/>
    </xf>
    <xf numFmtId="0" fontId="0" fillId="0" borderId="0" xfId="0" applyNumberFormat="1" applyFill="1" applyAlignment="1" applyProtection="1">
      <alignment vertical="center" wrapText="1"/>
    </xf>
    <xf numFmtId="0" fontId="70" fillId="0" borderId="0" xfId="0" applyNumberFormat="1" applyFont="1" applyFill="1" applyAlignment="1" applyProtection="1">
      <alignment horizontal="left" vertical="center" wrapText="1"/>
    </xf>
    <xf numFmtId="0" fontId="70" fillId="0" borderId="0" xfId="0" applyNumberFormat="1" applyFont="1" applyFill="1" applyAlignment="1" applyProtection="1">
      <alignment vertical="center" wrapText="1"/>
    </xf>
    <xf numFmtId="0" fontId="83" fillId="0" borderId="0" xfId="0" applyFont="1" applyFill="1" applyAlignment="1" applyProtection="1">
      <alignment horizontal="center" vertical="center" wrapText="1"/>
    </xf>
    <xf numFmtId="0" fontId="57" fillId="20" borderId="15" xfId="0" applyNumberFormat="1" applyFont="1" applyFill="1" applyBorder="1" applyAlignment="1" applyProtection="1">
      <alignment horizontal="center"/>
    </xf>
    <xf numFmtId="38" fontId="0" fillId="0" borderId="0" xfId="0" applyNumberFormat="1" applyProtection="1"/>
    <xf numFmtId="0" fontId="0" fillId="0" borderId="0" xfId="0" applyNumberFormat="1" applyFont="1" applyFill="1" applyAlignment="1" applyProtection="1">
      <alignment horizontal="center" vertical="center"/>
    </xf>
    <xf numFmtId="0" fontId="0" fillId="0" borderId="0" xfId="0" applyNumberFormat="1" applyFont="1" applyAlignment="1" applyProtection="1">
      <alignment horizontal="center" vertical="center"/>
    </xf>
    <xf numFmtId="0" fontId="84" fillId="0" borderId="0" xfId="319" applyNumberFormat="1" applyFont="1" applyFill="1" applyAlignment="1" applyProtection="1">
      <alignment horizontal="center" vertical="center" wrapText="1"/>
    </xf>
    <xf numFmtId="164" fontId="0" fillId="0" borderId="0" xfId="0" applyNumberFormat="1" applyFill="1" applyAlignment="1" applyProtection="1">
      <alignment wrapText="1"/>
      <protection locked="0"/>
    </xf>
    <xf numFmtId="41" fontId="53" fillId="0" borderId="0" xfId="319" applyNumberFormat="1" applyFont="1" applyFill="1" applyAlignment="1" applyProtection="1">
      <alignment vertical="center" wrapText="1"/>
    </xf>
    <xf numFmtId="0" fontId="0" fillId="0" borderId="21" xfId="0" applyFont="1" applyFill="1" applyBorder="1" applyAlignment="1" applyProtection="1">
      <alignment vertical="center" wrapText="1"/>
    </xf>
    <xf numFmtId="0" fontId="51" fillId="0" borderId="22" xfId="0" applyNumberFormat="1" applyFont="1" applyFill="1" applyBorder="1" applyAlignment="1" applyProtection="1">
      <alignment horizontal="center" vertical="center"/>
    </xf>
    <xf numFmtId="0" fontId="51" fillId="0" borderId="23" xfId="0" applyNumberFormat="1" applyFont="1" applyFill="1" applyBorder="1" applyAlignment="1" applyProtection="1">
      <alignment horizontal="center" vertical="center"/>
    </xf>
    <xf numFmtId="0" fontId="86" fillId="23" borderId="24" xfId="0" applyFont="1" applyFill="1" applyBorder="1" applyAlignment="1" applyProtection="1">
      <alignment horizontal="center" vertical="center" wrapText="1"/>
    </xf>
    <xf numFmtId="164" fontId="85" fillId="0" borderId="27" xfId="319" applyNumberFormat="1" applyFont="1" applyFill="1" applyBorder="1" applyAlignment="1" applyProtection="1">
      <alignment horizontal="center" vertical="center" wrapText="1"/>
    </xf>
    <xf numFmtId="3" fontId="5" fillId="0" borderId="21" xfId="821" applyFont="1" applyFill="1" applyBorder="1" applyAlignment="1" applyProtection="1">
      <alignment vertical="center" wrapText="1"/>
    </xf>
    <xf numFmtId="0" fontId="85" fillId="0" borderId="21" xfId="319" applyNumberFormat="1" applyFont="1" applyFill="1" applyBorder="1" applyAlignment="1" applyProtection="1">
      <alignment horizontal="center" vertical="center" wrapText="1"/>
    </xf>
    <xf numFmtId="164" fontId="85" fillId="0" borderId="21" xfId="319" applyNumberFormat="1" applyFont="1" applyFill="1" applyBorder="1" applyAlignment="1" applyProtection="1">
      <alignment horizontal="center" vertical="center" wrapText="1"/>
    </xf>
    <xf numFmtId="0" fontId="0" fillId="0" borderId="29" xfId="0" applyNumberFormat="1" applyFill="1" applyBorder="1" applyAlignment="1" applyProtection="1">
      <alignment horizontal="left" vertical="center" wrapText="1"/>
    </xf>
    <xf numFmtId="0" fontId="66" fillId="20" borderId="10" xfId="0" applyFont="1" applyFill="1" applyBorder="1" applyAlignment="1" applyProtection="1">
      <alignment horizontal="center" vertical="center" wrapText="1"/>
    </xf>
    <xf numFmtId="0" fontId="0" fillId="0" borderId="23" xfId="0" applyNumberFormat="1" applyFill="1" applyBorder="1" applyAlignment="1" applyProtection="1">
      <alignment horizontal="left" vertical="center" wrapText="1"/>
    </xf>
    <xf numFmtId="0" fontId="65" fillId="24" borderId="0" xfId="0" applyFont="1" applyFill="1" applyAlignment="1" applyProtection="1">
      <alignment horizontal="center" vertical="center"/>
    </xf>
    <xf numFmtId="0" fontId="0" fillId="0" borderId="21" xfId="0" applyNumberFormat="1" applyFill="1" applyBorder="1" applyAlignment="1" applyProtection="1">
      <alignment horizontal="left" vertical="center" wrapText="1"/>
    </xf>
    <xf numFmtId="0" fontId="0" fillId="0" borderId="0" xfId="0" applyProtection="1"/>
    <xf numFmtId="0" fontId="0" fillId="0" borderId="22" xfId="0" applyNumberForma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horizontal="center" vertical="center"/>
    </xf>
    <xf numFmtId="0" fontId="52" fillId="20" borderId="0" xfId="0" applyFont="1" applyFill="1" applyBorder="1" applyAlignment="1" applyProtection="1">
      <alignment horizontal="center" vertical="center" wrapText="1"/>
    </xf>
    <xf numFmtId="0" fontId="0" fillId="0" borderId="0" xfId="0" applyNumberFormat="1" applyFill="1" applyAlignment="1" applyProtection="1">
      <alignment horizontal="left" vertical="center" wrapText="1"/>
    </xf>
    <xf numFmtId="0" fontId="85" fillId="0" borderId="0" xfId="0" applyFont="1" applyProtection="1"/>
    <xf numFmtId="0" fontId="87" fillId="20" borderId="10" xfId="0" applyFont="1" applyFill="1" applyBorder="1" applyAlignment="1" applyProtection="1">
      <alignment horizontal="center" vertical="center" wrapText="1"/>
    </xf>
    <xf numFmtId="0" fontId="87" fillId="20" borderId="0" xfId="0" applyFont="1" applyFill="1" applyBorder="1" applyAlignment="1" applyProtection="1">
      <alignment horizontal="center" vertical="center" wrapText="1"/>
    </xf>
    <xf numFmtId="0" fontId="85" fillId="0" borderId="21" xfId="0" applyNumberFormat="1" applyFont="1" applyFill="1" applyBorder="1" applyAlignment="1" applyProtection="1">
      <alignment horizontal="left" vertical="center" wrapText="1"/>
    </xf>
    <xf numFmtId="0" fontId="87" fillId="0" borderId="0" xfId="0" applyFont="1" applyAlignment="1" applyProtection="1">
      <alignment horizontal="center" vertical="center"/>
    </xf>
    <xf numFmtId="0" fontId="85" fillId="0" borderId="29" xfId="0" applyNumberFormat="1" applyFont="1" applyFill="1" applyBorder="1" applyAlignment="1" applyProtection="1">
      <alignment horizontal="left" vertical="center" wrapText="1"/>
    </xf>
    <xf numFmtId="49" fontId="51" fillId="0" borderId="0" xfId="0" applyNumberFormat="1" applyFont="1" applyFill="1" applyAlignment="1" applyProtection="1">
      <alignment horizontal="center" vertical="center"/>
    </xf>
    <xf numFmtId="0" fontId="0" fillId="0" borderId="0" xfId="0" applyFont="1" applyFill="1" applyAlignment="1" applyProtection="1">
      <alignment vertical="center" wrapText="1"/>
    </xf>
    <xf numFmtId="0" fontId="0" fillId="0" borderId="21" xfId="0" applyNumberFormat="1" applyFill="1" applyBorder="1" applyAlignment="1" applyProtection="1">
      <alignment horizontal="left" vertical="center" wrapText="1"/>
    </xf>
    <xf numFmtId="164" fontId="88" fillId="27" borderId="15" xfId="319" applyNumberFormat="1" applyFont="1" applyFill="1" applyBorder="1" applyAlignment="1" applyProtection="1">
      <alignment horizontal="center" wrapText="1"/>
      <protection locked="0"/>
    </xf>
    <xf numFmtId="43" fontId="85" fillId="0" borderId="21" xfId="319" applyFont="1" applyFill="1" applyBorder="1" applyAlignment="1" applyProtection="1">
      <alignment horizontal="center" vertical="center" wrapText="1"/>
    </xf>
    <xf numFmtId="0" fontId="66" fillId="20" borderId="30" xfId="0" applyFont="1" applyFill="1" applyBorder="1" applyAlignment="1" applyProtection="1">
      <alignment horizontal="center" wrapText="1"/>
    </xf>
    <xf numFmtId="0" fontId="52" fillId="0" borderId="0" xfId="0" applyFont="1" applyFill="1" applyBorder="1" applyAlignment="1" applyProtection="1">
      <alignment horizontal="center"/>
    </xf>
    <xf numFmtId="0" fontId="0" fillId="0" borderId="31" xfId="0" applyNumberFormat="1" applyFill="1" applyBorder="1" applyAlignment="1" applyProtection="1">
      <alignment horizontal="left" vertical="center" wrapText="1"/>
    </xf>
    <xf numFmtId="0" fontId="0" fillId="0" borderId="21" xfId="0" applyFill="1" applyBorder="1" applyAlignment="1">
      <alignment vertical="center" wrapText="1"/>
    </xf>
    <xf numFmtId="164" fontId="65" fillId="24" borderId="0" xfId="319" applyNumberFormat="1" applyFont="1" applyFill="1" applyAlignment="1" applyProtection="1">
      <alignment horizontal="center"/>
    </xf>
    <xf numFmtId="0" fontId="90" fillId="0" borderId="0" xfId="0" applyFont="1" applyAlignment="1" applyProtection="1">
      <alignment horizontal="center" vertical="center" wrapText="1"/>
    </xf>
    <xf numFmtId="164" fontId="46" fillId="0" borderId="0" xfId="319" applyNumberFormat="1" applyFont="1" applyAlignment="1" applyProtection="1">
      <alignment vertical="center"/>
    </xf>
    <xf numFmtId="164" fontId="86" fillId="23" borderId="10" xfId="319" applyNumberFormat="1" applyFont="1" applyFill="1" applyBorder="1" applyAlignment="1" applyProtection="1">
      <alignment horizontal="center" wrapText="1"/>
    </xf>
    <xf numFmtId="164" fontId="46" fillId="0" borderId="0" xfId="319" applyNumberFormat="1" applyFont="1" applyProtection="1"/>
    <xf numFmtId="39" fontId="0" fillId="0" borderId="0" xfId="0" applyNumberFormat="1" applyProtection="1"/>
    <xf numFmtId="39" fontId="51" fillId="0" borderId="0" xfId="0" applyNumberFormat="1" applyFont="1" applyAlignment="1" applyProtection="1">
      <alignment horizontal="center"/>
    </xf>
    <xf numFmtId="39" fontId="52" fillId="20" borderId="0" xfId="0" applyNumberFormat="1" applyFont="1" applyFill="1" applyBorder="1" applyAlignment="1" applyProtection="1">
      <alignment horizontal="center" wrapText="1"/>
    </xf>
    <xf numFmtId="39" fontId="85" fillId="0" borderId="27" xfId="319" applyNumberFormat="1" applyFont="1" applyFill="1" applyBorder="1" applyAlignment="1" applyProtection="1">
      <alignment horizontal="center" vertical="center" wrapText="1"/>
    </xf>
    <xf numFmtId="39" fontId="85" fillId="0" borderId="26" xfId="319" applyNumberFormat="1" applyFont="1" applyFill="1" applyBorder="1" applyAlignment="1" applyProtection="1">
      <alignment horizontal="center" vertical="center" wrapText="1"/>
    </xf>
    <xf numFmtId="39" fontId="0" fillId="0" borderId="0" xfId="0" applyNumberFormat="1" applyAlignment="1" applyProtection="1">
      <alignment vertical="center"/>
    </xf>
    <xf numFmtId="39" fontId="0" fillId="0" borderId="0" xfId="0" applyNumberFormat="1" applyFill="1" applyBorder="1" applyAlignment="1" applyProtection="1">
      <alignment horizontal="left" vertical="center" wrapText="1"/>
    </xf>
    <xf numFmtId="0" fontId="51" fillId="0" borderId="0" xfId="0" applyFont="1" applyAlignment="1" applyProtection="1">
      <alignment horizontal="left" vertical="center" wrapText="1"/>
    </xf>
    <xf numFmtId="39" fontId="91" fillId="0" borderId="26" xfId="319" applyNumberFormat="1" applyFont="1" applyFill="1" applyBorder="1" applyAlignment="1" applyProtection="1">
      <alignment horizontal="center" vertical="center" wrapText="1"/>
    </xf>
    <xf numFmtId="0" fontId="52" fillId="0" borderId="0" xfId="0" applyFont="1" applyFill="1" applyAlignment="1" applyProtection="1">
      <alignment vertical="center" wrapText="1"/>
    </xf>
    <xf numFmtId="0" fontId="92" fillId="0" borderId="0" xfId="0" applyFont="1" applyProtection="1"/>
    <xf numFmtId="41" fontId="93" fillId="0" borderId="0" xfId="0" applyNumberFormat="1" applyFont="1" applyFill="1" applyAlignment="1" applyProtection="1">
      <alignment wrapText="1"/>
    </xf>
    <xf numFmtId="38" fontId="0" fillId="0" borderId="0" xfId="0" applyNumberFormat="1" applyFill="1" applyAlignment="1" applyProtection="1">
      <alignment wrapText="1"/>
      <protection locked="0"/>
    </xf>
    <xf numFmtId="39" fontId="66" fillId="28" borderId="0" xfId="0" applyNumberFormat="1" applyFont="1" applyFill="1" applyBorder="1" applyAlignment="1" applyProtection="1">
      <alignment horizontal="center" wrapText="1"/>
    </xf>
    <xf numFmtId="0" fontId="86" fillId="0" borderId="0" xfId="0" applyFont="1" applyAlignment="1" applyProtection="1">
      <alignment horizontal="center" vertical="center" wrapText="1"/>
    </xf>
    <xf numFmtId="0" fontId="51" fillId="29" borderId="22" xfId="0" applyNumberFormat="1" applyFont="1" applyFill="1" applyBorder="1" applyAlignment="1" applyProtection="1">
      <alignment horizontal="center" vertical="center"/>
    </xf>
    <xf numFmtId="0" fontId="0" fillId="29" borderId="21" xfId="0" applyFont="1" applyFill="1" applyBorder="1" applyAlignment="1" applyProtection="1">
      <alignment vertical="center" wrapText="1"/>
    </xf>
    <xf numFmtId="0" fontId="90" fillId="29" borderId="0" xfId="0" applyFont="1" applyFill="1" applyAlignment="1" applyProtection="1">
      <alignment horizontal="center" vertical="center" wrapText="1"/>
    </xf>
    <xf numFmtId="0" fontId="34" fillId="26" borderId="0" xfId="0" applyFont="1" applyFill="1" applyAlignment="1" applyProtection="1">
      <alignment vertical="center"/>
    </xf>
    <xf numFmtId="0" fontId="0" fillId="0" borderId="0" xfId="0" applyNumberFormat="1" applyFont="1" applyFill="1" applyAlignment="1" applyProtection="1">
      <alignment horizontal="left" vertical="center" wrapText="1"/>
    </xf>
    <xf numFmtId="0" fontId="0" fillId="0" borderId="0" xfId="0" applyNumberFormat="1" applyFont="1" applyFill="1" applyAlignment="1" applyProtection="1">
      <alignment horizontal="center" vertical="center"/>
    </xf>
    <xf numFmtId="0" fontId="0" fillId="0" borderId="0" xfId="0" applyFont="1" applyFill="1" applyAlignment="1" applyProtection="1">
      <alignment vertical="center" wrapText="1"/>
      <protection locked="0"/>
    </xf>
    <xf numFmtId="0" fontId="87" fillId="0" borderId="0" xfId="0" applyFont="1" applyFill="1" applyAlignment="1" applyProtection="1">
      <alignment horizontal="center" vertical="center" wrapText="1"/>
    </xf>
    <xf numFmtId="0" fontId="0" fillId="0" borderId="0" xfId="0" applyNumberFormat="1" applyFont="1" applyFill="1" applyAlignment="1" applyProtection="1">
      <alignment horizontal="center" vertical="center"/>
    </xf>
    <xf numFmtId="0" fontId="0" fillId="0" borderId="0" xfId="0" applyNumberFormat="1" applyFont="1" applyAlignment="1" applyProtection="1">
      <alignment horizontal="center" vertical="center"/>
    </xf>
    <xf numFmtId="0" fontId="0" fillId="0" borderId="0" xfId="0" applyFont="1" applyFill="1" applyAlignment="1" applyProtection="1">
      <alignment vertical="center" wrapText="1"/>
      <protection locked="0"/>
    </xf>
    <xf numFmtId="0" fontId="0" fillId="0" borderId="0" xfId="0" applyFont="1" applyFill="1" applyAlignment="1" applyProtection="1">
      <alignment vertical="center" wrapText="1"/>
    </xf>
    <xf numFmtId="0" fontId="4" fillId="0" borderId="0" xfId="0" applyNumberFormat="1" applyFont="1" applyFill="1" applyAlignment="1" applyProtection="1">
      <alignment horizontal="left" vertical="center" wrapText="1"/>
    </xf>
    <xf numFmtId="0" fontId="0" fillId="0" borderId="21" xfId="0" applyNumberFormat="1" applyFill="1" applyBorder="1" applyAlignment="1" applyProtection="1">
      <alignment horizontal="left" vertical="center" wrapText="1"/>
    </xf>
    <xf numFmtId="0" fontId="94" fillId="0" borderId="0" xfId="0" applyFont="1" applyFill="1" applyAlignment="1" applyProtection="1">
      <alignment horizontal="right"/>
    </xf>
    <xf numFmtId="38" fontId="80" fillId="0" borderId="0" xfId="319" applyNumberFormat="1" applyFont="1" applyFill="1" applyAlignment="1" applyProtection="1">
      <alignment horizontal="center" vertical="center" wrapText="1"/>
    </xf>
    <xf numFmtId="40" fontId="0" fillId="0" borderId="0" xfId="0" applyNumberFormat="1" applyFill="1" applyBorder="1" applyProtection="1"/>
    <xf numFmtId="40" fontId="47" fillId="0" borderId="0" xfId="0" applyNumberFormat="1" applyFont="1" applyFill="1" applyBorder="1" applyProtection="1"/>
    <xf numFmtId="166" fontId="0" fillId="0" borderId="0" xfId="0" applyNumberFormat="1" applyFill="1" applyBorder="1" applyProtection="1"/>
    <xf numFmtId="166" fontId="57" fillId="20" borderId="15" xfId="0" applyNumberFormat="1" applyFont="1" applyFill="1" applyBorder="1" applyProtection="1"/>
    <xf numFmtId="0" fontId="77" fillId="20" borderId="10" xfId="0" applyFont="1" applyFill="1" applyBorder="1" applyAlignment="1" applyProtection="1">
      <alignment horizontal="center" wrapText="1"/>
    </xf>
    <xf numFmtId="0" fontId="0" fillId="26" borderId="0" xfId="0" applyFill="1" applyAlignment="1" applyProtection="1">
      <alignment vertical="center"/>
    </xf>
    <xf numFmtId="164" fontId="80" fillId="22" borderId="0" xfId="319" applyNumberFormat="1" applyFont="1" applyFill="1" applyProtection="1"/>
    <xf numFmtId="0" fontId="0" fillId="0" borderId="0" xfId="0"/>
    <xf numFmtId="0" fontId="0" fillId="0" borderId="0" xfId="0" applyProtection="1"/>
    <xf numFmtId="0" fontId="0" fillId="0" borderId="0" xfId="0" applyFill="1" applyProtection="1">
      <protection locked="0"/>
    </xf>
    <xf numFmtId="0" fontId="53" fillId="0" borderId="0" xfId="0" applyFont="1" applyFill="1" applyAlignment="1" applyProtection="1">
      <alignment wrapText="1"/>
      <protection locked="0"/>
    </xf>
    <xf numFmtId="0" fontId="95" fillId="0" borderId="0" xfId="0" applyFont="1" applyFill="1" applyAlignment="1" applyProtection="1">
      <alignment wrapText="1"/>
      <protection locked="0"/>
    </xf>
    <xf numFmtId="0" fontId="96" fillId="0" borderId="0" xfId="0" applyFont="1" applyAlignment="1" applyProtection="1">
      <alignment wrapText="1"/>
      <protection locked="0"/>
    </xf>
    <xf numFmtId="0" fontId="0" fillId="0" borderId="0" xfId="0"/>
    <xf numFmtId="0" fontId="49" fillId="0" borderId="21" xfId="0" applyNumberFormat="1" applyFont="1" applyFill="1" applyBorder="1" applyAlignment="1" applyProtection="1">
      <alignment horizontal="left" vertical="center" wrapText="1"/>
    </xf>
    <xf numFmtId="0" fontId="0" fillId="0" borderId="21" xfId="0" applyFont="1" applyFill="1" applyBorder="1" applyAlignment="1" applyProtection="1">
      <alignment vertical="center" wrapText="1"/>
    </xf>
    <xf numFmtId="164" fontId="97" fillId="22" borderId="0" xfId="319" applyNumberFormat="1" applyFont="1" applyFill="1" applyAlignment="1" applyProtection="1">
      <alignment horizontal="center" vertical="center" wrapText="1"/>
    </xf>
    <xf numFmtId="41" fontId="61" fillId="27" borderId="0" xfId="319" applyNumberFormat="1" applyFont="1" applyFill="1" applyAlignment="1" applyProtection="1">
      <alignment horizontal="center" vertical="center" wrapText="1"/>
      <protection locked="0"/>
    </xf>
    <xf numFmtId="0" fontId="80" fillId="0" borderId="0" xfId="0" applyNumberFormat="1" applyFont="1" applyFill="1" applyAlignment="1" applyProtection="1">
      <alignment vertical="center" wrapText="1"/>
    </xf>
    <xf numFmtId="0" fontId="89" fillId="0" borderId="26" xfId="319" applyNumberFormat="1" applyFont="1" applyBorder="1" applyAlignment="1" applyProtection="1">
      <alignment vertical="center"/>
    </xf>
    <xf numFmtId="164" fontId="98" fillId="0" borderId="21" xfId="319" applyNumberFormat="1" applyFont="1" applyFill="1" applyBorder="1" applyAlignment="1" applyProtection="1">
      <alignment horizontal="center" vertical="center" wrapText="1"/>
    </xf>
    <xf numFmtId="37" fontId="91" fillId="0" borderId="26" xfId="319" applyNumberFormat="1" applyFont="1" applyFill="1" applyBorder="1" applyAlignment="1" applyProtection="1">
      <alignment horizontal="center" vertical="center" wrapText="1"/>
    </xf>
    <xf numFmtId="37" fontId="51" fillId="0" borderId="26" xfId="319" applyNumberFormat="1" applyFont="1" applyFill="1" applyBorder="1" applyAlignment="1" applyProtection="1">
      <alignment horizontal="center" vertical="center" wrapText="1"/>
    </xf>
    <xf numFmtId="0" fontId="0" fillId="0" borderId="0" xfId="0" applyProtection="1"/>
    <xf numFmtId="0" fontId="0" fillId="0" borderId="0" xfId="0" applyNumberFormat="1" applyFont="1" applyFill="1" applyAlignment="1" applyProtection="1">
      <alignment horizontal="left" vertical="center" wrapText="1"/>
    </xf>
    <xf numFmtId="0" fontId="51" fillId="0" borderId="21" xfId="0" applyNumberFormat="1" applyFont="1" applyBorder="1" applyAlignment="1" applyProtection="1">
      <alignment horizontal="center" vertical="center"/>
    </xf>
    <xf numFmtId="0" fontId="0" fillId="0" borderId="0" xfId="0" applyFont="1" applyFill="1" applyBorder="1" applyAlignment="1" applyProtection="1">
      <alignment vertical="center" wrapText="1"/>
    </xf>
    <xf numFmtId="0" fontId="0" fillId="0" borderId="0" xfId="0" applyNumberFormat="1" applyFill="1" applyAlignment="1" applyProtection="1">
      <alignment vertical="center" wrapText="1"/>
    </xf>
    <xf numFmtId="0" fontId="83" fillId="0" borderId="0" xfId="0" applyFont="1" applyFill="1" applyAlignment="1" applyProtection="1">
      <alignment horizontal="center" vertical="center"/>
    </xf>
    <xf numFmtId="0" fontId="0" fillId="0" borderId="0" xfId="0" applyNumberFormat="1" applyFont="1" applyFill="1" applyAlignment="1" applyProtection="1">
      <alignment vertical="center" wrapText="1"/>
    </xf>
    <xf numFmtId="37" fontId="46" fillId="0" borderId="0" xfId="319" applyNumberFormat="1" applyFont="1" applyAlignment="1" applyProtection="1">
      <alignment vertical="center"/>
    </xf>
    <xf numFmtId="0" fontId="67" fillId="0" borderId="21" xfId="0" applyNumberFormat="1" applyFont="1" applyFill="1" applyBorder="1" applyAlignment="1" applyProtection="1">
      <alignment horizontal="left" vertical="center" wrapText="1"/>
    </xf>
    <xf numFmtId="0" fontId="0" fillId="0" borderId="0" xfId="0" applyProtection="1"/>
    <xf numFmtId="0" fontId="0" fillId="0" borderId="0" xfId="0" applyFill="1" applyProtection="1"/>
    <xf numFmtId="0" fontId="0" fillId="0" borderId="0" xfId="0" applyFill="1" applyBorder="1" applyProtection="1"/>
    <xf numFmtId="165" fontId="0" fillId="0" borderId="0" xfId="0" applyNumberFormat="1" applyFill="1" applyAlignment="1" applyProtection="1">
      <alignment wrapText="1"/>
      <protection locked="0"/>
    </xf>
    <xf numFmtId="0" fontId="0" fillId="0" borderId="0" xfId="0" applyProtection="1"/>
    <xf numFmtId="0" fontId="0" fillId="0" borderId="21" xfId="0" applyNumberFormat="1" applyFill="1" applyBorder="1" applyAlignment="1" applyProtection="1">
      <alignment horizontal="left" vertical="center" wrapText="1"/>
    </xf>
    <xf numFmtId="0" fontId="0" fillId="0" borderId="22" xfId="0" applyNumberFormat="1" applyFill="1" applyBorder="1" applyAlignment="1" applyProtection="1">
      <alignment horizontal="left" vertical="center" wrapText="1"/>
    </xf>
    <xf numFmtId="0" fontId="0" fillId="0" borderId="0" xfId="0" applyProtection="1"/>
    <xf numFmtId="0" fontId="0" fillId="0" borderId="0" xfId="0" applyProtection="1"/>
    <xf numFmtId="0" fontId="0" fillId="0" borderId="28" xfId="0" applyFont="1" applyFill="1" applyBorder="1" applyAlignment="1" applyProtection="1">
      <alignment vertical="center" wrapText="1"/>
    </xf>
    <xf numFmtId="0" fontId="0" fillId="0" borderId="29" xfId="0" applyFont="1" applyFill="1" applyBorder="1" applyAlignment="1" applyProtection="1">
      <alignment vertical="center" wrapText="1"/>
    </xf>
    <xf numFmtId="0" fontId="0" fillId="0" borderId="0" xfId="0"/>
    <xf numFmtId="0" fontId="0" fillId="0" borderId="0" xfId="0"/>
    <xf numFmtId="0" fontId="0" fillId="0" borderId="0" xfId="0"/>
    <xf numFmtId="0" fontId="0" fillId="0" borderId="0" xfId="0" applyAlignment="1">
      <alignment wrapText="1"/>
    </xf>
    <xf numFmtId="0" fontId="0" fillId="31" borderId="21" xfId="0" applyNumberFormat="1" applyFill="1" applyBorder="1" applyAlignment="1" applyProtection="1">
      <alignment horizontal="left" vertical="center" wrapText="1"/>
    </xf>
    <xf numFmtId="0" fontId="85" fillId="31" borderId="21" xfId="0" applyNumberFormat="1" applyFont="1" applyFill="1" applyBorder="1" applyAlignment="1" applyProtection="1">
      <alignment horizontal="left" vertical="center" wrapText="1"/>
    </xf>
    <xf numFmtId="0" fontId="0" fillId="31" borderId="22" xfId="0" applyNumberFormat="1" applyFill="1" applyBorder="1" applyAlignment="1" applyProtection="1">
      <alignment horizontal="left" vertical="center" wrapText="1"/>
    </xf>
    <xf numFmtId="41" fontId="54" fillId="32" borderId="0" xfId="0" applyNumberFormat="1" applyFont="1" applyFill="1" applyAlignment="1" applyProtection="1">
      <alignment wrapText="1"/>
    </xf>
    <xf numFmtId="164" fontId="51" fillId="32" borderId="0" xfId="319" applyNumberFormat="1" applyFont="1" applyFill="1" applyAlignment="1" applyProtection="1">
      <alignment horizontal="center" vertical="center"/>
      <protection locked="0"/>
    </xf>
    <xf numFmtId="38" fontId="80" fillId="32" borderId="0" xfId="319" applyNumberFormat="1" applyFont="1" applyFill="1" applyAlignment="1" applyProtection="1">
      <alignment horizontal="center" vertical="center" wrapText="1"/>
    </xf>
    <xf numFmtId="0" fontId="0" fillId="32" borderId="0" xfId="0" applyNumberFormat="1" applyFill="1" applyAlignment="1" applyProtection="1">
      <alignment vertical="center" wrapText="1"/>
    </xf>
    <xf numFmtId="0" fontId="83" fillId="32" borderId="0" xfId="0" applyFont="1" applyFill="1" applyAlignment="1" applyProtection="1">
      <alignment horizontal="center" vertical="center" wrapText="1"/>
    </xf>
    <xf numFmtId="0" fontId="108" fillId="32" borderId="0" xfId="0" applyFont="1" applyFill="1" applyAlignment="1" applyProtection="1">
      <alignment horizontal="left" vertical="center"/>
    </xf>
    <xf numFmtId="0" fontId="0" fillId="0" borderId="0" xfId="0" applyFill="1" applyProtection="1"/>
    <xf numFmtId="0" fontId="0" fillId="0" borderId="0" xfId="0" applyFill="1" applyAlignment="1" applyProtection="1">
      <alignment horizontal="center" vertical="center"/>
    </xf>
    <xf numFmtId="43" fontId="107" fillId="0" borderId="0" xfId="319" applyFont="1" applyFill="1" applyAlignment="1" applyProtection="1">
      <alignment wrapText="1"/>
      <protection locked="0"/>
    </xf>
    <xf numFmtId="3" fontId="0" fillId="0" borderId="0" xfId="0" applyNumberFormat="1"/>
    <xf numFmtId="4" fontId="0" fillId="0" borderId="0" xfId="0" applyNumberFormat="1"/>
    <xf numFmtId="0" fontId="34" fillId="26" borderId="0" xfId="0" applyFont="1" applyFill="1" applyAlignment="1" applyProtection="1">
      <alignment horizontal="left" vertical="center"/>
    </xf>
    <xf numFmtId="0" fontId="109" fillId="0" borderId="0" xfId="0" applyFont="1" applyFill="1" applyAlignment="1" applyProtection="1">
      <alignment horizontal="center" vertical="center" wrapText="1"/>
    </xf>
    <xf numFmtId="0" fontId="110" fillId="0" borderId="0" xfId="0" applyFont="1" applyFill="1" applyAlignment="1" applyProtection="1">
      <alignment horizontal="center" vertical="center" wrapText="1"/>
    </xf>
    <xf numFmtId="41" fontId="111" fillId="0" borderId="0" xfId="323" applyNumberFormat="1" applyFont="1" applyFill="1" applyAlignment="1" applyProtection="1">
      <alignment vertical="center" wrapText="1"/>
    </xf>
    <xf numFmtId="38" fontId="0" fillId="0" borderId="0" xfId="0" applyNumberFormat="1" applyFill="1" applyProtection="1"/>
    <xf numFmtId="0" fontId="0" fillId="0" borderId="21" xfId="0" applyNumberFormat="1" applyFont="1" applyFill="1" applyBorder="1" applyAlignment="1" applyProtection="1">
      <alignment horizontal="left" vertical="center" wrapText="1"/>
    </xf>
    <xf numFmtId="164" fontId="1" fillId="0" borderId="29" xfId="319" applyNumberFormat="1" applyFont="1" applyFill="1" applyBorder="1" applyAlignment="1" applyProtection="1">
      <alignment horizontal="center" vertical="center" wrapText="1"/>
    </xf>
    <xf numFmtId="164" fontId="1" fillId="0" borderId="21" xfId="319" applyNumberFormat="1" applyFont="1" applyFill="1" applyBorder="1" applyAlignment="1" applyProtection="1">
      <alignment horizontal="center" vertical="center" wrapText="1"/>
    </xf>
    <xf numFmtId="43" fontId="1" fillId="0" borderId="21" xfId="319" applyFont="1" applyFill="1" applyBorder="1" applyAlignment="1" applyProtection="1">
      <alignment horizontal="center" vertical="center" wrapText="1"/>
    </xf>
    <xf numFmtId="164" fontId="0" fillId="0" borderId="0" xfId="0" applyNumberFormat="1" applyProtection="1"/>
    <xf numFmtId="0" fontId="51" fillId="31" borderId="0" xfId="0" applyFont="1" applyFill="1" applyProtection="1"/>
    <xf numFmtId="0" fontId="0" fillId="31" borderId="0" xfId="0" applyFill="1" applyAlignment="1" applyProtection="1">
      <alignment wrapText="1"/>
    </xf>
    <xf numFmtId="0" fontId="111" fillId="0" borderId="0" xfId="0" applyFont="1" applyFill="1" applyAlignment="1" applyProtection="1">
      <alignment wrapText="1"/>
      <protection locked="0"/>
    </xf>
    <xf numFmtId="0" fontId="0" fillId="0" borderId="0" xfId="0" applyFill="1"/>
    <xf numFmtId="3" fontId="0" fillId="0" borderId="0" xfId="0" applyNumberFormat="1" applyFill="1"/>
    <xf numFmtId="164" fontId="51" fillId="33" borderId="0" xfId="319" applyNumberFormat="1" applyFont="1" applyFill="1" applyAlignment="1" applyProtection="1">
      <alignment horizontal="center" vertical="center"/>
      <protection locked="0"/>
    </xf>
    <xf numFmtId="164" fontId="46" fillId="33" borderId="0" xfId="319" applyNumberFormat="1" applyFont="1" applyFill="1" applyAlignment="1" applyProtection="1">
      <alignment horizontal="center" vertical="center"/>
      <protection locked="0"/>
    </xf>
    <xf numFmtId="165" fontId="46" fillId="33" borderId="0" xfId="319" applyNumberFormat="1" applyFont="1" applyFill="1" applyAlignment="1" applyProtection="1">
      <alignment horizontal="center" vertical="center"/>
      <protection locked="0"/>
    </xf>
    <xf numFmtId="0" fontId="35" fillId="32" borderId="0" xfId="0" applyFont="1" applyFill="1" applyAlignment="1" applyProtection="1">
      <alignment horizontal="left" vertical="center"/>
    </xf>
    <xf numFmtId="0" fontId="35" fillId="34" borderId="0" xfId="0" applyFont="1" applyFill="1" applyAlignment="1">
      <alignment vertical="center" wrapText="1"/>
    </xf>
    <xf numFmtId="0" fontId="0" fillId="0" borderId="0" xfId="0" applyAlignment="1">
      <alignment horizontal="center" vertical="center"/>
    </xf>
    <xf numFmtId="0" fontId="110" fillId="0" borderId="0" xfId="0" applyFont="1" applyAlignment="1">
      <alignment horizontal="center" vertical="center" wrapText="1"/>
    </xf>
    <xf numFmtId="38" fontId="116" fillId="0" borderId="0" xfId="323" applyNumberFormat="1" applyFont="1" applyFill="1" applyAlignment="1" applyProtection="1">
      <alignment horizontal="center" vertical="center" wrapText="1"/>
    </xf>
    <xf numFmtId="0" fontId="0" fillId="34" borderId="0" xfId="0" applyFill="1" applyAlignment="1">
      <alignment horizontal="center" vertical="center"/>
    </xf>
    <xf numFmtId="0" fontId="0" fillId="34" borderId="0" xfId="0" applyFill="1"/>
    <xf numFmtId="0" fontId="110" fillId="34" borderId="0" xfId="0" applyFont="1" applyFill="1" applyAlignment="1">
      <alignment horizontal="center" vertical="center" wrapText="1"/>
    </xf>
    <xf numFmtId="0" fontId="119" fillId="34" borderId="0" xfId="0" applyFont="1" applyFill="1" applyAlignment="1">
      <alignment horizontal="center" vertical="center" wrapText="1"/>
    </xf>
    <xf numFmtId="38" fontId="116" fillId="34" borderId="0" xfId="323" applyNumberFormat="1" applyFont="1" applyFill="1" applyAlignment="1" applyProtection="1">
      <alignment horizontal="center" vertical="center" wrapText="1"/>
    </xf>
    <xf numFmtId="41" fontId="111" fillId="34" borderId="0" xfId="323" applyNumberFormat="1" applyFont="1" applyFill="1" applyAlignment="1" applyProtection="1">
      <alignment vertical="center" wrapText="1"/>
    </xf>
    <xf numFmtId="0" fontId="0" fillId="0" borderId="30" xfId="0" applyBorder="1"/>
    <xf numFmtId="0" fontId="0" fillId="0" borderId="39" xfId="0" applyBorder="1"/>
    <xf numFmtId="0" fontId="106" fillId="0" borderId="40" xfId="0" applyFont="1" applyBorder="1"/>
    <xf numFmtId="0" fontId="106" fillId="35" borderId="15" xfId="0" applyFont="1" applyFill="1" applyBorder="1" applyAlignment="1">
      <alignment horizontal="left"/>
    </xf>
    <xf numFmtId="0" fontId="0" fillId="35" borderId="15" xfId="0" applyFill="1" applyBorder="1" applyAlignment="1">
      <alignment horizontal="center"/>
    </xf>
    <xf numFmtId="0" fontId="0" fillId="35" borderId="11" xfId="0" applyFill="1" applyBorder="1" applyAlignment="1">
      <alignment horizontal="center"/>
    </xf>
    <xf numFmtId="168" fontId="106" fillId="0" borderId="0" xfId="323" applyNumberFormat="1" applyFont="1" applyFill="1" applyAlignment="1" applyProtection="1">
      <alignment horizontal="center" vertical="center"/>
      <protection locked="0"/>
    </xf>
    <xf numFmtId="0" fontId="106" fillId="0" borderId="14" xfId="0" applyFont="1" applyBorder="1" applyAlignment="1">
      <alignment vertical="center"/>
    </xf>
    <xf numFmtId="0" fontId="106" fillId="0" borderId="0" xfId="0" applyFont="1" applyAlignment="1">
      <alignment vertical="center"/>
    </xf>
    <xf numFmtId="41" fontId="121" fillId="0" borderId="0" xfId="323" applyNumberFormat="1" applyFont="1" applyFill="1" applyAlignment="1" applyProtection="1">
      <alignment vertical="center" wrapText="1"/>
    </xf>
    <xf numFmtId="0" fontId="52" fillId="0" borderId="0" xfId="0" applyFont="1" applyAlignment="1" applyProtection="1">
      <alignment horizontal="center"/>
    </xf>
    <xf numFmtId="0" fontId="123" fillId="0" borderId="0" xfId="0" applyFont="1" applyAlignment="1">
      <alignment vertical="center"/>
    </xf>
    <xf numFmtId="164" fontId="1" fillId="0" borderId="21" xfId="319" applyNumberFormat="1" applyFont="1" applyFill="1" applyBorder="1" applyAlignment="1" applyProtection="1">
      <alignment horizontal="center" vertical="center" wrapText="1"/>
      <protection locked="0"/>
    </xf>
    <xf numFmtId="0" fontId="114" fillId="0" borderId="0" xfId="0" applyFont="1" applyFill="1" applyAlignment="1">
      <alignment horizontal="center" vertical="center" wrapText="1"/>
    </xf>
    <xf numFmtId="164" fontId="0" fillId="0" borderId="0" xfId="0" applyNumberFormat="1" applyFill="1"/>
    <xf numFmtId="164" fontId="1" fillId="33" borderId="29" xfId="319" applyNumberFormat="1" applyFont="1" applyFill="1" applyBorder="1" applyAlignment="1" applyProtection="1">
      <alignment horizontal="center" vertical="center" wrapText="1"/>
      <protection locked="0"/>
    </xf>
    <xf numFmtId="164" fontId="1" fillId="33" borderId="21" xfId="319" applyNumberFormat="1" applyFont="1" applyFill="1" applyBorder="1" applyAlignment="1" applyProtection="1">
      <alignment horizontal="center" vertical="center" wrapText="1"/>
      <protection locked="0"/>
    </xf>
    <xf numFmtId="43" fontId="1" fillId="33" borderId="21" xfId="319" applyFont="1" applyFill="1" applyBorder="1" applyAlignment="1" applyProtection="1">
      <alignment horizontal="center" vertical="center" wrapText="1"/>
    </xf>
    <xf numFmtId="0" fontId="106" fillId="0" borderId="34" xfId="0" applyNumberFormat="1" applyFont="1" applyFill="1" applyBorder="1" applyAlignment="1" applyProtection="1">
      <alignment horizontal="center" vertical="center"/>
    </xf>
    <xf numFmtId="0" fontId="0" fillId="36" borderId="0" xfId="0" applyFill="1" applyBorder="1" applyProtection="1"/>
    <xf numFmtId="0" fontId="0" fillId="36" borderId="0" xfId="0" applyFill="1" applyBorder="1" applyAlignment="1" applyProtection="1">
      <alignment vertical="center"/>
    </xf>
    <xf numFmtId="0" fontId="80" fillId="36" borderId="0" xfId="0" applyFont="1" applyFill="1" applyBorder="1" applyAlignment="1" applyProtection="1">
      <alignment vertical="center"/>
    </xf>
    <xf numFmtId="0" fontId="106" fillId="0" borderId="0" xfId="0" applyNumberFormat="1" applyFont="1" applyFill="1" applyBorder="1" applyAlignment="1" applyProtection="1">
      <alignment horizontal="center" vertical="center"/>
    </xf>
    <xf numFmtId="0" fontId="112" fillId="0" borderId="0" xfId="0" applyFont="1" applyFill="1" applyBorder="1" applyAlignment="1" applyProtection="1">
      <alignment wrapText="1"/>
    </xf>
    <xf numFmtId="164" fontId="46" fillId="0" borderId="0" xfId="319" applyNumberFormat="1" applyFont="1" applyFill="1" applyBorder="1" applyAlignment="1" applyProtection="1">
      <alignment vertical="center"/>
    </xf>
    <xf numFmtId="14" fontId="1" fillId="0" borderId="21" xfId="319" applyNumberFormat="1" applyFont="1" applyFill="1" applyBorder="1" applyAlignment="1" applyProtection="1">
      <alignment horizontal="center" vertical="center" wrapText="1"/>
    </xf>
    <xf numFmtId="164" fontId="1" fillId="36" borderId="21" xfId="319" applyNumberFormat="1" applyFont="1" applyFill="1" applyBorder="1" applyAlignment="1" applyProtection="1">
      <alignment horizontal="center" vertical="center" wrapText="1"/>
      <protection locked="0"/>
    </xf>
    <xf numFmtId="0" fontId="106" fillId="36" borderId="0" xfId="0" applyNumberFormat="1" applyFont="1" applyFill="1" applyBorder="1" applyAlignment="1" applyProtection="1">
      <alignment horizontal="center" vertical="center"/>
    </xf>
    <xf numFmtId="0" fontId="112" fillId="36" borderId="0" xfId="0" applyFont="1" applyFill="1" applyBorder="1" applyAlignment="1" applyProtection="1">
      <alignment wrapText="1"/>
    </xf>
    <xf numFmtId="1" fontId="46" fillId="0" borderId="27" xfId="319" applyNumberFormat="1" applyFont="1" applyFill="1" applyBorder="1" applyAlignment="1" applyProtection="1">
      <alignment vertical="center"/>
    </xf>
    <xf numFmtId="1" fontId="46" fillId="29" borderId="27" xfId="319" applyNumberFormat="1" applyFont="1" applyFill="1" applyBorder="1" applyAlignment="1" applyProtection="1">
      <alignment vertical="center"/>
    </xf>
    <xf numFmtId="1" fontId="46" fillId="0" borderId="33" xfId="319" applyNumberFormat="1" applyFont="1" applyFill="1" applyBorder="1" applyAlignment="1" applyProtection="1">
      <alignment vertical="center"/>
    </xf>
    <xf numFmtId="1" fontId="46" fillId="0" borderId="26" xfId="319" applyNumberFormat="1" applyFont="1" applyFill="1" applyBorder="1" applyAlignment="1" applyProtection="1">
      <alignment vertical="center"/>
    </xf>
    <xf numFmtId="1" fontId="46" fillId="0" borderId="26" xfId="319" applyNumberFormat="1" applyFont="1" applyBorder="1" applyAlignment="1" applyProtection="1">
      <alignment vertical="center"/>
    </xf>
    <xf numFmtId="1" fontId="46" fillId="0" borderId="27" xfId="319" applyNumberFormat="1" applyFont="1" applyBorder="1" applyAlignment="1" applyProtection="1">
      <alignment vertical="center"/>
    </xf>
    <xf numFmtId="0" fontId="0" fillId="0" borderId="0" xfId="0"/>
    <xf numFmtId="0" fontId="0" fillId="0" borderId="0" xfId="0" applyAlignment="1">
      <alignment wrapText="1"/>
    </xf>
    <xf numFmtId="166" fontId="0" fillId="0" borderId="0" xfId="0" applyNumberFormat="1"/>
    <xf numFmtId="38" fontId="129" fillId="0" borderId="0" xfId="0" applyNumberFormat="1" applyFont="1"/>
    <xf numFmtId="0" fontId="111" fillId="0" borderId="0" xfId="0" applyFont="1"/>
    <xf numFmtId="0" fontId="111" fillId="0" borderId="0" xfId="0" applyFont="1" applyAlignment="1">
      <alignment wrapText="1"/>
    </xf>
    <xf numFmtId="166" fontId="111" fillId="0" borderId="0" xfId="0" applyNumberFormat="1" applyFont="1" applyAlignment="1">
      <alignment wrapText="1"/>
    </xf>
    <xf numFmtId="0" fontId="0" fillId="37" borderId="0" xfId="0" applyFill="1" applyAlignment="1">
      <alignment horizontal="center"/>
    </xf>
    <xf numFmtId="38" fontId="129" fillId="37" borderId="0" xfId="0" applyNumberFormat="1" applyFont="1" applyFill="1"/>
    <xf numFmtId="0" fontId="101" fillId="37" borderId="0" xfId="467" applyFill="1"/>
    <xf numFmtId="0" fontId="0" fillId="37" borderId="0" xfId="0" applyFill="1"/>
    <xf numFmtId="0" fontId="0" fillId="37" borderId="0" xfId="0" applyFill="1" applyAlignment="1">
      <alignment wrapText="1"/>
    </xf>
    <xf numFmtId="166" fontId="129" fillId="37" borderId="0" xfId="0" applyNumberFormat="1" applyFont="1" applyFill="1"/>
    <xf numFmtId="40" fontId="129" fillId="0" borderId="0" xfId="0" applyNumberFormat="1" applyFont="1"/>
    <xf numFmtId="0" fontId="100" fillId="39" borderId="0" xfId="1418" applyFill="1" applyAlignment="1">
      <alignment wrapText="1"/>
    </xf>
    <xf numFmtId="0" fontId="100" fillId="38" borderId="0" xfId="1418" applyFill="1" applyAlignment="1">
      <alignment wrapText="1"/>
    </xf>
    <xf numFmtId="0" fontId="101" fillId="0" borderId="0" xfId="467" applyAlignment="1">
      <alignment wrapText="1"/>
    </xf>
    <xf numFmtId="1" fontId="131" fillId="0" borderId="0" xfId="467" applyNumberFormat="1" applyFont="1" applyAlignment="1">
      <alignment horizontal="center"/>
    </xf>
    <xf numFmtId="0" fontId="0" fillId="0" borderId="0" xfId="0" applyAlignment="1">
      <alignment horizontal="center"/>
    </xf>
    <xf numFmtId="0" fontId="106" fillId="0" borderId="41" xfId="456" applyFont="1" applyBorder="1" applyAlignment="1">
      <alignment horizontal="center" vertical="center"/>
    </xf>
    <xf numFmtId="0" fontId="0" fillId="0" borderId="0" xfId="0" applyAlignment="1">
      <alignment horizontal="left"/>
    </xf>
    <xf numFmtId="0" fontId="0" fillId="0" borderId="0" xfId="0" applyAlignment="1" applyProtection="1">
      <alignment vertical="center" wrapText="1"/>
      <protection locked="0"/>
    </xf>
    <xf numFmtId="0" fontId="106" fillId="0" borderId="37" xfId="456" applyFont="1" applyBorder="1" applyAlignment="1">
      <alignment horizontal="center" vertical="center"/>
    </xf>
    <xf numFmtId="0" fontId="106" fillId="0" borderId="0" xfId="456" applyFont="1" applyAlignment="1">
      <alignment horizontal="center" vertical="center"/>
    </xf>
    <xf numFmtId="0" fontId="18" fillId="0" borderId="0" xfId="580" applyAlignment="1">
      <alignment horizontal="left" wrapText="1"/>
    </xf>
    <xf numFmtId="0" fontId="130" fillId="0" borderId="0" xfId="467" applyFont="1" applyAlignment="1">
      <alignment horizontal="left" vertical="center" wrapText="1"/>
    </xf>
    <xf numFmtId="0" fontId="130" fillId="37" borderId="0" xfId="467" applyFont="1" applyFill="1" applyAlignment="1">
      <alignment horizontal="left" vertical="center" wrapText="1"/>
    </xf>
    <xf numFmtId="0" fontId="101" fillId="0" borderId="0" xfId="467"/>
    <xf numFmtId="0" fontId="100" fillId="0" borderId="0" xfId="1418" applyAlignment="1">
      <alignment wrapText="1"/>
    </xf>
    <xf numFmtId="0" fontId="101" fillId="38" borderId="0" xfId="467" applyFill="1"/>
    <xf numFmtId="0" fontId="3" fillId="31" borderId="21" xfId="2842" applyFont="1" applyFill="1" applyBorder="1" applyAlignment="1">
      <alignment horizontal="center" vertical="center"/>
    </xf>
    <xf numFmtId="0" fontId="100" fillId="31" borderId="21" xfId="2842" applyFill="1" applyBorder="1" applyAlignment="1">
      <alignment vertical="center" wrapText="1"/>
    </xf>
    <xf numFmtId="38" fontId="129" fillId="31" borderId="0" xfId="0" applyNumberFormat="1" applyFont="1" applyFill="1"/>
    <xf numFmtId="0" fontId="56" fillId="31" borderId="21" xfId="2842" applyFont="1" applyFill="1" applyBorder="1" applyAlignment="1">
      <alignment vertical="center" wrapText="1"/>
    </xf>
    <xf numFmtId="4" fontId="101" fillId="0" borderId="0" xfId="321" applyNumberFormat="1"/>
    <xf numFmtId="38" fontId="0" fillId="0" borderId="0" xfId="0" applyNumberFormat="1"/>
    <xf numFmtId="0" fontId="106" fillId="0" borderId="36" xfId="456" applyFont="1" applyBorder="1" applyAlignment="1">
      <alignment horizontal="center" vertical="center"/>
    </xf>
    <xf numFmtId="0" fontId="3" fillId="31" borderId="22" xfId="1011" applyFont="1" applyFill="1" applyBorder="1" applyAlignment="1">
      <alignment horizontal="center" vertical="center"/>
    </xf>
    <xf numFmtId="0" fontId="100" fillId="31" borderId="22" xfId="1011" applyFill="1" applyBorder="1" applyAlignment="1">
      <alignment horizontal="left" vertical="center" wrapText="1"/>
    </xf>
    <xf numFmtId="0" fontId="100" fillId="31" borderId="32" xfId="1011" applyFill="1" applyBorder="1" applyAlignment="1">
      <alignment horizontal="left" vertical="center" wrapText="1"/>
    </xf>
    <xf numFmtId="0" fontId="100" fillId="31" borderId="34" xfId="1011" applyFill="1" applyBorder="1" applyAlignment="1">
      <alignment horizontal="left" vertical="center" wrapText="1"/>
    </xf>
    <xf numFmtId="0" fontId="100" fillId="31" borderId="21" xfId="1011" applyFill="1" applyBorder="1" applyAlignment="1">
      <alignment horizontal="left" vertical="center" wrapText="1"/>
    </xf>
    <xf numFmtId="0" fontId="106" fillId="38" borderId="21" xfId="1011" applyFont="1" applyFill="1" applyBorder="1" applyAlignment="1">
      <alignment horizontal="center" vertical="center"/>
    </xf>
    <xf numFmtId="164" fontId="1" fillId="36" borderId="21" xfId="319" applyNumberFormat="1" applyFont="1" applyFill="1" applyBorder="1" applyAlignment="1" applyProtection="1">
      <alignment horizontal="center" vertical="center" wrapText="1"/>
    </xf>
    <xf numFmtId="164" fontId="85" fillId="36" borderId="21" xfId="319" applyNumberFormat="1" applyFont="1" applyFill="1" applyBorder="1" applyAlignment="1" applyProtection="1">
      <alignment horizontal="center" vertical="center" wrapText="1"/>
    </xf>
    <xf numFmtId="39" fontId="85" fillId="36" borderId="26" xfId="319" applyNumberFormat="1" applyFont="1" applyFill="1" applyBorder="1" applyAlignment="1" applyProtection="1">
      <alignment horizontal="center" vertical="center" wrapText="1"/>
    </xf>
    <xf numFmtId="164" fontId="85" fillId="36" borderId="27" xfId="319" applyNumberFormat="1" applyFont="1" applyFill="1" applyBorder="1" applyAlignment="1" applyProtection="1">
      <alignment horizontal="center" vertical="center" wrapText="1"/>
    </xf>
    <xf numFmtId="164" fontId="132" fillId="36" borderId="21" xfId="319" applyNumberFormat="1" applyFont="1" applyFill="1" applyBorder="1" applyAlignment="1" applyProtection="1">
      <alignment horizontal="center" vertical="center" wrapText="1"/>
      <protection locked="0"/>
    </xf>
    <xf numFmtId="164" fontId="132" fillId="36" borderId="21" xfId="319" applyNumberFormat="1" applyFont="1" applyFill="1" applyBorder="1" applyAlignment="1" applyProtection="1">
      <alignment horizontal="center" vertical="center" wrapText="1"/>
    </xf>
    <xf numFmtId="164" fontId="133" fillId="36" borderId="21" xfId="319" applyNumberFormat="1" applyFont="1" applyFill="1" applyBorder="1" applyAlignment="1" applyProtection="1">
      <alignment horizontal="center" vertical="center" wrapText="1"/>
    </xf>
    <xf numFmtId="39" fontId="133" fillId="36" borderId="26" xfId="319" applyNumberFormat="1" applyFont="1" applyFill="1" applyBorder="1" applyAlignment="1" applyProtection="1">
      <alignment horizontal="center" vertical="center" wrapText="1"/>
    </xf>
    <xf numFmtId="164" fontId="133" fillId="36" borderId="27" xfId="319" applyNumberFormat="1" applyFont="1" applyFill="1" applyBorder="1" applyAlignment="1" applyProtection="1">
      <alignment horizontal="center" vertical="center" wrapText="1"/>
    </xf>
    <xf numFmtId="0" fontId="0" fillId="36" borderId="22" xfId="0" applyNumberFormat="1" applyFill="1" applyBorder="1" applyAlignment="1" applyProtection="1">
      <alignment horizontal="left" vertical="center" wrapText="1"/>
    </xf>
    <xf numFmtId="0" fontId="85" fillId="36" borderId="22" xfId="0" applyNumberFormat="1" applyFont="1" applyFill="1" applyBorder="1" applyAlignment="1" applyProtection="1">
      <alignment horizontal="left" vertical="center" wrapText="1"/>
    </xf>
    <xf numFmtId="0" fontId="0" fillId="36" borderId="21" xfId="0" applyNumberFormat="1" applyFill="1" applyBorder="1" applyAlignment="1" applyProtection="1">
      <alignment horizontal="left" vertical="center" wrapText="1"/>
    </xf>
    <xf numFmtId="0" fontId="0" fillId="36" borderId="0" xfId="0" applyFill="1" applyAlignment="1" applyProtection="1">
      <alignment horizontal="center" vertical="center"/>
    </xf>
    <xf numFmtId="0" fontId="53" fillId="36" borderId="0" xfId="0" applyFont="1" applyFill="1" applyAlignment="1" applyProtection="1">
      <alignment horizontal="left" wrapText="1"/>
    </xf>
    <xf numFmtId="164" fontId="46" fillId="36" borderId="0" xfId="319" applyNumberFormat="1" applyFont="1" applyFill="1" applyProtection="1"/>
    <xf numFmtId="0" fontId="85" fillId="40" borderId="21" xfId="0" applyNumberFormat="1" applyFont="1" applyFill="1" applyBorder="1" applyAlignment="1" applyProtection="1">
      <alignment horizontal="left" vertical="center" wrapText="1"/>
    </xf>
    <xf numFmtId="0" fontId="0" fillId="40" borderId="21" xfId="0" applyNumberFormat="1" applyFill="1" applyBorder="1" applyAlignment="1" applyProtection="1">
      <alignment horizontal="left" vertical="center" wrapText="1"/>
    </xf>
    <xf numFmtId="164" fontId="1" fillId="40" borderId="21" xfId="319" applyNumberFormat="1" applyFont="1" applyFill="1" applyBorder="1" applyAlignment="1" applyProtection="1">
      <alignment horizontal="center" vertical="center" wrapText="1"/>
      <protection locked="0"/>
    </xf>
    <xf numFmtId="164" fontId="1" fillId="40" borderId="21" xfId="319" applyNumberFormat="1" applyFont="1" applyFill="1" applyBorder="1" applyAlignment="1" applyProtection="1">
      <alignment horizontal="center" vertical="center" wrapText="1"/>
    </xf>
    <xf numFmtId="164" fontId="85" fillId="40" borderId="21" xfId="319" applyNumberFormat="1" applyFont="1" applyFill="1" applyBorder="1" applyAlignment="1" applyProtection="1">
      <alignment horizontal="center" vertical="center" wrapText="1"/>
    </xf>
    <xf numFmtId="39" fontId="85" fillId="40" borderId="26" xfId="319" applyNumberFormat="1" applyFont="1" applyFill="1" applyBorder="1" applyAlignment="1" applyProtection="1">
      <alignment horizontal="center" vertical="center" wrapText="1"/>
    </xf>
    <xf numFmtId="0" fontId="51" fillId="40" borderId="22" xfId="0" applyNumberFormat="1" applyFont="1" applyFill="1" applyBorder="1" applyAlignment="1" applyProtection="1">
      <alignment horizontal="center" vertical="center"/>
    </xf>
    <xf numFmtId="1" fontId="46" fillId="40" borderId="26" xfId="319" applyNumberFormat="1" applyFont="1" applyFill="1" applyBorder="1" applyAlignment="1" applyProtection="1">
      <alignment vertical="center"/>
    </xf>
    <xf numFmtId="0" fontId="85" fillId="40" borderId="21" xfId="319" applyNumberFormat="1" applyFont="1" applyFill="1" applyBorder="1" applyAlignment="1" applyProtection="1">
      <alignment horizontal="center" vertical="center" wrapText="1"/>
    </xf>
    <xf numFmtId="37" fontId="51" fillId="40" borderId="26" xfId="319" applyNumberFormat="1" applyFont="1" applyFill="1" applyBorder="1" applyAlignment="1" applyProtection="1">
      <alignment horizontal="center" vertical="center" wrapText="1"/>
    </xf>
    <xf numFmtId="0" fontId="0" fillId="40" borderId="22" xfId="0" applyNumberFormat="1" applyFill="1" applyBorder="1" applyAlignment="1" applyProtection="1">
      <alignment horizontal="left" vertical="center" wrapText="1"/>
    </xf>
    <xf numFmtId="0" fontId="51" fillId="40" borderId="32" xfId="0" applyNumberFormat="1" applyFont="1" applyFill="1" applyBorder="1" applyAlignment="1" applyProtection="1">
      <alignment horizontal="center" vertical="center"/>
    </xf>
    <xf numFmtId="1" fontId="46" fillId="40" borderId="25" xfId="319" applyNumberFormat="1" applyFont="1" applyFill="1" applyBorder="1" applyAlignment="1" applyProtection="1">
      <alignment vertical="center"/>
    </xf>
    <xf numFmtId="0" fontId="66" fillId="40" borderId="0" xfId="0" applyFont="1" applyFill="1" applyAlignment="1" applyProtection="1">
      <alignment vertical="center" wrapText="1"/>
    </xf>
    <xf numFmtId="167" fontId="51" fillId="40" borderId="0" xfId="385" applyNumberFormat="1" applyFont="1" applyFill="1" applyProtection="1"/>
    <xf numFmtId="0" fontId="0" fillId="31" borderId="31" xfId="0" applyNumberFormat="1" applyFill="1" applyBorder="1" applyAlignment="1" applyProtection="1">
      <alignment horizontal="left" vertical="center" wrapText="1"/>
    </xf>
    <xf numFmtId="0" fontId="67" fillId="31" borderId="21" xfId="0" applyNumberFormat="1" applyFont="1" applyFill="1" applyBorder="1" applyAlignment="1" applyProtection="1">
      <alignment horizontal="left" vertical="center" wrapText="1"/>
    </xf>
    <xf numFmtId="164" fontId="1" fillId="31" borderId="21" xfId="319" applyNumberFormat="1" applyFont="1" applyFill="1" applyBorder="1" applyAlignment="1" applyProtection="1">
      <alignment horizontal="center" vertical="center" wrapText="1"/>
    </xf>
    <xf numFmtId="164" fontId="85" fillId="31" borderId="21" xfId="319" applyNumberFormat="1" applyFont="1" applyFill="1" applyBorder="1" applyAlignment="1" applyProtection="1">
      <alignment horizontal="center" vertical="center" wrapText="1"/>
    </xf>
    <xf numFmtId="164" fontId="85" fillId="31" borderId="27" xfId="319" applyNumberFormat="1" applyFont="1" applyFill="1" applyBorder="1" applyAlignment="1" applyProtection="1">
      <alignment horizontal="center" vertical="center" wrapText="1"/>
    </xf>
    <xf numFmtId="165" fontId="1" fillId="31" borderId="21" xfId="319" applyNumberFormat="1" applyFont="1" applyFill="1" applyBorder="1" applyAlignment="1" applyProtection="1">
      <alignment horizontal="center" vertical="center" wrapText="1"/>
    </xf>
    <xf numFmtId="165" fontId="85" fillId="31" borderId="27" xfId="319" applyNumberFormat="1" applyFont="1" applyFill="1" applyBorder="1" applyAlignment="1" applyProtection="1">
      <alignment horizontal="center" vertical="center" wrapText="1"/>
    </xf>
    <xf numFmtId="41" fontId="54" fillId="32" borderId="0" xfId="0" applyNumberFormat="1" applyFont="1" applyFill="1" applyAlignment="1" applyProtection="1">
      <alignment wrapText="1"/>
      <protection locked="0"/>
    </xf>
    <xf numFmtId="164" fontId="46" fillId="32" borderId="0" xfId="319" applyNumberFormat="1" applyFont="1" applyFill="1" applyAlignment="1" applyProtection="1">
      <alignment horizontal="center" vertical="center"/>
      <protection locked="0"/>
    </xf>
    <xf numFmtId="0" fontId="52" fillId="32" borderId="0" xfId="0" applyFont="1" applyFill="1" applyAlignment="1" applyProtection="1">
      <alignment horizontal="center" vertical="center"/>
      <protection locked="0"/>
    </xf>
    <xf numFmtId="164" fontId="46" fillId="36" borderId="0" xfId="319" applyNumberFormat="1" applyFont="1" applyFill="1" applyAlignment="1" applyProtection="1">
      <alignment horizontal="center" vertical="center"/>
      <protection locked="0"/>
    </xf>
    <xf numFmtId="14" fontId="111" fillId="33" borderId="0" xfId="323" applyNumberFormat="1" applyFont="1" applyFill="1" applyAlignment="1" applyProtection="1">
      <alignment horizontal="left" vertical="center" wrapText="1"/>
      <protection locked="0"/>
    </xf>
    <xf numFmtId="0" fontId="106" fillId="0" borderId="0" xfId="0" applyFont="1" applyBorder="1" applyAlignment="1">
      <alignment vertical="center"/>
    </xf>
    <xf numFmtId="0" fontId="106" fillId="0" borderId="42" xfId="0" applyFont="1" applyBorder="1" applyAlignment="1">
      <alignment vertical="center"/>
    </xf>
    <xf numFmtId="164" fontId="113" fillId="0" borderId="36" xfId="323" applyNumberFormat="1" applyFont="1" applyFill="1" applyBorder="1" applyAlignment="1" applyProtection="1">
      <alignment horizontal="center" vertical="center" wrapText="1"/>
      <protection locked="0"/>
    </xf>
    <xf numFmtId="38" fontId="0" fillId="0" borderId="0" xfId="0" applyNumberFormat="1" applyFill="1" applyBorder="1" applyProtection="1"/>
    <xf numFmtId="0" fontId="0" fillId="36" borderId="0" xfId="0" applyFill="1"/>
    <xf numFmtId="38" fontId="80" fillId="36" borderId="0" xfId="319" applyNumberFormat="1" applyFont="1" applyFill="1" applyAlignment="1" applyProtection="1">
      <alignment horizontal="center" vertical="center" wrapText="1"/>
    </xf>
    <xf numFmtId="41" fontId="134" fillId="0" borderId="0" xfId="0" applyNumberFormat="1" applyFont="1" applyFill="1" applyAlignment="1">
      <alignment wrapText="1"/>
    </xf>
    <xf numFmtId="164" fontId="101" fillId="0" borderId="0" xfId="321" applyNumberFormat="1" applyFont="1" applyFill="1"/>
    <xf numFmtId="39" fontId="85" fillId="30" borderId="26" xfId="319" applyNumberFormat="1" applyFont="1" applyFill="1" applyBorder="1" applyAlignment="1" applyProtection="1">
      <alignment horizontal="center" vertical="center" wrapText="1"/>
    </xf>
    <xf numFmtId="0" fontId="106" fillId="0" borderId="34" xfId="0" applyFont="1" applyFill="1" applyBorder="1" applyAlignment="1">
      <alignment horizontal="center" vertical="center"/>
    </xf>
    <xf numFmtId="0" fontId="0" fillId="0" borderId="0" xfId="0" applyFill="1" applyAlignment="1">
      <alignment vertical="center" wrapText="1"/>
    </xf>
    <xf numFmtId="37" fontId="89" fillId="0" borderId="0" xfId="319" applyNumberFormat="1" applyFont="1" applyBorder="1" applyAlignment="1" applyProtection="1">
      <alignment vertical="center"/>
    </xf>
    <xf numFmtId="0" fontId="0" fillId="36" borderId="37" xfId="0" applyFill="1" applyBorder="1" applyAlignment="1">
      <alignment horizontal="left" vertical="center" wrapText="1"/>
    </xf>
    <xf numFmtId="0" fontId="113" fillId="36" borderId="37" xfId="0" applyFont="1" applyFill="1" applyBorder="1" applyAlignment="1">
      <alignment horizontal="left" vertical="center" wrapText="1"/>
    </xf>
    <xf numFmtId="0" fontId="0" fillId="36" borderId="36" xfId="0" applyFill="1" applyBorder="1" applyAlignment="1">
      <alignment horizontal="left" vertical="center" wrapText="1"/>
    </xf>
    <xf numFmtId="0" fontId="0" fillId="31" borderId="52" xfId="0" applyFill="1" applyBorder="1" applyAlignment="1">
      <alignment horizontal="center" vertical="center" wrapText="1"/>
    </xf>
    <xf numFmtId="0" fontId="109" fillId="31" borderId="52" xfId="0" applyFont="1" applyFill="1" applyBorder="1" applyAlignment="1">
      <alignment horizontal="center" vertical="center" wrapText="1"/>
    </xf>
    <xf numFmtId="0" fontId="110" fillId="31" borderId="52" xfId="0" applyFont="1" applyFill="1" applyBorder="1" applyAlignment="1">
      <alignment horizontal="center" vertical="center" wrapText="1"/>
    </xf>
    <xf numFmtId="0" fontId="1" fillId="31" borderId="52" xfId="0" applyFont="1" applyFill="1" applyBorder="1" applyAlignment="1">
      <alignment horizontal="left" vertical="center" wrapText="1"/>
    </xf>
    <xf numFmtId="38" fontId="116" fillId="31" borderId="52" xfId="323" applyNumberFormat="1" applyFont="1" applyFill="1" applyBorder="1" applyAlignment="1">
      <alignment horizontal="center" vertical="center" wrapText="1"/>
    </xf>
    <xf numFmtId="0" fontId="0" fillId="31" borderId="52" xfId="0" applyFill="1" applyBorder="1" applyAlignment="1">
      <alignment horizontal="center" vertical="center"/>
    </xf>
    <xf numFmtId="0" fontId="28" fillId="31" borderId="52" xfId="0" applyFont="1" applyFill="1" applyBorder="1" applyAlignment="1">
      <alignment horizontal="center" vertical="center" wrapText="1"/>
    </xf>
    <xf numFmtId="0" fontId="0" fillId="31" borderId="52" xfId="0" applyFill="1" applyBorder="1" applyAlignment="1">
      <alignment vertical="center" wrapText="1"/>
    </xf>
    <xf numFmtId="38" fontId="116" fillId="31" borderId="52" xfId="323" applyNumberFormat="1" applyFont="1" applyFill="1" applyBorder="1" applyAlignment="1" applyProtection="1">
      <alignment horizontal="center" vertical="center" wrapText="1"/>
    </xf>
    <xf numFmtId="38" fontId="116" fillId="31" borderId="53" xfId="1126" applyNumberFormat="1" applyFont="1" applyFill="1" applyBorder="1" applyAlignment="1">
      <alignment horizontal="center" vertical="center" wrapText="1"/>
    </xf>
    <xf numFmtId="0" fontId="0" fillId="31" borderId="52" xfId="0" applyFill="1" applyBorder="1" applyAlignment="1">
      <alignment horizontal="left" vertical="center" wrapText="1"/>
    </xf>
    <xf numFmtId="0" fontId="37" fillId="31" borderId="52" xfId="0" applyFont="1" applyFill="1" applyBorder="1" applyAlignment="1">
      <alignment horizontal="center" vertical="center" wrapText="1"/>
    </xf>
    <xf numFmtId="41" fontId="121" fillId="0" borderId="0" xfId="1126" applyNumberFormat="1" applyFont="1" applyAlignment="1">
      <alignment vertical="center" wrapText="1"/>
    </xf>
    <xf numFmtId="41" fontId="162" fillId="0" borderId="0" xfId="1126" applyNumberFormat="1" applyFont="1" applyAlignment="1">
      <alignment vertical="center" wrapText="1"/>
    </xf>
    <xf numFmtId="164" fontId="46" fillId="36" borderId="0" xfId="319" applyNumberFormat="1" applyFont="1" applyFill="1" applyBorder="1" applyAlignment="1" applyProtection="1">
      <alignment vertical="center"/>
    </xf>
    <xf numFmtId="37" fontId="89" fillId="31" borderId="52" xfId="319" applyNumberFormat="1" applyFont="1" applyFill="1" applyBorder="1" applyAlignment="1" applyProtection="1">
      <alignment vertical="center"/>
    </xf>
    <xf numFmtId="0" fontId="106" fillId="31" borderId="52" xfId="0" applyFont="1" applyFill="1" applyBorder="1" applyAlignment="1">
      <alignment horizontal="center" vertical="center"/>
    </xf>
    <xf numFmtId="0" fontId="112" fillId="31" borderId="52" xfId="0" applyFont="1" applyFill="1" applyBorder="1" applyAlignment="1" applyProtection="1">
      <alignment vertical="center" wrapText="1"/>
      <protection locked="0"/>
    </xf>
    <xf numFmtId="0" fontId="51" fillId="35" borderId="23" xfId="0" applyNumberFormat="1" applyFont="1" applyFill="1" applyBorder="1" applyAlignment="1" applyProtection="1">
      <alignment horizontal="center" vertical="center"/>
    </xf>
    <xf numFmtId="0" fontId="0" fillId="35" borderId="29" xfId="0" applyFont="1" applyFill="1" applyBorder="1" applyAlignment="1" applyProtection="1">
      <alignment vertical="center" wrapText="1"/>
    </xf>
    <xf numFmtId="164" fontId="89" fillId="35" borderId="27" xfId="319" applyNumberFormat="1" applyFont="1" applyFill="1" applyBorder="1" applyAlignment="1" applyProtection="1">
      <alignment vertical="center"/>
    </xf>
    <xf numFmtId="0" fontId="0" fillId="36" borderId="0" xfId="0" applyFill="1" applyProtection="1"/>
    <xf numFmtId="0" fontId="0" fillId="0" borderId="22" xfId="0" applyNumberFormat="1" applyFill="1" applyBorder="1" applyAlignment="1" applyProtection="1">
      <alignment horizontal="center" vertical="center" wrapText="1"/>
    </xf>
    <xf numFmtId="39" fontId="85" fillId="31" borderId="26" xfId="319" applyNumberFormat="1" applyFont="1" applyFill="1" applyBorder="1" applyAlignment="1" applyProtection="1">
      <alignment horizontal="center" vertical="center" wrapText="1"/>
    </xf>
    <xf numFmtId="0" fontId="106" fillId="31" borderId="37" xfId="0" applyFont="1" applyFill="1" applyBorder="1" applyAlignment="1">
      <alignment horizontal="center" vertical="center"/>
    </xf>
    <xf numFmtId="0" fontId="0" fillId="31" borderId="36" xfId="0" applyFill="1" applyBorder="1" applyAlignment="1">
      <alignment horizontal="left" vertical="center" wrapText="1"/>
    </xf>
    <xf numFmtId="1" fontId="46" fillId="31" borderId="26" xfId="319" applyNumberFormat="1" applyFont="1" applyFill="1" applyBorder="1" applyAlignment="1" applyProtection="1">
      <alignment vertical="center"/>
    </xf>
    <xf numFmtId="0" fontId="0" fillId="31" borderId="36" xfId="0" applyFill="1" applyBorder="1" applyAlignment="1">
      <alignment vertical="center" wrapText="1"/>
    </xf>
    <xf numFmtId="1" fontId="100" fillId="31" borderId="38" xfId="323" applyNumberFormat="1" applyFill="1" applyBorder="1" applyAlignment="1">
      <alignment vertical="center"/>
    </xf>
    <xf numFmtId="1" fontId="46" fillId="31" borderId="27" xfId="319" applyNumberFormat="1" applyFont="1" applyFill="1" applyBorder="1" applyAlignment="1" applyProtection="1">
      <alignment vertical="center"/>
    </xf>
    <xf numFmtId="37" fontId="51" fillId="31" borderId="26" xfId="319" applyNumberFormat="1" applyFont="1" applyFill="1" applyBorder="1" applyAlignment="1" applyProtection="1">
      <alignment horizontal="center" vertical="center" wrapText="1"/>
    </xf>
    <xf numFmtId="0" fontId="0" fillId="58" borderId="22" xfId="0" applyNumberFormat="1" applyFill="1" applyBorder="1" applyAlignment="1" applyProtection="1">
      <alignment horizontal="left" vertical="center" wrapText="1"/>
    </xf>
    <xf numFmtId="0" fontId="0" fillId="58" borderId="21" xfId="0" applyNumberFormat="1" applyFill="1" applyBorder="1" applyAlignment="1" applyProtection="1">
      <alignment horizontal="left" vertical="center" wrapText="1"/>
    </xf>
    <xf numFmtId="14" fontId="1" fillId="58" borderId="21" xfId="319" applyNumberFormat="1" applyFont="1" applyFill="1" applyBorder="1" applyAlignment="1" applyProtection="1">
      <alignment horizontal="center" vertical="center" wrapText="1"/>
    </xf>
    <xf numFmtId="0" fontId="112" fillId="0" borderId="35" xfId="0" applyFont="1" applyFill="1" applyBorder="1" applyAlignment="1" applyProtection="1">
      <alignment vertical="center" wrapText="1"/>
    </xf>
    <xf numFmtId="1" fontId="0" fillId="0" borderId="0" xfId="0" applyNumberFormat="1" applyAlignment="1" applyProtection="1">
      <alignment horizontal="center" vertical="center"/>
    </xf>
    <xf numFmtId="1" fontId="0" fillId="0" borderId="0" xfId="0" applyNumberFormat="1" applyFill="1" applyAlignment="1">
      <alignment horizontal="center" vertical="center"/>
    </xf>
    <xf numFmtId="1" fontId="0" fillId="0" borderId="0" xfId="0" applyNumberFormat="1" applyFill="1" applyAlignment="1" applyProtection="1">
      <alignment horizontal="center" vertical="center"/>
    </xf>
    <xf numFmtId="1" fontId="85" fillId="0" borderId="21" xfId="319" applyNumberFormat="1" applyFont="1" applyFill="1" applyBorder="1" applyAlignment="1" applyProtection="1">
      <alignment horizontal="center" vertical="center" wrapText="1"/>
    </xf>
    <xf numFmtId="1" fontId="85" fillId="0" borderId="0" xfId="319" applyNumberFormat="1" applyFont="1" applyFill="1" applyBorder="1" applyAlignment="1" applyProtection="1">
      <alignment horizontal="center" vertical="center" wrapText="1"/>
    </xf>
    <xf numFmtId="172" fontId="46" fillId="0" borderId="26" xfId="319" applyNumberFormat="1" applyFont="1" applyFill="1" applyBorder="1" applyAlignment="1" applyProtection="1">
      <alignment vertical="center"/>
    </xf>
    <xf numFmtId="1" fontId="0" fillId="38" borderId="0" xfId="0" applyNumberFormat="1" applyFill="1" applyAlignment="1" applyProtection="1">
      <alignment horizontal="center" vertical="center"/>
    </xf>
    <xf numFmtId="0" fontId="163" fillId="59" borderId="40" xfId="0" applyFont="1" applyFill="1" applyBorder="1" applyAlignment="1">
      <alignment horizontal="center" vertical="center"/>
    </xf>
    <xf numFmtId="0" fontId="122" fillId="37" borderId="0" xfId="0" applyFont="1" applyFill="1" applyAlignment="1">
      <alignment vertical="center" wrapText="1"/>
    </xf>
    <xf numFmtId="0" fontId="167" fillId="59" borderId="0" xfId="0" applyFont="1" applyFill="1" applyAlignment="1">
      <alignment horizontal="center" vertical="center" wrapText="1"/>
    </xf>
    <xf numFmtId="0" fontId="123" fillId="37" borderId="0" xfId="0" applyFont="1" applyFill="1" applyAlignment="1">
      <alignment horizontal="justify" vertical="center"/>
    </xf>
    <xf numFmtId="0" fontId="123" fillId="37" borderId="0" xfId="0" applyFont="1" applyFill="1" applyAlignment="1">
      <alignment vertical="center"/>
    </xf>
    <xf numFmtId="0" fontId="123" fillId="37" borderId="0" xfId="0" applyFont="1" applyFill="1" applyAlignment="1">
      <alignment vertical="center" wrapText="1"/>
    </xf>
    <xf numFmtId="0" fontId="168" fillId="59" borderId="0" xfId="0" applyFont="1" applyFill="1" applyAlignment="1">
      <alignment horizontal="center" vertical="center"/>
    </xf>
    <xf numFmtId="0" fontId="112" fillId="37" borderId="0" xfId="0" applyFont="1" applyFill="1" applyAlignment="1">
      <alignment vertical="center"/>
    </xf>
    <xf numFmtId="0" fontId="102" fillId="37" borderId="0" xfId="431" applyFill="1" applyAlignment="1" applyProtection="1">
      <alignment vertical="center"/>
      <protection locked="0"/>
    </xf>
    <xf numFmtId="0" fontId="102" fillId="37" borderId="0" xfId="431" applyFill="1" applyProtection="1">
      <protection locked="0"/>
    </xf>
    <xf numFmtId="0" fontId="169" fillId="59" borderId="0" xfId="0" applyFont="1" applyFill="1" applyAlignment="1">
      <alignment horizontal="center" vertical="center"/>
    </xf>
    <xf numFmtId="0" fontId="170" fillId="59" borderId="0" xfId="0" applyFont="1" applyFill="1" applyAlignment="1">
      <alignment vertical="center"/>
    </xf>
    <xf numFmtId="0" fontId="106" fillId="60" borderId="52" xfId="0" applyNumberFormat="1" applyFont="1" applyFill="1" applyBorder="1" applyAlignment="1" applyProtection="1">
      <alignment horizontal="center" vertical="center"/>
    </xf>
    <xf numFmtId="0" fontId="0" fillId="60" borderId="52" xfId="0" applyNumberFormat="1" applyFill="1" applyBorder="1" applyAlignment="1" applyProtection="1">
      <alignment horizontal="left" vertical="center" wrapText="1"/>
    </xf>
    <xf numFmtId="0" fontId="112" fillId="60" borderId="52" xfId="0" applyFont="1" applyFill="1" applyBorder="1" applyAlignment="1" applyProtection="1">
      <alignment vertical="center" wrapText="1"/>
    </xf>
    <xf numFmtId="0" fontId="0" fillId="60" borderId="21" xfId="0" applyNumberFormat="1" applyFill="1" applyBorder="1" applyAlignment="1" applyProtection="1">
      <alignment horizontal="left" vertical="center" wrapText="1"/>
    </xf>
    <xf numFmtId="0" fontId="109" fillId="60" borderId="52" xfId="0" applyFont="1" applyFill="1" applyBorder="1" applyAlignment="1" applyProtection="1">
      <alignment vertical="center" wrapText="1"/>
    </xf>
    <xf numFmtId="0" fontId="0" fillId="60" borderId="22" xfId="0" applyNumberFormat="1" applyFill="1" applyBorder="1" applyAlignment="1" applyProtection="1">
      <alignment horizontal="left" vertical="center" wrapText="1"/>
    </xf>
    <xf numFmtId="0" fontId="85" fillId="60" borderId="22" xfId="0" applyNumberFormat="1" applyFont="1" applyFill="1" applyBorder="1" applyAlignment="1" applyProtection="1">
      <alignment horizontal="left" vertical="center" wrapText="1"/>
    </xf>
    <xf numFmtId="0" fontId="85" fillId="58" borderId="0" xfId="0" applyNumberFormat="1" applyFont="1" applyFill="1" applyBorder="1" applyAlignment="1" applyProtection="1">
      <alignment horizontal="left" vertical="center" wrapText="1"/>
    </xf>
    <xf numFmtId="0" fontId="51" fillId="60" borderId="52" xfId="0" applyNumberFormat="1" applyFont="1" applyFill="1" applyBorder="1" applyAlignment="1" applyProtection="1">
      <alignment horizontal="center" vertical="center"/>
    </xf>
    <xf numFmtId="0" fontId="0" fillId="60" borderId="52" xfId="0" applyFont="1" applyFill="1" applyBorder="1" applyAlignment="1" applyProtection="1">
      <alignment vertical="center" wrapText="1"/>
    </xf>
    <xf numFmtId="0" fontId="89" fillId="60" borderId="52" xfId="319" applyNumberFormat="1" applyFont="1" applyFill="1" applyBorder="1" applyAlignment="1" applyProtection="1">
      <alignment vertical="center"/>
    </xf>
    <xf numFmtId="49" fontId="1" fillId="0" borderId="21" xfId="319" applyNumberFormat="1" applyFont="1" applyFill="1" applyBorder="1" applyAlignment="1" applyProtection="1">
      <alignment horizontal="center" vertical="center" wrapText="1"/>
    </xf>
    <xf numFmtId="49" fontId="46" fillId="60" borderId="52" xfId="319" applyNumberFormat="1" applyFont="1" applyFill="1" applyBorder="1" applyAlignment="1" applyProtection="1">
      <alignment horizontal="center" vertical="center"/>
    </xf>
    <xf numFmtId="14" fontId="46" fillId="60" borderId="52" xfId="319" applyNumberFormat="1" applyFont="1" applyFill="1" applyBorder="1" applyAlignment="1" applyProtection="1">
      <alignment horizontal="center" vertical="center"/>
    </xf>
    <xf numFmtId="49" fontId="46" fillId="58" borderId="52" xfId="319" applyNumberFormat="1" applyFont="1" applyFill="1" applyBorder="1" applyAlignment="1" applyProtection="1">
      <alignment horizontal="center" vertical="center"/>
    </xf>
    <xf numFmtId="0" fontId="106" fillId="58" borderId="52" xfId="0" applyNumberFormat="1" applyFont="1" applyFill="1" applyBorder="1" applyAlignment="1" applyProtection="1">
      <alignment horizontal="center" vertical="center"/>
    </xf>
    <xf numFmtId="14" fontId="46" fillId="58" borderId="52" xfId="319" applyNumberFormat="1" applyFont="1" applyFill="1" applyBorder="1" applyAlignment="1" applyProtection="1">
      <alignment horizontal="center" vertical="center"/>
    </xf>
    <xf numFmtId="0" fontId="0" fillId="0" borderId="0" xfId="0" applyFill="1" applyBorder="1" applyAlignment="1" applyProtection="1">
      <alignment vertical="center"/>
    </xf>
    <xf numFmtId="49" fontId="0" fillId="33" borderId="0" xfId="0" applyNumberFormat="1" applyFill="1" applyProtection="1">
      <protection locked="0"/>
    </xf>
    <xf numFmtId="49" fontId="1" fillId="58" borderId="21" xfId="319" applyNumberFormat="1" applyFont="1" applyFill="1" applyBorder="1" applyAlignment="1" applyProtection="1">
      <alignment horizontal="center" vertical="center" wrapText="1"/>
    </xf>
    <xf numFmtId="49" fontId="1" fillId="58" borderId="21" xfId="319" applyNumberFormat="1" applyFont="1" applyFill="1" applyBorder="1" applyAlignment="1" applyProtection="1">
      <alignment horizontal="center" vertical="center"/>
    </xf>
    <xf numFmtId="0" fontId="161" fillId="58" borderId="54" xfId="0" applyFont="1" applyFill="1" applyBorder="1" applyAlignment="1">
      <alignment horizontal="center" vertical="center" wrapText="1"/>
    </xf>
    <xf numFmtId="0" fontId="161" fillId="58" borderId="55" xfId="0" applyFont="1" applyFill="1" applyBorder="1" applyAlignment="1">
      <alignment horizontal="center" vertical="center" wrapText="1"/>
    </xf>
    <xf numFmtId="0" fontId="53" fillId="21" borderId="15" xfId="0" applyFont="1" applyFill="1" applyBorder="1" applyAlignment="1" applyProtection="1">
      <alignment horizontal="center" wrapText="1"/>
      <protection locked="0"/>
    </xf>
    <xf numFmtId="0" fontId="53" fillId="21" borderId="11" xfId="0" applyFont="1" applyFill="1" applyBorder="1" applyAlignment="1" applyProtection="1">
      <alignment horizontal="center" wrapText="1"/>
      <protection locked="0"/>
    </xf>
    <xf numFmtId="0" fontId="68" fillId="20" borderId="13" xfId="0" applyFont="1" applyFill="1" applyBorder="1" applyAlignment="1" applyProtection="1">
      <alignment horizontal="center" vertical="center" wrapText="1"/>
    </xf>
    <xf numFmtId="0" fontId="68" fillId="20" borderId="15" xfId="0" applyFont="1" applyFill="1" applyBorder="1" applyAlignment="1" applyProtection="1">
      <alignment horizontal="center" vertical="center" wrapText="1"/>
    </xf>
    <xf numFmtId="0" fontId="120" fillId="0" borderId="13" xfId="0" applyFont="1" applyBorder="1" applyAlignment="1">
      <alignment horizontal="center"/>
    </xf>
    <xf numFmtId="0" fontId="120" fillId="0" borderId="15" xfId="0" applyFont="1" applyBorder="1" applyAlignment="1">
      <alignment horizontal="center"/>
    </xf>
    <xf numFmtId="0" fontId="120" fillId="0" borderId="11" xfId="0" applyFont="1" applyBorder="1" applyAlignment="1">
      <alignment horizontal="center"/>
    </xf>
    <xf numFmtId="0" fontId="104" fillId="0" borderId="30" xfId="0" applyFont="1" applyBorder="1" applyAlignment="1">
      <alignment horizontal="left" vertical="center" wrapText="1"/>
    </xf>
    <xf numFmtId="0" fontId="104" fillId="0" borderId="0" xfId="0" applyFont="1" applyAlignment="1">
      <alignment horizontal="left" vertical="center" wrapText="1"/>
    </xf>
    <xf numFmtId="0" fontId="35" fillId="34" borderId="0" xfId="0" applyFont="1" applyFill="1" applyAlignment="1">
      <alignment horizontal="left" vertical="center" wrapText="1"/>
    </xf>
    <xf numFmtId="0" fontId="113" fillId="0" borderId="13" xfId="0" applyFont="1" applyBorder="1" applyAlignment="1">
      <alignment horizontal="left" wrapText="1"/>
    </xf>
    <xf numFmtId="0" fontId="113" fillId="0" borderId="15" xfId="0" applyFont="1" applyBorder="1" applyAlignment="1">
      <alignment horizontal="left" wrapText="1"/>
    </xf>
    <xf numFmtId="49" fontId="0" fillId="58" borderId="13" xfId="0" applyNumberFormat="1" applyFill="1" applyBorder="1" applyAlignment="1" applyProtection="1">
      <alignment horizontal="center"/>
      <protection locked="0"/>
    </xf>
    <xf numFmtId="49" fontId="0" fillId="58" borderId="11" xfId="0" applyNumberFormat="1" applyFill="1" applyBorder="1" applyAlignment="1" applyProtection="1">
      <alignment horizontal="center"/>
      <protection locked="0"/>
    </xf>
    <xf numFmtId="0" fontId="113" fillId="0" borderId="13" xfId="0" applyFont="1" applyBorder="1" applyAlignment="1">
      <alignment horizontal="left"/>
    </xf>
    <xf numFmtId="0" fontId="113" fillId="0" borderId="15" xfId="0" applyFont="1" applyBorder="1" applyAlignment="1">
      <alignment horizontal="left"/>
    </xf>
    <xf numFmtId="49" fontId="102" fillId="58" borderId="13" xfId="431" applyNumberFormat="1" applyFill="1" applyBorder="1" applyAlignment="1" applyProtection="1">
      <alignment horizontal="center"/>
      <protection locked="0"/>
    </xf>
    <xf numFmtId="14" fontId="0" fillId="58" borderId="13" xfId="0" applyNumberFormat="1" applyFill="1" applyBorder="1" applyAlignment="1" applyProtection="1">
      <alignment horizontal="center"/>
      <protection locked="0"/>
    </xf>
    <xf numFmtId="14" fontId="0" fillId="58" borderId="11" xfId="0" applyNumberFormat="1" applyFill="1" applyBorder="1" applyAlignment="1" applyProtection="1">
      <alignment horizontal="center"/>
      <protection locked="0"/>
    </xf>
    <xf numFmtId="0" fontId="74" fillId="0" borderId="0" xfId="455" applyFont="1" applyAlignment="1">
      <alignment horizontal="left" wrapText="1"/>
    </xf>
    <xf numFmtId="0" fontId="99" fillId="21" borderId="0" xfId="455" applyFont="1" applyFill="1" applyAlignment="1">
      <alignment horizontal="left" vertical="center" wrapText="1"/>
    </xf>
    <xf numFmtId="0" fontId="73" fillId="0" borderId="0" xfId="455" applyFont="1" applyAlignment="1">
      <alignment horizontal="center" vertical="center"/>
    </xf>
    <xf numFmtId="0" fontId="78" fillId="21" borderId="0" xfId="455" applyFont="1" applyFill="1" applyAlignment="1">
      <alignment horizontal="left" wrapText="1"/>
    </xf>
    <xf numFmtId="0" fontId="102" fillId="37" borderId="0" xfId="431" applyFill="1"/>
  </cellXfs>
  <cellStyles count="5208">
    <cellStyle name="Accent1" xfId="2856" builtinId="29" customBuiltin="1"/>
    <cellStyle name="Accent1 - 20%" xfId="1" xr:uid="{00000000-0005-0000-0000-000000000000}"/>
    <cellStyle name="Accent1 - 20% 2" xfId="2" xr:uid="{00000000-0005-0000-0000-000001000000}"/>
    <cellStyle name="Accent1 - 40%" xfId="3" xr:uid="{00000000-0005-0000-0000-000002000000}"/>
    <cellStyle name="Accent1 - 40% 2" xfId="4" xr:uid="{00000000-0005-0000-0000-000003000000}"/>
    <cellStyle name="Accent1 - 60%" xfId="5" xr:uid="{00000000-0005-0000-0000-000004000000}"/>
    <cellStyle name="Accent1 10" xfId="6" xr:uid="{00000000-0005-0000-0000-000005000000}"/>
    <cellStyle name="Accent1 11" xfId="7" xr:uid="{00000000-0005-0000-0000-000006000000}"/>
    <cellStyle name="Accent1 12" xfId="8" xr:uid="{00000000-0005-0000-0000-000007000000}"/>
    <cellStyle name="Accent1 13" xfId="9" xr:uid="{00000000-0005-0000-0000-000008000000}"/>
    <cellStyle name="Accent1 14" xfId="10" xr:uid="{00000000-0005-0000-0000-000009000000}"/>
    <cellStyle name="Accent1 15" xfId="11" xr:uid="{00000000-0005-0000-0000-00000A000000}"/>
    <cellStyle name="Accent1 16" xfId="12" xr:uid="{00000000-0005-0000-0000-00000B000000}"/>
    <cellStyle name="Accent1 17" xfId="13" xr:uid="{00000000-0005-0000-0000-00000C000000}"/>
    <cellStyle name="Accent1 18" xfId="14" xr:uid="{00000000-0005-0000-0000-00000D000000}"/>
    <cellStyle name="Accent1 19" xfId="15" xr:uid="{00000000-0005-0000-0000-00000E000000}"/>
    <cellStyle name="Accent1 2" xfId="16" xr:uid="{00000000-0005-0000-0000-00000F000000}"/>
    <cellStyle name="Accent1 20" xfId="17" xr:uid="{00000000-0005-0000-0000-000010000000}"/>
    <cellStyle name="Accent1 21" xfId="18" xr:uid="{00000000-0005-0000-0000-000011000000}"/>
    <cellStyle name="Accent1 22" xfId="19" xr:uid="{00000000-0005-0000-0000-000012000000}"/>
    <cellStyle name="Accent1 23" xfId="20" xr:uid="{00000000-0005-0000-0000-000013000000}"/>
    <cellStyle name="Accent1 24" xfId="21" xr:uid="{00000000-0005-0000-0000-000014000000}"/>
    <cellStyle name="Accent1 25" xfId="22" xr:uid="{00000000-0005-0000-0000-000015000000}"/>
    <cellStyle name="Accent1 26" xfId="23" xr:uid="{00000000-0005-0000-0000-000016000000}"/>
    <cellStyle name="Accent1 27" xfId="24" xr:uid="{00000000-0005-0000-0000-000017000000}"/>
    <cellStyle name="Accent1 28" xfId="25" xr:uid="{00000000-0005-0000-0000-000018000000}"/>
    <cellStyle name="Accent1 29" xfId="26" xr:uid="{00000000-0005-0000-0000-000019000000}"/>
    <cellStyle name="Accent1 3" xfId="27" xr:uid="{00000000-0005-0000-0000-00001A000000}"/>
    <cellStyle name="Accent1 30" xfId="28" xr:uid="{00000000-0005-0000-0000-00001B000000}"/>
    <cellStyle name="Accent1 31" xfId="29" xr:uid="{00000000-0005-0000-0000-00001C000000}"/>
    <cellStyle name="Accent1 32" xfId="30" xr:uid="{00000000-0005-0000-0000-00001D000000}"/>
    <cellStyle name="Accent1 33" xfId="31" xr:uid="{00000000-0005-0000-0000-00001E000000}"/>
    <cellStyle name="Accent1 34" xfId="32" xr:uid="{00000000-0005-0000-0000-00001F000000}"/>
    <cellStyle name="Accent1 35" xfId="33" xr:uid="{00000000-0005-0000-0000-000020000000}"/>
    <cellStyle name="Accent1 36" xfId="34" xr:uid="{00000000-0005-0000-0000-000021000000}"/>
    <cellStyle name="Accent1 37" xfId="35" xr:uid="{00000000-0005-0000-0000-000022000000}"/>
    <cellStyle name="Accent1 38" xfId="36" xr:uid="{00000000-0005-0000-0000-000023000000}"/>
    <cellStyle name="Accent1 39" xfId="37" xr:uid="{00000000-0005-0000-0000-000024000000}"/>
    <cellStyle name="Accent1 4" xfId="38" xr:uid="{00000000-0005-0000-0000-000025000000}"/>
    <cellStyle name="Accent1 40" xfId="39" xr:uid="{00000000-0005-0000-0000-000026000000}"/>
    <cellStyle name="Accent1 41" xfId="40" xr:uid="{00000000-0005-0000-0000-000027000000}"/>
    <cellStyle name="Accent1 42" xfId="41" xr:uid="{00000000-0005-0000-0000-000028000000}"/>
    <cellStyle name="Accent1 43" xfId="42" xr:uid="{00000000-0005-0000-0000-000029000000}"/>
    <cellStyle name="Accent1 44" xfId="43" xr:uid="{00000000-0005-0000-0000-00002A000000}"/>
    <cellStyle name="Accent1 45" xfId="44" xr:uid="{00000000-0005-0000-0000-00002B000000}"/>
    <cellStyle name="Accent1 46" xfId="45" xr:uid="{00000000-0005-0000-0000-00002C000000}"/>
    <cellStyle name="Accent1 47" xfId="46" xr:uid="{00000000-0005-0000-0000-00002D000000}"/>
    <cellStyle name="Accent1 48" xfId="47" xr:uid="{00000000-0005-0000-0000-00002E000000}"/>
    <cellStyle name="Accent1 49" xfId="1417" xr:uid="{E82927D9-18BE-4E09-B52A-96F8B52F2A0C}"/>
    <cellStyle name="Accent1 5" xfId="48" xr:uid="{00000000-0005-0000-0000-00002F000000}"/>
    <cellStyle name="Accent1 50" xfId="1420" xr:uid="{49506218-67DF-4229-83C5-0FE7C1842D01}"/>
    <cellStyle name="Accent1 51" xfId="1461" xr:uid="{5D11F3FC-5DFF-43DD-BD4E-A205C781F842}"/>
    <cellStyle name="Accent1 52" xfId="1462" xr:uid="{2637DED1-7F1A-4308-BD3D-CD9EB0990B8D}"/>
    <cellStyle name="Accent1 53" xfId="1463" xr:uid="{37611449-0D7A-40A2-BA4B-AFF5BE84B384}"/>
    <cellStyle name="Accent1 54" xfId="1464" xr:uid="{C9C19542-CBFB-4056-B0B7-4CED678FCB72}"/>
    <cellStyle name="Accent1 55" xfId="1465" xr:uid="{16578CE0-2283-4779-BA35-856E89A365C3}"/>
    <cellStyle name="Accent1 56" xfId="1466" xr:uid="{84060F6E-E433-4A9B-90A3-1ACC8D3F2BDA}"/>
    <cellStyle name="Accent1 57" xfId="1467" xr:uid="{ECF9D9E0-E1AA-4A28-9C2C-4C9B0EC65DBE}"/>
    <cellStyle name="Accent1 58" xfId="1320" xr:uid="{B7767E7A-B915-4BD8-A931-55F29EB1D9BD}"/>
    <cellStyle name="Accent1 59" xfId="929" xr:uid="{C366A83F-76F2-469D-84C8-53D2E2BC696C}"/>
    <cellStyle name="Accent1 6" xfId="49" xr:uid="{00000000-0005-0000-0000-000030000000}"/>
    <cellStyle name="Accent1 60" xfId="1121" xr:uid="{E000654C-BBD9-4E4E-8ACF-8D757E50D61E}"/>
    <cellStyle name="Accent1 7" xfId="50" xr:uid="{00000000-0005-0000-0000-000031000000}"/>
    <cellStyle name="Accent1 8" xfId="51" xr:uid="{00000000-0005-0000-0000-000032000000}"/>
    <cellStyle name="Accent1 9" xfId="52" xr:uid="{00000000-0005-0000-0000-000033000000}"/>
    <cellStyle name="Accent2" xfId="2857" builtinId="33" customBuiltin="1"/>
    <cellStyle name="Accent2 - 20%" xfId="53" xr:uid="{00000000-0005-0000-0000-000034000000}"/>
    <cellStyle name="Accent2 - 20% 2" xfId="54" xr:uid="{00000000-0005-0000-0000-000035000000}"/>
    <cellStyle name="Accent2 - 40%" xfId="55" xr:uid="{00000000-0005-0000-0000-000036000000}"/>
    <cellStyle name="Accent2 - 40% 2" xfId="56" xr:uid="{00000000-0005-0000-0000-000037000000}"/>
    <cellStyle name="Accent2 - 60%" xfId="57" xr:uid="{00000000-0005-0000-0000-000038000000}"/>
    <cellStyle name="Accent2 10" xfId="58" xr:uid="{00000000-0005-0000-0000-000039000000}"/>
    <cellStyle name="Accent2 11" xfId="59" xr:uid="{00000000-0005-0000-0000-00003A000000}"/>
    <cellStyle name="Accent2 12" xfId="60" xr:uid="{00000000-0005-0000-0000-00003B000000}"/>
    <cellStyle name="Accent2 13" xfId="61" xr:uid="{00000000-0005-0000-0000-00003C000000}"/>
    <cellStyle name="Accent2 14" xfId="62" xr:uid="{00000000-0005-0000-0000-00003D000000}"/>
    <cellStyle name="Accent2 15" xfId="63" xr:uid="{00000000-0005-0000-0000-00003E000000}"/>
    <cellStyle name="Accent2 16" xfId="64" xr:uid="{00000000-0005-0000-0000-00003F000000}"/>
    <cellStyle name="Accent2 17" xfId="65" xr:uid="{00000000-0005-0000-0000-000040000000}"/>
    <cellStyle name="Accent2 18" xfId="66" xr:uid="{00000000-0005-0000-0000-000041000000}"/>
    <cellStyle name="Accent2 19" xfId="67" xr:uid="{00000000-0005-0000-0000-000042000000}"/>
    <cellStyle name="Accent2 2" xfId="68" xr:uid="{00000000-0005-0000-0000-000043000000}"/>
    <cellStyle name="Accent2 20" xfId="69" xr:uid="{00000000-0005-0000-0000-000044000000}"/>
    <cellStyle name="Accent2 21" xfId="70" xr:uid="{00000000-0005-0000-0000-000045000000}"/>
    <cellStyle name="Accent2 22" xfId="71" xr:uid="{00000000-0005-0000-0000-000046000000}"/>
    <cellStyle name="Accent2 23" xfId="72" xr:uid="{00000000-0005-0000-0000-000047000000}"/>
    <cellStyle name="Accent2 24" xfId="73" xr:uid="{00000000-0005-0000-0000-000048000000}"/>
    <cellStyle name="Accent2 25" xfId="74" xr:uid="{00000000-0005-0000-0000-000049000000}"/>
    <cellStyle name="Accent2 26" xfId="75" xr:uid="{00000000-0005-0000-0000-00004A000000}"/>
    <cellStyle name="Accent2 27" xfId="76" xr:uid="{00000000-0005-0000-0000-00004B000000}"/>
    <cellStyle name="Accent2 28" xfId="77" xr:uid="{00000000-0005-0000-0000-00004C000000}"/>
    <cellStyle name="Accent2 29" xfId="78" xr:uid="{00000000-0005-0000-0000-00004D000000}"/>
    <cellStyle name="Accent2 3" xfId="79" xr:uid="{00000000-0005-0000-0000-00004E000000}"/>
    <cellStyle name="Accent2 30" xfId="80" xr:uid="{00000000-0005-0000-0000-00004F000000}"/>
    <cellStyle name="Accent2 31" xfId="81" xr:uid="{00000000-0005-0000-0000-000050000000}"/>
    <cellStyle name="Accent2 32" xfId="82" xr:uid="{00000000-0005-0000-0000-000051000000}"/>
    <cellStyle name="Accent2 33" xfId="83" xr:uid="{00000000-0005-0000-0000-000052000000}"/>
    <cellStyle name="Accent2 34" xfId="84" xr:uid="{00000000-0005-0000-0000-000053000000}"/>
    <cellStyle name="Accent2 35" xfId="85" xr:uid="{00000000-0005-0000-0000-000054000000}"/>
    <cellStyle name="Accent2 36" xfId="86" xr:uid="{00000000-0005-0000-0000-000055000000}"/>
    <cellStyle name="Accent2 37" xfId="87" xr:uid="{00000000-0005-0000-0000-000056000000}"/>
    <cellStyle name="Accent2 38" xfId="88" xr:uid="{00000000-0005-0000-0000-000057000000}"/>
    <cellStyle name="Accent2 39" xfId="89" xr:uid="{00000000-0005-0000-0000-000058000000}"/>
    <cellStyle name="Accent2 4" xfId="90" xr:uid="{00000000-0005-0000-0000-000059000000}"/>
    <cellStyle name="Accent2 40" xfId="91" xr:uid="{00000000-0005-0000-0000-00005A000000}"/>
    <cellStyle name="Accent2 41" xfId="92" xr:uid="{00000000-0005-0000-0000-00005B000000}"/>
    <cellStyle name="Accent2 42" xfId="93" xr:uid="{00000000-0005-0000-0000-00005C000000}"/>
    <cellStyle name="Accent2 43" xfId="94" xr:uid="{00000000-0005-0000-0000-00005D000000}"/>
    <cellStyle name="Accent2 44" xfId="95" xr:uid="{00000000-0005-0000-0000-00005E000000}"/>
    <cellStyle name="Accent2 45" xfId="96" xr:uid="{00000000-0005-0000-0000-00005F000000}"/>
    <cellStyle name="Accent2 46" xfId="97" xr:uid="{00000000-0005-0000-0000-000060000000}"/>
    <cellStyle name="Accent2 47" xfId="98" xr:uid="{00000000-0005-0000-0000-000061000000}"/>
    <cellStyle name="Accent2 48" xfId="99" xr:uid="{00000000-0005-0000-0000-000062000000}"/>
    <cellStyle name="Accent2 49" xfId="1357" xr:uid="{2C65E044-C68C-4902-96B2-8D6A16F914C6}"/>
    <cellStyle name="Accent2 5" xfId="100" xr:uid="{00000000-0005-0000-0000-000063000000}"/>
    <cellStyle name="Accent2 50" xfId="1424" xr:uid="{2CF17213-A3D5-483C-8C58-12DA1F138DE8}"/>
    <cellStyle name="Accent2 51" xfId="1457" xr:uid="{F05E297F-297C-4EB7-9CF0-F0CC9A59AFE8}"/>
    <cellStyle name="Accent2 52" xfId="1423" xr:uid="{DA028C97-959B-4CA4-B277-4D3D4D9C1F40}"/>
    <cellStyle name="Accent2 53" xfId="1458" xr:uid="{FB2B754A-E1F8-4E5F-BD4B-80AA7A47A7D8}"/>
    <cellStyle name="Accent2 54" xfId="1422" xr:uid="{8A4ED8E2-CE13-4C33-B47A-98E9FAFBE569}"/>
    <cellStyle name="Accent2 55" xfId="1459" xr:uid="{9C224EAB-8990-44FA-94AC-D83C2BBA3D29}"/>
    <cellStyle name="Accent2 56" xfId="1421" xr:uid="{6AF3183B-46F4-42E3-9B0F-C0CB7CB3D439}"/>
    <cellStyle name="Accent2 57" xfId="1460" xr:uid="{A2A86F57-0AED-40A4-BC23-A90B09D94EE2}"/>
    <cellStyle name="Accent2 58" xfId="1471" xr:uid="{0490DED3-8DD7-4A50-A55E-A9F887A033B0}"/>
    <cellStyle name="Accent2 59" xfId="1248" xr:uid="{991F5412-ED53-4106-A78B-73EE62F564BF}"/>
    <cellStyle name="Accent2 6" xfId="101" xr:uid="{00000000-0005-0000-0000-000064000000}"/>
    <cellStyle name="Accent2 60" xfId="1468" xr:uid="{3A7EA635-522D-426E-A55B-1DAEB9675C51}"/>
    <cellStyle name="Accent2 7" xfId="102" xr:uid="{00000000-0005-0000-0000-000065000000}"/>
    <cellStyle name="Accent2 8" xfId="103" xr:uid="{00000000-0005-0000-0000-000066000000}"/>
    <cellStyle name="Accent2 9" xfId="104" xr:uid="{00000000-0005-0000-0000-000067000000}"/>
    <cellStyle name="Accent3" xfId="2858" builtinId="37" customBuiltin="1"/>
    <cellStyle name="Accent3 - 20%" xfId="105" xr:uid="{00000000-0005-0000-0000-000068000000}"/>
    <cellStyle name="Accent3 - 20% 2" xfId="106" xr:uid="{00000000-0005-0000-0000-000069000000}"/>
    <cellStyle name="Accent3 - 40%" xfId="107" xr:uid="{00000000-0005-0000-0000-00006A000000}"/>
    <cellStyle name="Accent3 - 40% 2" xfId="108" xr:uid="{00000000-0005-0000-0000-00006B000000}"/>
    <cellStyle name="Accent3 - 60%" xfId="109" xr:uid="{00000000-0005-0000-0000-00006C000000}"/>
    <cellStyle name="Accent3 10" xfId="110" xr:uid="{00000000-0005-0000-0000-00006D000000}"/>
    <cellStyle name="Accent3 11" xfId="111" xr:uid="{00000000-0005-0000-0000-00006E000000}"/>
    <cellStyle name="Accent3 12" xfId="112" xr:uid="{00000000-0005-0000-0000-00006F000000}"/>
    <cellStyle name="Accent3 13" xfId="113" xr:uid="{00000000-0005-0000-0000-000070000000}"/>
    <cellStyle name="Accent3 14" xfId="114" xr:uid="{00000000-0005-0000-0000-000071000000}"/>
    <cellStyle name="Accent3 15" xfId="115" xr:uid="{00000000-0005-0000-0000-000072000000}"/>
    <cellStyle name="Accent3 16" xfId="116" xr:uid="{00000000-0005-0000-0000-000073000000}"/>
    <cellStyle name="Accent3 17" xfId="117" xr:uid="{00000000-0005-0000-0000-000074000000}"/>
    <cellStyle name="Accent3 18" xfId="118" xr:uid="{00000000-0005-0000-0000-000075000000}"/>
    <cellStyle name="Accent3 19" xfId="119" xr:uid="{00000000-0005-0000-0000-000076000000}"/>
    <cellStyle name="Accent3 2" xfId="120" xr:uid="{00000000-0005-0000-0000-000077000000}"/>
    <cellStyle name="Accent3 20" xfId="121" xr:uid="{00000000-0005-0000-0000-000078000000}"/>
    <cellStyle name="Accent3 21" xfId="122" xr:uid="{00000000-0005-0000-0000-000079000000}"/>
    <cellStyle name="Accent3 22" xfId="123" xr:uid="{00000000-0005-0000-0000-00007A000000}"/>
    <cellStyle name="Accent3 23" xfId="124" xr:uid="{00000000-0005-0000-0000-00007B000000}"/>
    <cellStyle name="Accent3 24" xfId="125" xr:uid="{00000000-0005-0000-0000-00007C000000}"/>
    <cellStyle name="Accent3 25" xfId="126" xr:uid="{00000000-0005-0000-0000-00007D000000}"/>
    <cellStyle name="Accent3 26" xfId="127" xr:uid="{00000000-0005-0000-0000-00007E000000}"/>
    <cellStyle name="Accent3 27" xfId="128" xr:uid="{00000000-0005-0000-0000-00007F000000}"/>
    <cellStyle name="Accent3 28" xfId="129" xr:uid="{00000000-0005-0000-0000-000080000000}"/>
    <cellStyle name="Accent3 29" xfId="130" xr:uid="{00000000-0005-0000-0000-000081000000}"/>
    <cellStyle name="Accent3 3" xfId="131" xr:uid="{00000000-0005-0000-0000-000082000000}"/>
    <cellStyle name="Accent3 30" xfId="132" xr:uid="{00000000-0005-0000-0000-000083000000}"/>
    <cellStyle name="Accent3 31" xfId="133" xr:uid="{00000000-0005-0000-0000-000084000000}"/>
    <cellStyle name="Accent3 32" xfId="134" xr:uid="{00000000-0005-0000-0000-000085000000}"/>
    <cellStyle name="Accent3 33" xfId="135" xr:uid="{00000000-0005-0000-0000-000086000000}"/>
    <cellStyle name="Accent3 34" xfId="136" xr:uid="{00000000-0005-0000-0000-000087000000}"/>
    <cellStyle name="Accent3 35" xfId="137" xr:uid="{00000000-0005-0000-0000-000088000000}"/>
    <cellStyle name="Accent3 36" xfId="138" xr:uid="{00000000-0005-0000-0000-000089000000}"/>
    <cellStyle name="Accent3 37" xfId="139" xr:uid="{00000000-0005-0000-0000-00008A000000}"/>
    <cellStyle name="Accent3 38" xfId="140" xr:uid="{00000000-0005-0000-0000-00008B000000}"/>
    <cellStyle name="Accent3 39" xfId="141" xr:uid="{00000000-0005-0000-0000-00008C000000}"/>
    <cellStyle name="Accent3 4" xfId="142" xr:uid="{00000000-0005-0000-0000-00008D000000}"/>
    <cellStyle name="Accent3 40" xfId="143" xr:uid="{00000000-0005-0000-0000-00008E000000}"/>
    <cellStyle name="Accent3 41" xfId="144" xr:uid="{00000000-0005-0000-0000-00008F000000}"/>
    <cellStyle name="Accent3 42" xfId="145" xr:uid="{00000000-0005-0000-0000-000090000000}"/>
    <cellStyle name="Accent3 43" xfId="146" xr:uid="{00000000-0005-0000-0000-000091000000}"/>
    <cellStyle name="Accent3 44" xfId="147" xr:uid="{00000000-0005-0000-0000-000092000000}"/>
    <cellStyle name="Accent3 45" xfId="148" xr:uid="{00000000-0005-0000-0000-000093000000}"/>
    <cellStyle name="Accent3 46" xfId="149" xr:uid="{00000000-0005-0000-0000-000094000000}"/>
    <cellStyle name="Accent3 47" xfId="150" xr:uid="{00000000-0005-0000-0000-000095000000}"/>
    <cellStyle name="Accent3 48" xfId="151" xr:uid="{00000000-0005-0000-0000-000096000000}"/>
    <cellStyle name="Accent3 49" xfId="1282" xr:uid="{88E59995-7B4D-4805-9761-C6BA834093CA}"/>
    <cellStyle name="Accent3 5" xfId="152" xr:uid="{00000000-0005-0000-0000-000097000000}"/>
    <cellStyle name="Accent3 50" xfId="1431" xr:uid="{51218EE8-3EFD-4862-87E9-B2BE64A11F8A}"/>
    <cellStyle name="Accent3 51" xfId="1452" xr:uid="{FC739CE9-CC49-4809-B098-D88315693284}"/>
    <cellStyle name="Accent3 52" xfId="1427" xr:uid="{3A07C798-74F5-4C9B-B13B-6D181C52AD67}"/>
    <cellStyle name="Accent3 53" xfId="1453" xr:uid="{04A19154-DF2C-46A1-BAAB-56944FEB5FB9}"/>
    <cellStyle name="Accent3 54" xfId="1426" xr:uid="{7431B9C6-12FE-4705-A5DA-54868314E349}"/>
    <cellStyle name="Accent3 55" xfId="1455" xr:uid="{EDF7B2C2-30E3-4881-8A7C-3958D3F41FDA}"/>
    <cellStyle name="Accent3 56" xfId="1425" xr:uid="{7B7E74C3-5ADE-4F51-946C-BDC438E96B20}"/>
    <cellStyle name="Accent3 57" xfId="1456" xr:uid="{F01A5F3B-2467-4F0F-91ED-C7FF090C6B29}"/>
    <cellStyle name="Accent3 58" xfId="928" xr:uid="{679BDC06-5485-4A10-81CC-5BEAB524F760}"/>
    <cellStyle name="Accent3 59" xfId="1470" xr:uid="{A3D6EA67-F79A-44AC-A5A5-470C40082326}"/>
    <cellStyle name="Accent3 6" xfId="153" xr:uid="{00000000-0005-0000-0000-000098000000}"/>
    <cellStyle name="Accent3 60" xfId="1070" xr:uid="{98BA130E-A15F-4797-82E1-27A9B7678092}"/>
    <cellStyle name="Accent3 7" xfId="154" xr:uid="{00000000-0005-0000-0000-000099000000}"/>
    <cellStyle name="Accent3 8" xfId="155" xr:uid="{00000000-0005-0000-0000-00009A000000}"/>
    <cellStyle name="Accent3 9" xfId="156" xr:uid="{00000000-0005-0000-0000-00009B000000}"/>
    <cellStyle name="Accent4" xfId="2859" builtinId="41" customBuiltin="1"/>
    <cellStyle name="Accent4 - 20%" xfId="157" xr:uid="{00000000-0005-0000-0000-00009C000000}"/>
    <cellStyle name="Accent4 - 20% 2" xfId="158" xr:uid="{00000000-0005-0000-0000-00009D000000}"/>
    <cellStyle name="Accent4 - 40%" xfId="159" xr:uid="{00000000-0005-0000-0000-00009E000000}"/>
    <cellStyle name="Accent4 - 40% 2" xfId="160" xr:uid="{00000000-0005-0000-0000-00009F000000}"/>
    <cellStyle name="Accent4 - 60%" xfId="161" xr:uid="{00000000-0005-0000-0000-0000A0000000}"/>
    <cellStyle name="Accent4 10" xfId="162" xr:uid="{00000000-0005-0000-0000-0000A1000000}"/>
    <cellStyle name="Accent4 11" xfId="163" xr:uid="{00000000-0005-0000-0000-0000A2000000}"/>
    <cellStyle name="Accent4 12" xfId="164" xr:uid="{00000000-0005-0000-0000-0000A3000000}"/>
    <cellStyle name="Accent4 13" xfId="165" xr:uid="{00000000-0005-0000-0000-0000A4000000}"/>
    <cellStyle name="Accent4 14" xfId="166" xr:uid="{00000000-0005-0000-0000-0000A5000000}"/>
    <cellStyle name="Accent4 15" xfId="167" xr:uid="{00000000-0005-0000-0000-0000A6000000}"/>
    <cellStyle name="Accent4 16" xfId="168" xr:uid="{00000000-0005-0000-0000-0000A7000000}"/>
    <cellStyle name="Accent4 17" xfId="169" xr:uid="{00000000-0005-0000-0000-0000A8000000}"/>
    <cellStyle name="Accent4 18" xfId="170" xr:uid="{00000000-0005-0000-0000-0000A9000000}"/>
    <cellStyle name="Accent4 19" xfId="171" xr:uid="{00000000-0005-0000-0000-0000AA000000}"/>
    <cellStyle name="Accent4 2" xfId="172" xr:uid="{00000000-0005-0000-0000-0000AB000000}"/>
    <cellStyle name="Accent4 20" xfId="173" xr:uid="{00000000-0005-0000-0000-0000AC000000}"/>
    <cellStyle name="Accent4 21" xfId="174" xr:uid="{00000000-0005-0000-0000-0000AD000000}"/>
    <cellStyle name="Accent4 22" xfId="175" xr:uid="{00000000-0005-0000-0000-0000AE000000}"/>
    <cellStyle name="Accent4 23" xfId="176" xr:uid="{00000000-0005-0000-0000-0000AF000000}"/>
    <cellStyle name="Accent4 24" xfId="177" xr:uid="{00000000-0005-0000-0000-0000B0000000}"/>
    <cellStyle name="Accent4 25" xfId="178" xr:uid="{00000000-0005-0000-0000-0000B1000000}"/>
    <cellStyle name="Accent4 26" xfId="179" xr:uid="{00000000-0005-0000-0000-0000B2000000}"/>
    <cellStyle name="Accent4 27" xfId="180" xr:uid="{00000000-0005-0000-0000-0000B3000000}"/>
    <cellStyle name="Accent4 28" xfId="181" xr:uid="{00000000-0005-0000-0000-0000B4000000}"/>
    <cellStyle name="Accent4 29" xfId="182" xr:uid="{00000000-0005-0000-0000-0000B5000000}"/>
    <cellStyle name="Accent4 3" xfId="183" xr:uid="{00000000-0005-0000-0000-0000B6000000}"/>
    <cellStyle name="Accent4 30" xfId="184" xr:uid="{00000000-0005-0000-0000-0000B7000000}"/>
    <cellStyle name="Accent4 31" xfId="185" xr:uid="{00000000-0005-0000-0000-0000B8000000}"/>
    <cellStyle name="Accent4 32" xfId="186" xr:uid="{00000000-0005-0000-0000-0000B9000000}"/>
    <cellStyle name="Accent4 33" xfId="187" xr:uid="{00000000-0005-0000-0000-0000BA000000}"/>
    <cellStyle name="Accent4 34" xfId="188" xr:uid="{00000000-0005-0000-0000-0000BB000000}"/>
    <cellStyle name="Accent4 35" xfId="189" xr:uid="{00000000-0005-0000-0000-0000BC000000}"/>
    <cellStyle name="Accent4 36" xfId="190" xr:uid="{00000000-0005-0000-0000-0000BD000000}"/>
    <cellStyle name="Accent4 37" xfId="191" xr:uid="{00000000-0005-0000-0000-0000BE000000}"/>
    <cellStyle name="Accent4 38" xfId="192" xr:uid="{00000000-0005-0000-0000-0000BF000000}"/>
    <cellStyle name="Accent4 39" xfId="193" xr:uid="{00000000-0005-0000-0000-0000C0000000}"/>
    <cellStyle name="Accent4 4" xfId="194" xr:uid="{00000000-0005-0000-0000-0000C1000000}"/>
    <cellStyle name="Accent4 40" xfId="195" xr:uid="{00000000-0005-0000-0000-0000C2000000}"/>
    <cellStyle name="Accent4 41" xfId="196" xr:uid="{00000000-0005-0000-0000-0000C3000000}"/>
    <cellStyle name="Accent4 42" xfId="197" xr:uid="{00000000-0005-0000-0000-0000C4000000}"/>
    <cellStyle name="Accent4 43" xfId="198" xr:uid="{00000000-0005-0000-0000-0000C5000000}"/>
    <cellStyle name="Accent4 44" xfId="199" xr:uid="{00000000-0005-0000-0000-0000C6000000}"/>
    <cellStyle name="Accent4 45" xfId="200" xr:uid="{00000000-0005-0000-0000-0000C7000000}"/>
    <cellStyle name="Accent4 46" xfId="201" xr:uid="{00000000-0005-0000-0000-0000C8000000}"/>
    <cellStyle name="Accent4 47" xfId="202" xr:uid="{00000000-0005-0000-0000-0000C9000000}"/>
    <cellStyle name="Accent4 48" xfId="203" xr:uid="{00000000-0005-0000-0000-0000CA000000}"/>
    <cellStyle name="Accent4 49" xfId="1183" xr:uid="{EEE6636C-6628-496B-AF6C-10149977FFC6}"/>
    <cellStyle name="Accent4 5" xfId="204" xr:uid="{00000000-0005-0000-0000-0000CB000000}"/>
    <cellStyle name="Accent4 50" xfId="1436" xr:uid="{8F41FBDF-4311-4FD7-9E2E-8AF4C5F78329}"/>
    <cellStyle name="Accent4 51" xfId="1445" xr:uid="{73F44FA5-FFB3-444B-82E7-B2442A6F7BFC}"/>
    <cellStyle name="Accent4 52" xfId="1435" xr:uid="{FB3ECEDE-FA31-42A2-BAD6-5CCC14A4DE69}"/>
    <cellStyle name="Accent4 53" xfId="1446" xr:uid="{0E584954-909A-4BEF-A7B7-027BB2C2A238}"/>
    <cellStyle name="Accent4 54" xfId="1433" xr:uid="{20C1605D-BA15-4D65-A900-B6E394215F67}"/>
    <cellStyle name="Accent4 55" xfId="1447" xr:uid="{A1EE222F-4F8E-487C-9169-001194EBCA76}"/>
    <cellStyle name="Accent4 56" xfId="1434" xr:uid="{54AA6121-C717-499A-907B-57731569865C}"/>
    <cellStyle name="Accent4 57" xfId="1448" xr:uid="{2FFACAD4-B1EA-4EF8-8BB4-AEDD51D8C4E8}"/>
    <cellStyle name="Accent4 58" xfId="1247" xr:uid="{D3C68AEE-472B-42E5-9CE1-58635F0D438D}"/>
    <cellStyle name="Accent4 59" xfId="1249" xr:uid="{21F10ABA-818C-4FF8-B262-7EA583FE093F}"/>
    <cellStyle name="Accent4 6" xfId="205" xr:uid="{00000000-0005-0000-0000-0000CC000000}"/>
    <cellStyle name="Accent4 60" xfId="1238" xr:uid="{316FA362-DBA9-4F26-AE77-164B33BF9ADD}"/>
    <cellStyle name="Accent4 7" xfId="206" xr:uid="{00000000-0005-0000-0000-0000CD000000}"/>
    <cellStyle name="Accent4 8" xfId="207" xr:uid="{00000000-0005-0000-0000-0000CE000000}"/>
    <cellStyle name="Accent4 9" xfId="208" xr:uid="{00000000-0005-0000-0000-0000CF000000}"/>
    <cellStyle name="Accent5" xfId="2860" builtinId="45" customBuiltin="1"/>
    <cellStyle name="Accent5 - 20%" xfId="209" xr:uid="{00000000-0005-0000-0000-0000D0000000}"/>
    <cellStyle name="Accent5 - 20% 2" xfId="210" xr:uid="{00000000-0005-0000-0000-0000D1000000}"/>
    <cellStyle name="Accent5 - 40%" xfId="211" xr:uid="{00000000-0005-0000-0000-0000D2000000}"/>
    <cellStyle name="Accent5 - 40% 2" xfId="212" xr:uid="{00000000-0005-0000-0000-0000D3000000}"/>
    <cellStyle name="Accent5 - 60%" xfId="213" xr:uid="{00000000-0005-0000-0000-0000D4000000}"/>
    <cellStyle name="Accent5 10" xfId="214" xr:uid="{00000000-0005-0000-0000-0000D5000000}"/>
    <cellStyle name="Accent5 11" xfId="215" xr:uid="{00000000-0005-0000-0000-0000D6000000}"/>
    <cellStyle name="Accent5 12" xfId="216" xr:uid="{00000000-0005-0000-0000-0000D7000000}"/>
    <cellStyle name="Accent5 13" xfId="217" xr:uid="{00000000-0005-0000-0000-0000D8000000}"/>
    <cellStyle name="Accent5 14" xfId="218" xr:uid="{00000000-0005-0000-0000-0000D9000000}"/>
    <cellStyle name="Accent5 15" xfId="219" xr:uid="{00000000-0005-0000-0000-0000DA000000}"/>
    <cellStyle name="Accent5 16" xfId="220" xr:uid="{00000000-0005-0000-0000-0000DB000000}"/>
    <cellStyle name="Accent5 17" xfId="221" xr:uid="{00000000-0005-0000-0000-0000DC000000}"/>
    <cellStyle name="Accent5 18" xfId="222" xr:uid="{00000000-0005-0000-0000-0000DD000000}"/>
    <cellStyle name="Accent5 19" xfId="223" xr:uid="{00000000-0005-0000-0000-0000DE000000}"/>
    <cellStyle name="Accent5 2" xfId="224" xr:uid="{00000000-0005-0000-0000-0000DF000000}"/>
    <cellStyle name="Accent5 20" xfId="225" xr:uid="{00000000-0005-0000-0000-0000E0000000}"/>
    <cellStyle name="Accent5 21" xfId="226" xr:uid="{00000000-0005-0000-0000-0000E1000000}"/>
    <cellStyle name="Accent5 22" xfId="227" xr:uid="{00000000-0005-0000-0000-0000E2000000}"/>
    <cellStyle name="Accent5 23" xfId="228" xr:uid="{00000000-0005-0000-0000-0000E3000000}"/>
    <cellStyle name="Accent5 24" xfId="229" xr:uid="{00000000-0005-0000-0000-0000E4000000}"/>
    <cellStyle name="Accent5 25" xfId="230" xr:uid="{00000000-0005-0000-0000-0000E5000000}"/>
    <cellStyle name="Accent5 26" xfId="231" xr:uid="{00000000-0005-0000-0000-0000E6000000}"/>
    <cellStyle name="Accent5 27" xfId="232" xr:uid="{00000000-0005-0000-0000-0000E7000000}"/>
    <cellStyle name="Accent5 28" xfId="233" xr:uid="{00000000-0005-0000-0000-0000E8000000}"/>
    <cellStyle name="Accent5 29" xfId="234" xr:uid="{00000000-0005-0000-0000-0000E9000000}"/>
    <cellStyle name="Accent5 3" xfId="235" xr:uid="{00000000-0005-0000-0000-0000EA000000}"/>
    <cellStyle name="Accent5 30" xfId="236" xr:uid="{00000000-0005-0000-0000-0000EB000000}"/>
    <cellStyle name="Accent5 31" xfId="237" xr:uid="{00000000-0005-0000-0000-0000EC000000}"/>
    <cellStyle name="Accent5 32" xfId="238" xr:uid="{00000000-0005-0000-0000-0000ED000000}"/>
    <cellStyle name="Accent5 33" xfId="239" xr:uid="{00000000-0005-0000-0000-0000EE000000}"/>
    <cellStyle name="Accent5 34" xfId="240" xr:uid="{00000000-0005-0000-0000-0000EF000000}"/>
    <cellStyle name="Accent5 35" xfId="241" xr:uid="{00000000-0005-0000-0000-0000F0000000}"/>
    <cellStyle name="Accent5 36" xfId="242" xr:uid="{00000000-0005-0000-0000-0000F1000000}"/>
    <cellStyle name="Accent5 37" xfId="243" xr:uid="{00000000-0005-0000-0000-0000F2000000}"/>
    <cellStyle name="Accent5 38" xfId="244" xr:uid="{00000000-0005-0000-0000-0000F3000000}"/>
    <cellStyle name="Accent5 39" xfId="245" xr:uid="{00000000-0005-0000-0000-0000F4000000}"/>
    <cellStyle name="Accent5 4" xfId="246" xr:uid="{00000000-0005-0000-0000-0000F5000000}"/>
    <cellStyle name="Accent5 40" xfId="247" xr:uid="{00000000-0005-0000-0000-0000F6000000}"/>
    <cellStyle name="Accent5 41" xfId="248" xr:uid="{00000000-0005-0000-0000-0000F7000000}"/>
    <cellStyle name="Accent5 42" xfId="249" xr:uid="{00000000-0005-0000-0000-0000F8000000}"/>
    <cellStyle name="Accent5 43" xfId="250" xr:uid="{00000000-0005-0000-0000-0000F9000000}"/>
    <cellStyle name="Accent5 44" xfId="251" xr:uid="{00000000-0005-0000-0000-0000FA000000}"/>
    <cellStyle name="Accent5 45" xfId="252" xr:uid="{00000000-0005-0000-0000-0000FB000000}"/>
    <cellStyle name="Accent5 46" xfId="253" xr:uid="{00000000-0005-0000-0000-0000FC000000}"/>
    <cellStyle name="Accent5 47" xfId="254" xr:uid="{00000000-0005-0000-0000-0000FD000000}"/>
    <cellStyle name="Accent5 48" xfId="255" xr:uid="{00000000-0005-0000-0000-0000FE000000}"/>
    <cellStyle name="Accent5 49" xfId="1123" xr:uid="{18362447-355B-413C-96AF-D8B2D8A3B517}"/>
    <cellStyle name="Accent5 5" xfId="256" xr:uid="{00000000-0005-0000-0000-0000FF000000}"/>
    <cellStyle name="Accent5 50" xfId="1443" xr:uid="{ED9A4A8F-4082-4723-8356-0538C1FE4F85}"/>
    <cellStyle name="Accent5 51" xfId="1439" xr:uid="{7DA338CE-8508-41F7-9653-A966FF045C5F}"/>
    <cellStyle name="Accent5 52" xfId="1441" xr:uid="{5C5B5A66-D5E2-44A3-8A0D-23A0DCBDFB19}"/>
    <cellStyle name="Accent5 53" xfId="1438" xr:uid="{71862E98-44FB-41B0-9C9D-39FD40C4B8B7}"/>
    <cellStyle name="Accent5 54" xfId="1442" xr:uid="{A8A826D6-1BEA-4FFD-8CAA-B9BC57834E1A}"/>
    <cellStyle name="Accent5 55" xfId="1437" xr:uid="{FC2CB021-6251-4DF1-AC8A-11F27011051D}"/>
    <cellStyle name="Accent5 56" xfId="1444" xr:uid="{A6C8AB4C-7BD1-458C-85DF-6AD479E8FA5D}"/>
    <cellStyle name="Accent5 57" xfId="1440" xr:uid="{932868C1-ECD0-494F-BD5D-07CAC7E442E7}"/>
    <cellStyle name="Accent5 58" xfId="1366" xr:uid="{68644DAE-B6CA-4118-964E-5A80466F708E}"/>
    <cellStyle name="Accent5 59" xfId="1469" xr:uid="{3238A214-CDE0-47EE-A280-F041D577603F}"/>
    <cellStyle name="Accent5 6" xfId="257" xr:uid="{00000000-0005-0000-0000-000000010000}"/>
    <cellStyle name="Accent5 60" xfId="1250" xr:uid="{D714F42E-7692-4AB0-A613-1CE33E15DA32}"/>
    <cellStyle name="Accent5 7" xfId="258" xr:uid="{00000000-0005-0000-0000-000001010000}"/>
    <cellStyle name="Accent5 8" xfId="259" xr:uid="{00000000-0005-0000-0000-000002010000}"/>
    <cellStyle name="Accent5 9" xfId="260" xr:uid="{00000000-0005-0000-0000-000003010000}"/>
    <cellStyle name="Accent6" xfId="2861" builtinId="49" customBuiltin="1"/>
    <cellStyle name="Accent6 - 20%" xfId="261" xr:uid="{00000000-0005-0000-0000-000004010000}"/>
    <cellStyle name="Accent6 - 20% 2" xfId="262" xr:uid="{00000000-0005-0000-0000-000005010000}"/>
    <cellStyle name="Accent6 - 40%" xfId="263" xr:uid="{00000000-0005-0000-0000-000006010000}"/>
    <cellStyle name="Accent6 - 40% 2" xfId="264" xr:uid="{00000000-0005-0000-0000-000007010000}"/>
    <cellStyle name="Accent6 - 60%" xfId="265" xr:uid="{00000000-0005-0000-0000-000008010000}"/>
    <cellStyle name="Accent6 10" xfId="266" xr:uid="{00000000-0005-0000-0000-000009010000}"/>
    <cellStyle name="Accent6 11" xfId="267" xr:uid="{00000000-0005-0000-0000-00000A010000}"/>
    <cellStyle name="Accent6 12" xfId="268" xr:uid="{00000000-0005-0000-0000-00000B010000}"/>
    <cellStyle name="Accent6 13" xfId="269" xr:uid="{00000000-0005-0000-0000-00000C010000}"/>
    <cellStyle name="Accent6 14" xfId="270" xr:uid="{00000000-0005-0000-0000-00000D010000}"/>
    <cellStyle name="Accent6 15" xfId="271" xr:uid="{00000000-0005-0000-0000-00000E010000}"/>
    <cellStyle name="Accent6 16" xfId="272" xr:uid="{00000000-0005-0000-0000-00000F010000}"/>
    <cellStyle name="Accent6 17" xfId="273" xr:uid="{00000000-0005-0000-0000-000010010000}"/>
    <cellStyle name="Accent6 18" xfId="274" xr:uid="{00000000-0005-0000-0000-000011010000}"/>
    <cellStyle name="Accent6 19" xfId="275" xr:uid="{00000000-0005-0000-0000-000012010000}"/>
    <cellStyle name="Accent6 2" xfId="276" xr:uid="{00000000-0005-0000-0000-000013010000}"/>
    <cellStyle name="Accent6 20" xfId="277" xr:uid="{00000000-0005-0000-0000-000014010000}"/>
    <cellStyle name="Accent6 21" xfId="278" xr:uid="{00000000-0005-0000-0000-000015010000}"/>
    <cellStyle name="Accent6 22" xfId="279" xr:uid="{00000000-0005-0000-0000-000016010000}"/>
    <cellStyle name="Accent6 23" xfId="280" xr:uid="{00000000-0005-0000-0000-000017010000}"/>
    <cellStyle name="Accent6 24" xfId="281" xr:uid="{00000000-0005-0000-0000-000018010000}"/>
    <cellStyle name="Accent6 25" xfId="282" xr:uid="{00000000-0005-0000-0000-000019010000}"/>
    <cellStyle name="Accent6 26" xfId="283" xr:uid="{00000000-0005-0000-0000-00001A010000}"/>
    <cellStyle name="Accent6 27" xfId="284" xr:uid="{00000000-0005-0000-0000-00001B010000}"/>
    <cellStyle name="Accent6 28" xfId="285" xr:uid="{00000000-0005-0000-0000-00001C010000}"/>
    <cellStyle name="Accent6 29" xfId="286" xr:uid="{00000000-0005-0000-0000-00001D010000}"/>
    <cellStyle name="Accent6 3" xfId="287" xr:uid="{00000000-0005-0000-0000-00001E010000}"/>
    <cellStyle name="Accent6 30" xfId="288" xr:uid="{00000000-0005-0000-0000-00001F010000}"/>
    <cellStyle name="Accent6 31" xfId="289" xr:uid="{00000000-0005-0000-0000-000020010000}"/>
    <cellStyle name="Accent6 32" xfId="290" xr:uid="{00000000-0005-0000-0000-000021010000}"/>
    <cellStyle name="Accent6 33" xfId="291" xr:uid="{00000000-0005-0000-0000-000022010000}"/>
    <cellStyle name="Accent6 34" xfId="292" xr:uid="{00000000-0005-0000-0000-000023010000}"/>
    <cellStyle name="Accent6 35" xfId="293" xr:uid="{00000000-0005-0000-0000-000024010000}"/>
    <cellStyle name="Accent6 36" xfId="294" xr:uid="{00000000-0005-0000-0000-000025010000}"/>
    <cellStyle name="Accent6 37" xfId="295" xr:uid="{00000000-0005-0000-0000-000026010000}"/>
    <cellStyle name="Accent6 38" xfId="296" xr:uid="{00000000-0005-0000-0000-000027010000}"/>
    <cellStyle name="Accent6 39" xfId="297" xr:uid="{00000000-0005-0000-0000-000028010000}"/>
    <cellStyle name="Accent6 4" xfId="298" xr:uid="{00000000-0005-0000-0000-000029010000}"/>
    <cellStyle name="Accent6 40" xfId="299" xr:uid="{00000000-0005-0000-0000-00002A010000}"/>
    <cellStyle name="Accent6 41" xfId="300" xr:uid="{00000000-0005-0000-0000-00002B010000}"/>
    <cellStyle name="Accent6 42" xfId="301" xr:uid="{00000000-0005-0000-0000-00002C010000}"/>
    <cellStyle name="Accent6 43" xfId="302" xr:uid="{00000000-0005-0000-0000-00002D010000}"/>
    <cellStyle name="Accent6 44" xfId="303" xr:uid="{00000000-0005-0000-0000-00002E010000}"/>
    <cellStyle name="Accent6 45" xfId="304" xr:uid="{00000000-0005-0000-0000-00002F010000}"/>
    <cellStyle name="Accent6 46" xfId="305" xr:uid="{00000000-0005-0000-0000-000030010000}"/>
    <cellStyle name="Accent6 47" xfId="306" xr:uid="{00000000-0005-0000-0000-000031010000}"/>
    <cellStyle name="Accent6 48" xfId="307" xr:uid="{00000000-0005-0000-0000-000032010000}"/>
    <cellStyle name="Accent6 49" xfId="1122" xr:uid="{C3DC3AC1-3D08-4F57-86CF-C25521A2814E}"/>
    <cellStyle name="Accent6 5" xfId="308" xr:uid="{00000000-0005-0000-0000-000033010000}"/>
    <cellStyle name="Accent6 50" xfId="1449" xr:uid="{4D68DF53-5D8C-43D0-A534-51BFC513CA58}"/>
    <cellStyle name="Accent6 51" xfId="1432" xr:uid="{952BDB3F-0AB5-4B85-AFE2-1C6A7282E85F}"/>
    <cellStyle name="Accent6 52" xfId="1450" xr:uid="{0C914E9E-EEC5-4527-A033-B6BBC881158E}"/>
    <cellStyle name="Accent6 53" xfId="1430" xr:uid="{B053C431-CC59-42EE-96FB-4C16290615BF}"/>
    <cellStyle name="Accent6 54" xfId="1451" xr:uid="{87553F44-F30D-4866-B86E-DBB3D99D445E}"/>
    <cellStyle name="Accent6 55" xfId="1429" xr:uid="{A6EF3424-C5A2-45CA-AB83-A673C9AFF1BB}"/>
    <cellStyle name="Accent6 56" xfId="1454" xr:uid="{AB288D01-A3E8-4939-8A03-2676CC92E453}"/>
    <cellStyle name="Accent6 57" xfId="1428" xr:uid="{6658AFB3-3C0D-42AC-80EF-D209A3740B2C}"/>
    <cellStyle name="Accent6 58" xfId="1472" xr:uid="{AF1CBD94-FC7A-45E2-9D3A-208BC90EB21D}"/>
    <cellStyle name="Accent6 59" xfId="1473" xr:uid="{DBE88130-4CCD-43FD-88AF-41368ABBF55E}"/>
    <cellStyle name="Accent6 6" xfId="309" xr:uid="{00000000-0005-0000-0000-000034010000}"/>
    <cellStyle name="Accent6 60" xfId="1119" xr:uid="{6840D348-8EAB-422F-88A8-D15A47502ECB}"/>
    <cellStyle name="Accent6 7" xfId="310" xr:uid="{00000000-0005-0000-0000-000035010000}"/>
    <cellStyle name="Accent6 8" xfId="311" xr:uid="{00000000-0005-0000-0000-000036010000}"/>
    <cellStyle name="Accent6 9" xfId="312" xr:uid="{00000000-0005-0000-0000-000037010000}"/>
    <cellStyle name="AccountClassificationTotalRowBalanceCol" xfId="3112" xr:uid="{32F4A13E-0C8B-4BF8-9F16-0412CC62EF5B}"/>
    <cellStyle name="AccountClassificationTotalRowDescCol" xfId="3113" xr:uid="{3C6A95C6-AF6A-4EE0-9A6E-EE7228DB4118}"/>
    <cellStyle name="AccountClassificationTotalRowJERefCol" xfId="3114" xr:uid="{8BF5AA32-9490-49DC-A27D-9A42BDDD7075}"/>
    <cellStyle name="AccountClassificationTotalRowNameCol" xfId="3115" xr:uid="{B6A019C0-6DD9-4915-9AB7-8317C00E093D}"/>
    <cellStyle name="AccountClassificationTotalRowVarPectCol" xfId="3116" xr:uid="{17B10772-FEC8-480A-B167-7E7FF342871D}"/>
    <cellStyle name="AccountClassificationTotalRowWPRefCol" xfId="3117" xr:uid="{14E1D3BF-C359-489D-A20F-B47B01778CCF}"/>
    <cellStyle name="AccountDetailRowBalanceCol" xfId="3118" xr:uid="{B00C63F8-848B-4993-B6E5-765F14F6A172}"/>
    <cellStyle name="AccountDetailRowDescCol" xfId="3119" xr:uid="{E5DD80CE-6986-4AC2-AFD8-F0E26A95C251}"/>
    <cellStyle name="AccountDetailRowJERefCol" xfId="3120" xr:uid="{210C3327-D50E-4495-A499-3A3F7C16D637}"/>
    <cellStyle name="AccountDetailRowNameCol" xfId="3121" xr:uid="{664F3CA3-E2BC-4E72-9C60-FFCB1CFF7FAE}"/>
    <cellStyle name="AccountDetailRowVarPectCol" xfId="3122" xr:uid="{57FF4DF3-9BF1-448E-92C8-43971DC2FA98}"/>
    <cellStyle name="AccountDetailRowWPRefCol" xfId="3123" xr:uid="{303E525B-C51E-4825-8F0D-30C9DBE826C7}"/>
    <cellStyle name="AccountNetIncomeLossRowBalanceCol" xfId="3124" xr:uid="{D5FD4D52-2292-4864-B6E7-6740070DDABC}"/>
    <cellStyle name="AccountNetIncomeLossRowDescCol" xfId="3125" xr:uid="{4B238F2E-F190-4E04-BA4B-EF5B31E76781}"/>
    <cellStyle name="AccountNetIncomeLossRowJERefCol" xfId="3126" xr:uid="{2A284B91-D8ED-41EB-AC61-AAD333101823}"/>
    <cellStyle name="AccountNetIncomeLossRowNameCol" xfId="3127" xr:uid="{6B0554C8-7CE2-43C8-B205-ACECC37AA832}"/>
    <cellStyle name="AccountNetIncomeLossRowWPRefCol" xfId="3128" xr:uid="{CA767E0E-4226-4770-AB91-3CAA643F0D1C}"/>
    <cellStyle name="AccountTotalBalanceCol" xfId="3129" xr:uid="{09CF6E4C-51C3-4490-B4F8-C2ADB23744CE}"/>
    <cellStyle name="AccountTotalDescCol" xfId="3130" xr:uid="{B475DA9C-6C6F-4F99-9F3C-2AB65D088218}"/>
    <cellStyle name="AccountTotalDetailRowBalanceCol" xfId="3131" xr:uid="{F845CEBE-4156-4042-A340-11106BC31142}"/>
    <cellStyle name="AccountTotalDetailRowDescCol" xfId="3132" xr:uid="{1B525133-D30A-40D7-902D-09F79D64D773}"/>
    <cellStyle name="AccountTotalDetailRowJERefCol" xfId="3133" xr:uid="{BC4C1820-37F9-4E7E-84E6-8E8C3AF672E8}"/>
    <cellStyle name="AccountTotalDetailRowNameCol" xfId="3134" xr:uid="{D3CA9517-C4BE-4BC2-853A-23D0D941A631}"/>
    <cellStyle name="AccountTotalDetailRowVarPectCol" xfId="3135" xr:uid="{3ADB9394-7B56-4C15-983F-50FC2DC469BB}"/>
    <cellStyle name="AccountTotalDetailRowWPRefCol" xfId="3136" xr:uid="{3CC9EED3-8B53-4A93-BB72-801F23634ABA}"/>
    <cellStyle name="AccountTotalJERefCol" xfId="3137" xr:uid="{AB8D3126-986D-43CE-9DC6-BD10CE8598B6}"/>
    <cellStyle name="AccountTotalNameCol" xfId="3138" xr:uid="{E8EBF278-2AC5-4FBA-BA06-046CFD75B3B1}"/>
    <cellStyle name="AccountTotalVarPectCol" xfId="3139" xr:uid="{C0FF9543-AB4A-4A9D-99B0-15B1E7DE624A}"/>
    <cellStyle name="AccountTotalWPRefCol" xfId="3140" xr:uid="{A3C0E987-741B-4C19-A2D3-00EF985806B2}"/>
    <cellStyle name="AccountTypeTotalRowBalanceCol" xfId="3141" xr:uid="{AF4902D7-EA6B-4871-B733-9E41C010B901}"/>
    <cellStyle name="AccountTypeTotalRowDescCol" xfId="3142" xr:uid="{AB548B19-5286-4213-B481-84F4C6913600}"/>
    <cellStyle name="AccountTypeTotalRowJERefCol" xfId="3143" xr:uid="{E29B552F-B485-4095-AB22-8BDAB7AD5618}"/>
    <cellStyle name="AccountTypeTotalRowNameCol" xfId="3144" xr:uid="{071DDA5C-F5B4-42D4-97C6-F6010CE9071F}"/>
    <cellStyle name="AccountTypeTotalRowVarPectCol" xfId="3145" xr:uid="{FC594112-E276-4BDC-879B-2D917A37079E}"/>
    <cellStyle name="AccountTypeTotalRowWPRefCol" xfId="3146" xr:uid="{7CD315FB-2E9E-4A60-8B7C-0224AC53915A}"/>
    <cellStyle name="Bad" xfId="2848" builtinId="27" customBuiltin="1"/>
    <cellStyle name="Bad 2" xfId="313" xr:uid="{00000000-0005-0000-0000-000038010000}"/>
    <cellStyle name="Bad 3" xfId="314" xr:uid="{00000000-0005-0000-0000-000039010000}"/>
    <cellStyle name="BlankRow" xfId="3147" xr:uid="{C9A05AAC-40E7-4819-8BAF-E66478A735D3}"/>
    <cellStyle name="BlankRowJERefCol" xfId="3148" xr:uid="{547AA399-7EA8-40FB-9101-7C76A86C8448}"/>
    <cellStyle name="Calculation" xfId="2851" builtinId="22" customBuiltin="1"/>
    <cellStyle name="Calculation 2" xfId="315" xr:uid="{00000000-0005-0000-0000-00003A010000}"/>
    <cellStyle name="Calculation 3" xfId="316" xr:uid="{00000000-0005-0000-0000-00003B010000}"/>
    <cellStyle name="Check Cell" xfId="2853" builtinId="23" customBuiltin="1"/>
    <cellStyle name="Check Cell 2" xfId="317" xr:uid="{00000000-0005-0000-0000-00003C010000}"/>
    <cellStyle name="Check Cell 3" xfId="318" xr:uid="{00000000-0005-0000-0000-00003D010000}"/>
    <cellStyle name="ClassifiedGroupTotalRowBalanceCol" xfId="3149" xr:uid="{E5A65D3B-C9E2-4B4E-908E-23FB6EEADE66}"/>
    <cellStyle name="ClassifiedGroupTotalRowDescCol" xfId="3150" xr:uid="{E1F70F4C-9C06-4F45-B70C-DC2648737E06}"/>
    <cellStyle name="ClassifiedGroupTotalRowJERefCol" xfId="3151" xr:uid="{8D4806E5-F377-4F5F-8BF4-F7786162D4EA}"/>
    <cellStyle name="ClassifiedGroupTotalRowNameCol" xfId="3152" xr:uid="{EFCC99AF-CF9A-4937-A97C-067430535A7E}"/>
    <cellStyle name="ClassifiedGroupTotalRowVarPectCol" xfId="3153" xr:uid="{9FA887BE-B38B-45FF-A635-83A301CD23EB}"/>
    <cellStyle name="ClassifiedGroupTotalRowWPRefCol" xfId="3154" xr:uid="{F32056AF-A392-4135-AA3F-E0953AC56CC1}"/>
    <cellStyle name="ColumnHeaderRowBalanceCol" xfId="3155" xr:uid="{3E27A970-AA08-4548-96AA-396337C2D950}"/>
    <cellStyle name="ColumnHeaderRowBlankCol" xfId="3156" xr:uid="{316F7930-226C-4957-AEA8-D751848EC8FA}"/>
    <cellStyle name="ColumnHeaderRowCreditCol" xfId="3157" xr:uid="{0DDA9D4D-C826-4491-8504-7741CA027683}"/>
    <cellStyle name="ColumnHeaderRowDebitCol" xfId="3158" xr:uid="{58F69A5B-E94E-4F96-A21E-A7B617475032}"/>
    <cellStyle name="ColumnHeaderRowDescCol" xfId="3159" xr:uid="{A3323E63-B409-4933-B1E8-F0C85887CE20}"/>
    <cellStyle name="ColumnHeaderRowJERefCol" xfId="3160" xr:uid="{B29C8714-277D-45C5-B5FC-B16989F1035F}"/>
    <cellStyle name="ColumnHeaderRowNameCol" xfId="3161" xr:uid="{A0185CBB-2062-459E-8470-A79A5F5071CF}"/>
    <cellStyle name="ColumnHeaderRowVarPectCol" xfId="3162" xr:uid="{A86E53FB-EEDE-45DE-A76A-293A2010D26B}"/>
    <cellStyle name="ColumnHeaderRowWPRefCol" xfId="3163" xr:uid="{B30E845E-CCB9-4C49-B9BF-1ADE611C57A3}"/>
    <cellStyle name="ColumnMetadataRowBalanceCol" xfId="3164" xr:uid="{649570BC-F042-482C-B309-4A1E663AB072}"/>
    <cellStyle name="ColumnMetadataRowDescCol" xfId="3165" xr:uid="{7C18D76F-73D6-45FF-9A85-6A825D7BCD7F}"/>
    <cellStyle name="ColumnMetadataRowJERefCol" xfId="3166" xr:uid="{16E429AB-640A-4B2A-BB7F-4ED58CE2E10B}"/>
    <cellStyle name="ColumnMetadataRowNameCol" xfId="3167" xr:uid="{69547B5A-BDF4-4A59-8131-E8C5788C02BA}"/>
    <cellStyle name="ColumnMetadataRowVarPectCol" xfId="3168" xr:uid="{D7950117-A31D-4961-9E15-08DB9B512557}"/>
    <cellStyle name="ColumnMetadataRowWPRefCol" xfId="3169" xr:uid="{FD0474A4-DE1C-4909-B6D3-EC67A1225001}"/>
    <cellStyle name="Comma" xfId="319" builtinId="3"/>
    <cellStyle name="Comma 10" xfId="320" xr:uid="{00000000-0005-0000-0000-00003F010000}"/>
    <cellStyle name="Comma 10 2" xfId="321" xr:uid="{00000000-0005-0000-0000-000040010000}"/>
    <cellStyle name="Comma 10 2 2" xfId="1126" xr:uid="{8A5474D5-02A6-4D04-AEEA-FF45B62D85D0}"/>
    <cellStyle name="Comma 10 2 2 2" xfId="2205" xr:uid="{585605FF-B1FC-4BBD-B9F8-AC8931C7F14E}"/>
    <cellStyle name="Comma 10 2 2 2 2" xfId="4584" xr:uid="{259C8CA2-3F05-4336-B25B-CDD75FBB9C00}"/>
    <cellStyle name="Comma 10 2 2 3" xfId="3639" xr:uid="{4097281E-2614-4563-AFDE-77787DABEDDC}"/>
    <cellStyle name="Comma 10 2 3" xfId="1727" xr:uid="{4A24B91F-5B69-413D-A8F0-BAA842B36CDC}"/>
    <cellStyle name="Comma 10 2 3 2" xfId="4137" xr:uid="{14F89FED-180A-4CAE-BDA5-2F1C1733D846}"/>
    <cellStyle name="Comma 10 3" xfId="947" xr:uid="{E0F1EB6D-F2DD-4ED4-96EA-8D1F5DDBFA5A}"/>
    <cellStyle name="Comma 10 3 2" xfId="1125" xr:uid="{153442D1-9F9F-4ECE-8412-371FE6F2E140}"/>
    <cellStyle name="Comma 10 4" xfId="1078" xr:uid="{C33A1412-7C74-4464-89EF-65927FDAA48B}"/>
    <cellStyle name="Comma 10 4 2" xfId="2206" xr:uid="{2104FB39-FA55-49F4-89F1-6284700C7546}"/>
    <cellStyle name="Comma 10 4 2 2" xfId="4585" xr:uid="{D4FB55B4-A75A-4BF3-84BD-3D21D4062548}"/>
    <cellStyle name="Comma 10 4 3" xfId="3597" xr:uid="{EC0E8333-CEA0-4DFB-A592-3B0208A5F7D8}"/>
    <cellStyle name="Comma 10 5" xfId="1718" xr:uid="{C2A77AE7-4987-4065-8735-04DEBBAD9F38}"/>
    <cellStyle name="Comma 10 5 2" xfId="4128" xr:uid="{AC9283E4-4989-4FA2-8723-F228A02828D1}"/>
    <cellStyle name="Comma 11" xfId="322" xr:uid="{00000000-0005-0000-0000-000041010000}"/>
    <cellStyle name="Comma 11 2" xfId="948" xr:uid="{35D372EE-48C9-4339-BEEB-D00994951F8C}"/>
    <cellStyle name="Comma 11 2 2" xfId="2207" xr:uid="{8A488DC9-340D-476C-A575-24FEBDEA3069}"/>
    <cellStyle name="Comma 11 2 2 2" xfId="4586" xr:uid="{D2EB721B-6878-4B40-B8A8-30B00ED612BF}"/>
    <cellStyle name="Comma 11 3" xfId="1124" xr:uid="{4305F73E-311E-421E-A593-32091D2C9251}"/>
    <cellStyle name="Comma 11 3 2" xfId="3638" xr:uid="{A6D3BE1D-66EA-4E59-BC41-722E4A72152C}"/>
    <cellStyle name="Comma 11 4" xfId="1726" xr:uid="{DA394C97-D7F9-4313-9E28-A9DEFF07FABD}"/>
    <cellStyle name="Comma 11 4 2" xfId="4136" xr:uid="{DFEC2D89-6FE7-48F3-B592-E44143FFB8EE}"/>
    <cellStyle name="Comma 11 5" xfId="914" xr:uid="{ECAEC609-4888-4A47-AD4D-63349A9C1E36}"/>
    <cellStyle name="Comma 12" xfId="323" xr:uid="{00000000-0005-0000-0000-000042010000}"/>
    <cellStyle name="Comma 12 2" xfId="1476" xr:uid="{E6BF6B8E-D5BB-4743-8941-8B50F7C96E7F}"/>
    <cellStyle name="Comma 12 3" xfId="2935" xr:uid="{01584566-88AF-4EE5-8C7B-CDE4D7D17C17}"/>
    <cellStyle name="Comma 12 4" xfId="3239" xr:uid="{9D48C275-F7B3-4401-9750-2591E7648131}"/>
    <cellStyle name="Comma 2" xfId="324" xr:uid="{00000000-0005-0000-0000-000043010000}"/>
    <cellStyle name="Comma 2 2" xfId="325" xr:uid="{00000000-0005-0000-0000-000044010000}"/>
    <cellStyle name="Comma 2 3" xfId="326" xr:uid="{00000000-0005-0000-0000-000045010000}"/>
    <cellStyle name="Comma 2 3 2" xfId="950" xr:uid="{046B3AED-D989-461C-80C0-55E9C64BC7F7}"/>
    <cellStyle name="Comma 2 3 3" xfId="840" xr:uid="{279F6D3B-BC22-4321-89CD-EF25256D2254}"/>
    <cellStyle name="Comma 3" xfId="327" xr:uid="{00000000-0005-0000-0000-000046010000}"/>
    <cellStyle name="Comma 3 2" xfId="328" xr:uid="{00000000-0005-0000-0000-000047010000}"/>
    <cellStyle name="Comma 4" xfId="329" xr:uid="{00000000-0005-0000-0000-000048010000}"/>
    <cellStyle name="Comma 4 2" xfId="330" xr:uid="{00000000-0005-0000-0000-000049010000}"/>
    <cellStyle name="Comma 4 2 2" xfId="331" xr:uid="{00000000-0005-0000-0000-00004A010000}"/>
    <cellStyle name="Comma 4 2 3" xfId="951" xr:uid="{B009C05B-DD3C-479C-AF49-76FF3130609B}"/>
    <cellStyle name="Comma 4 3" xfId="332" xr:uid="{00000000-0005-0000-0000-00004B010000}"/>
    <cellStyle name="Comma 4 4" xfId="333" xr:uid="{00000000-0005-0000-0000-00004C010000}"/>
    <cellStyle name="Comma 4 4 2" xfId="952" xr:uid="{C605E178-BCE7-4850-90FE-4600C0D6B040}"/>
    <cellStyle name="Comma 4 4 3" xfId="926" xr:uid="{3272FD35-3E28-49AF-A813-4813D9A512D8}"/>
    <cellStyle name="Comma 4 5" xfId="334" xr:uid="{00000000-0005-0000-0000-00004D010000}"/>
    <cellStyle name="Comma 5" xfId="335" xr:uid="{00000000-0005-0000-0000-00004E010000}"/>
    <cellStyle name="Comma 5 10" xfId="336" xr:uid="{00000000-0005-0000-0000-00004F010000}"/>
    <cellStyle name="Comma 5 10 2" xfId="953" xr:uid="{B6645536-8848-4A26-924D-8F65377EE472}"/>
    <cellStyle name="Comma 5 10 2 2" xfId="2208" xr:uid="{33E18240-9D49-45C8-8F9D-2A2A6968D0B9}"/>
    <cellStyle name="Comma 5 10 2 2 2" xfId="4587" xr:uid="{3AA38F42-3100-4E0E-ACFC-8DDC2343B761}"/>
    <cellStyle name="Comma 5 10 3" xfId="1127" xr:uid="{FF7B5E09-A630-41C7-ACDA-34B8EE57ED5A}"/>
    <cellStyle name="Comma 5 10 3 2" xfId="3640" xr:uid="{C168470D-69EC-4310-84D1-48226ABF2A3C}"/>
    <cellStyle name="Comma 5 10 4" xfId="1728" xr:uid="{0F4B37C2-0883-456E-90A9-C8165714A0CF}"/>
    <cellStyle name="Comma 5 10 4 2" xfId="4138" xr:uid="{56072084-5A74-4983-A397-4CFAA8E3BD1A}"/>
    <cellStyle name="Comma 5 10 5" xfId="915" xr:uid="{E759837A-7B1D-465F-8791-1DF97E4AAFA5}"/>
    <cellStyle name="Comma 5 11" xfId="337" xr:uid="{00000000-0005-0000-0000-000050010000}"/>
    <cellStyle name="Comma 5 11 2" xfId="954" xr:uid="{42338853-B0B7-4AF7-B792-D16052DCDC34}"/>
    <cellStyle name="Comma 5 11 3" xfId="2209" xr:uid="{0060722A-6522-441E-B2E1-5CACC8B1A830}"/>
    <cellStyle name="Comma 5 11 3 2" xfId="4588" xr:uid="{BE13CA9B-9385-47D1-817C-53D28DEBA37D}"/>
    <cellStyle name="Comma 5 11 4" xfId="905" xr:uid="{A9045721-0D11-4D0C-8024-263BB64F0E5B}"/>
    <cellStyle name="Comma 5 12" xfId="338" xr:uid="{00000000-0005-0000-0000-000051010000}"/>
    <cellStyle name="Comma 5 12 2" xfId="2022" xr:uid="{D723340A-1CCD-4AFF-81E6-45DB2059B6BF}"/>
    <cellStyle name="Comma 5 12 2 2" xfId="4432" xr:uid="{27E85DC0-45B6-4D38-93D6-D5BC93B5A60A}"/>
    <cellStyle name="Comma 5 12 3" xfId="2936" xr:uid="{3E0E1B51-60EF-4CDE-BF84-3850CBC26DA2}"/>
    <cellStyle name="Comma 5 12 4" xfId="3240" xr:uid="{79CF3EA2-2592-4E3E-A872-F701F7DEEA88}"/>
    <cellStyle name="Comma 5 13" xfId="1477" xr:uid="{991E3B5D-68C7-491A-968D-CF0C29AF3DE5}"/>
    <cellStyle name="Comma 5 13 2" xfId="3887" xr:uid="{4DE998D7-0F52-486A-A119-9B17C16BA365}"/>
    <cellStyle name="Comma 5 2" xfId="339" xr:uid="{00000000-0005-0000-0000-000052010000}"/>
    <cellStyle name="Comma 5 3" xfId="340" xr:uid="{00000000-0005-0000-0000-000053010000}"/>
    <cellStyle name="Comma 5 3 2" xfId="341" xr:uid="{00000000-0005-0000-0000-000054010000}"/>
    <cellStyle name="Comma 5 3 2 2" xfId="1063" xr:uid="{DFB5B035-5699-47B0-9106-08887C6940FE}"/>
    <cellStyle name="Comma 5 3 2 2 2" xfId="1130" xr:uid="{5C11D32E-99AB-4E60-B05F-1E1D5A420484}"/>
    <cellStyle name="Comma 5 3 2 2 2 2" xfId="2212" xr:uid="{F43EA432-08F2-4529-96A5-B49F36DD4241}"/>
    <cellStyle name="Comma 5 3 2 2 2 2 2" xfId="4591" xr:uid="{88913062-90BA-4BF9-812E-69BF02C888C8}"/>
    <cellStyle name="Comma 5 3 2 2 2 3" xfId="1731" xr:uid="{5D43D78B-45F1-4AC8-AB37-DCC5533D3163}"/>
    <cellStyle name="Comma 5 3 2 2 2 3 2" xfId="4141" xr:uid="{09EEC689-184E-4E7D-9505-EF83B64A6E43}"/>
    <cellStyle name="Comma 5 3 2 2 2 4" xfId="3643" xr:uid="{74BACD17-7F69-459C-A397-9D4A6D9C3A0D}"/>
    <cellStyle name="Comma 5 3 2 2 3" xfId="2213" xr:uid="{88B21E58-2497-4A37-B369-CAEABA3835B1}"/>
    <cellStyle name="Comma 5 3 2 2 3 2" xfId="4592" xr:uid="{4F31B359-9253-4441-A009-B0767BC1EDFA}"/>
    <cellStyle name="Comma 5 3 2 2 4" xfId="2211" xr:uid="{BA886F73-92FD-4734-B552-4AFF3A1C0B09}"/>
    <cellStyle name="Comma 5 3 2 2 4 2" xfId="4590" xr:uid="{7FB020AC-77E7-4795-985C-F4D46E9C9794}"/>
    <cellStyle name="Comma 5 3 2 2 5" xfId="1700" xr:uid="{2C70CF3A-D1B2-4287-9B61-AC7B35290F34}"/>
    <cellStyle name="Comma 5 3 2 2 5 2" xfId="4110" xr:uid="{6A0BB90C-9053-4A28-9F22-6F7A7DC05508}"/>
    <cellStyle name="Comma 5 3 2 2 6" xfId="3583" xr:uid="{4A02F232-8199-4DC0-817A-6EA5574FCE4B}"/>
    <cellStyle name="Comma 5 3 2 3" xfId="1129" xr:uid="{B7B54CAC-BCC4-40B5-9618-CB102F5CAD39}"/>
    <cellStyle name="Comma 5 3 2 3 2" xfId="2214" xr:uid="{E7552774-91B3-4E6A-B0F0-68132A71C4FE}"/>
    <cellStyle name="Comma 5 3 2 3 2 2" xfId="4593" xr:uid="{63DAC971-1D35-4A59-8398-D7EDD340A655}"/>
    <cellStyle name="Comma 5 3 2 3 3" xfId="1730" xr:uid="{9761F406-1F25-4771-BE30-4B0BB3576323}"/>
    <cellStyle name="Comma 5 3 2 3 3 2" xfId="4140" xr:uid="{11A31914-D4C4-4F05-BF68-92559DD68264}"/>
    <cellStyle name="Comma 5 3 2 3 4" xfId="3642" xr:uid="{124746C4-D3B6-4563-9C2C-27C09C37CA89}"/>
    <cellStyle name="Comma 5 3 2 4" xfId="2215" xr:uid="{DF0B5DA0-82CA-42A8-85DB-3BDF439E8E71}"/>
    <cellStyle name="Comma 5 3 2 4 2" xfId="4594" xr:uid="{239AA1AE-0A72-4CD5-865C-A49E3127A049}"/>
    <cellStyle name="Comma 5 3 2 5" xfId="2210" xr:uid="{BCC5DD6D-C15F-485B-835F-1D52A8141C1E}"/>
    <cellStyle name="Comma 5 3 2 5 2" xfId="4589" xr:uid="{3AFC6656-6DF9-4C5C-8D3B-CBD0362F5F03}"/>
    <cellStyle name="Comma 5 3 2 6" xfId="1597" xr:uid="{040E536C-EEDB-4D7B-9327-2EDDBB3581D4}"/>
    <cellStyle name="Comma 5 3 2 6 2" xfId="4007" xr:uid="{DDA4E3DE-CD7B-4100-821E-FB980A3832A2}"/>
    <cellStyle name="Comma 5 3 2 7" xfId="2937" xr:uid="{8B73C095-F469-4ABE-9B12-4B93DFA2F93E}"/>
    <cellStyle name="Comma 5 3 2 8" xfId="3241" xr:uid="{620738C9-DF02-45E4-9A0C-DD2E9836B783}"/>
    <cellStyle name="Comma 5 3 3" xfId="955" xr:uid="{E7C4CEA3-83DC-4FD2-B9A9-A2A9C9852B59}"/>
    <cellStyle name="Comma 5 3 3 2" xfId="1131" xr:uid="{CE7A4DC9-0874-432E-A076-1618FF56B112}"/>
    <cellStyle name="Comma 5 3 3 2 2" xfId="2217" xr:uid="{3991B99D-747D-4E6B-9D69-B7B57AE52955}"/>
    <cellStyle name="Comma 5 3 3 2 2 2" xfId="4596" xr:uid="{875D54EB-2D1F-4B40-A712-B0E95123D3C2}"/>
    <cellStyle name="Comma 5 3 3 2 3" xfId="1732" xr:uid="{57311CE1-3D5B-4C2D-A5F5-A03817E491B7}"/>
    <cellStyle name="Comma 5 3 3 2 3 2" xfId="4142" xr:uid="{8A4403F7-90B0-46FC-AFDB-630A48084AFA}"/>
    <cellStyle name="Comma 5 3 3 2 4" xfId="3644" xr:uid="{EE8AF690-AD05-4AA9-A1EB-D56281F4DC5B}"/>
    <cellStyle name="Comma 5 3 3 3" xfId="934" xr:uid="{36E7FFBE-AC3A-4BF4-BBDF-D21D67DF6182}"/>
    <cellStyle name="Comma 5 3 3 3 2" xfId="2218" xr:uid="{B4EF2D04-A7CA-4E75-A442-21054DEC9E10}"/>
    <cellStyle name="Comma 5 3 3 3 2 2" xfId="4597" xr:uid="{E7605FF3-DE54-44D0-A040-40E96340135A}"/>
    <cellStyle name="Comma 5 3 3 3 3" xfId="3496" xr:uid="{1DA3CE07-4FAB-4F00-91A0-539B9C3824AF}"/>
    <cellStyle name="Comma 5 3 3 4" xfId="2216" xr:uid="{DFEE316A-2216-4B09-9080-93308B19537D}"/>
    <cellStyle name="Comma 5 3 3 4 2" xfId="4595" xr:uid="{2961EA6C-6E0B-4127-BD13-C6A623A9C0B1}"/>
    <cellStyle name="Comma 5 3 3 5" xfId="1640" xr:uid="{8ACC8D27-37DF-423F-B36C-5FC269B9C519}"/>
    <cellStyle name="Comma 5 3 3 5 2" xfId="4050" xr:uid="{576B4642-99AA-4649-9BF0-C0E661295AC7}"/>
    <cellStyle name="Comma 5 3 4" xfId="1128" xr:uid="{DF67AB9A-0323-4BE4-8342-6C3A3B47A768}"/>
    <cellStyle name="Comma 5 3 4 2" xfId="2219" xr:uid="{871F24C2-001D-4317-BDC6-5E1BB87EDC41}"/>
    <cellStyle name="Comma 5 3 4 2 2" xfId="4598" xr:uid="{C1686944-844A-4585-8AE3-88658108BF3D}"/>
    <cellStyle name="Comma 5 3 4 3" xfId="1729" xr:uid="{A6CDCF0B-A70A-461A-8D7C-0D2DBE385D59}"/>
    <cellStyle name="Comma 5 3 4 3 2" xfId="4139" xr:uid="{B4CDFC08-F8C1-4D97-B706-0B936D1BFCA3}"/>
    <cellStyle name="Comma 5 3 4 4" xfId="3641" xr:uid="{6B087687-4A58-430D-8BC7-C4F4F44C6404}"/>
    <cellStyle name="Comma 5 3 5" xfId="2220" xr:uid="{227ED12B-69D8-430C-8BDF-DC14A3CE2869}"/>
    <cellStyle name="Comma 5 3 5 2" xfId="4599" xr:uid="{0EFFDD66-8515-4414-ABDA-F84FB9CF6A72}"/>
    <cellStyle name="Comma 5 3 6" xfId="2024" xr:uid="{CC4FABF4-2C6C-4045-B83A-0E089D58BB5E}"/>
    <cellStyle name="Comma 5 3 6 2" xfId="4434" xr:uid="{50BB02C1-5536-45CC-A344-F26F86F9C69B}"/>
    <cellStyle name="Comma 5 3 7" xfId="1537" xr:uid="{F0B7BB19-CEEF-4B68-A8FD-521E59031461}"/>
    <cellStyle name="Comma 5 3 7 2" xfId="3947" xr:uid="{AA1D1EAA-A638-464C-96E0-947E383B83F0}"/>
    <cellStyle name="Comma 5 4" xfId="342" xr:uid="{00000000-0005-0000-0000-000055010000}"/>
    <cellStyle name="Comma 5 4 2" xfId="343" xr:uid="{00000000-0005-0000-0000-000056010000}"/>
    <cellStyle name="Comma 5 4 2 2" xfId="1133" xr:uid="{D71CB698-8E3B-4B8C-BB6A-2CF28A70C1F0}"/>
    <cellStyle name="Comma 5 4 2 2 2" xfId="2222" xr:uid="{B5A588EA-D785-4443-9200-3BD28A72F564}"/>
    <cellStyle name="Comma 5 4 2 2 2 2" xfId="4601" xr:uid="{F1F2CAB2-26A6-488F-9967-6B1BF34BF3B6}"/>
    <cellStyle name="Comma 5 4 2 2 3" xfId="1734" xr:uid="{BCE51D39-C076-4C9A-AC0B-CADDCBD92427}"/>
    <cellStyle name="Comma 5 4 2 2 3 2" xfId="4144" xr:uid="{3CE1715A-B9DB-4A4D-B6DE-FBEF5DE9A52C}"/>
    <cellStyle name="Comma 5 4 2 2 4" xfId="3646" xr:uid="{CF00A1D0-3AF9-42D4-86ED-5881CF80CBAA}"/>
    <cellStyle name="Comma 5 4 2 3" xfId="2223" xr:uid="{E46B7085-2D92-4B28-BCB7-5AFDAF0533E8}"/>
    <cellStyle name="Comma 5 4 2 3 2" xfId="4602" xr:uid="{611B0E68-0124-4A32-BECD-7F6F4A414EA5}"/>
    <cellStyle name="Comma 5 4 2 4" xfId="2221" xr:uid="{B469F8C1-AF71-499E-9B12-E468F0F9A741}"/>
    <cellStyle name="Comma 5 4 2 4 2" xfId="4600" xr:uid="{756596F2-2C7E-4F75-8465-68FFF0E78E3B}"/>
    <cellStyle name="Comma 5 4 2 5" xfId="1571" xr:uid="{7FC7ED31-549D-4CAF-AF2F-D8C6215A4BD5}"/>
    <cellStyle name="Comma 5 4 2 5 2" xfId="3981" xr:uid="{49CADD90-017B-4C96-9AE5-64EBF4C2C880}"/>
    <cellStyle name="Comma 5 4 2 6" xfId="2938" xr:uid="{E0DDB354-E596-42C4-AE54-6D77F3C074E3}"/>
    <cellStyle name="Comma 5 4 2 7" xfId="3242" xr:uid="{D11D0F3F-8F3C-471D-872F-EC7374032EFA}"/>
    <cellStyle name="Comma 5 4 3" xfId="956" xr:uid="{33871C05-CB66-4EC2-B341-7F291530E537}"/>
    <cellStyle name="Comma 5 4 3 2" xfId="1134" xr:uid="{999ABC21-E4D2-4A1F-8C40-FB18015520C8}"/>
    <cellStyle name="Comma 5 4 3 2 2" xfId="2225" xr:uid="{7A3A2A89-5BDB-45C6-8A14-803F8E8F9E9B}"/>
    <cellStyle name="Comma 5 4 3 2 2 2" xfId="4604" xr:uid="{D19C10BF-1C3D-45A0-8BD2-742188A87F64}"/>
    <cellStyle name="Comma 5 4 3 2 3" xfId="1735" xr:uid="{1FE05AF1-B51F-4BCA-831A-DA64F08A2AF8}"/>
    <cellStyle name="Comma 5 4 3 2 3 2" xfId="4145" xr:uid="{1778AB9A-323C-4932-BC5C-39517B96EDEB}"/>
    <cellStyle name="Comma 5 4 3 2 4" xfId="3647" xr:uid="{91136133-45C7-4F71-A918-98CE23B890AB}"/>
    <cellStyle name="Comma 5 4 3 3" xfId="990" xr:uid="{0E78285E-7FE9-4CE6-8352-234ED31113E1}"/>
    <cellStyle name="Comma 5 4 3 3 2" xfId="2226" xr:uid="{7AC777F7-1202-44E5-80EF-9CF06386EA38}"/>
    <cellStyle name="Comma 5 4 3 3 2 2" xfId="4605" xr:uid="{B61305FE-0C91-481E-8764-022C886F5813}"/>
    <cellStyle name="Comma 5 4 3 3 3" xfId="3510" xr:uid="{FB4C4FB8-6CD6-4E89-819E-9A19AF09DC93}"/>
    <cellStyle name="Comma 5 4 3 4" xfId="2224" xr:uid="{072CDDCB-6E5D-43C9-8598-829B688CC933}"/>
    <cellStyle name="Comma 5 4 3 4 2" xfId="4603" xr:uid="{D65A6036-7F70-4008-AAF6-71F43E24561A}"/>
    <cellStyle name="Comma 5 4 3 5" xfId="1674" xr:uid="{0CCC24F3-E030-478A-9531-75C284B6270E}"/>
    <cellStyle name="Comma 5 4 3 5 2" xfId="4084" xr:uid="{96B9FF7F-4602-4E75-B984-8E4A74FCE540}"/>
    <cellStyle name="Comma 5 4 4" xfId="1132" xr:uid="{40DDA861-6312-45CD-92CB-C6798208074F}"/>
    <cellStyle name="Comma 5 4 4 2" xfId="2227" xr:uid="{6ACC7C4D-3262-4E6F-B06A-986A41C3ECE1}"/>
    <cellStyle name="Comma 5 4 4 2 2" xfId="4606" xr:uid="{20EA9EEC-4407-4234-91FC-6615C5C9077F}"/>
    <cellStyle name="Comma 5 4 4 3" xfId="1733" xr:uid="{08800207-0DB3-42AD-8836-8A6DF8A04BFD}"/>
    <cellStyle name="Comma 5 4 4 3 2" xfId="4143" xr:uid="{26C829CF-ED83-4620-B087-292F86D4532D}"/>
    <cellStyle name="Comma 5 4 4 4" xfId="3645" xr:uid="{CF0CF50B-8109-4A5C-9592-07EAE98BFA1A}"/>
    <cellStyle name="Comma 5 4 5" xfId="2228" xr:uid="{3869E930-6D63-4292-9778-C2BB7A23A93C}"/>
    <cellStyle name="Comma 5 4 5 2" xfId="4607" xr:uid="{00C2D35E-43A2-4622-9BC0-2AC0D922D85D}"/>
    <cellStyle name="Comma 5 4 6" xfId="2025" xr:uid="{DDACB561-2C45-4609-9E49-45AE59304DB0}"/>
    <cellStyle name="Comma 5 4 6 2" xfId="4435" xr:uid="{DE7E8300-599C-48B2-88F0-1C3D36E7BA4D}"/>
    <cellStyle name="Comma 5 4 7" xfId="1511" xr:uid="{03E21375-EA9A-4FA8-A3C0-DB76B9B284CA}"/>
    <cellStyle name="Comma 5 4 7 2" xfId="3921" xr:uid="{A020A444-C759-4900-8C01-ABE822AD4B83}"/>
    <cellStyle name="Comma 5 5" xfId="344" xr:uid="{00000000-0005-0000-0000-000057010000}"/>
    <cellStyle name="Comma 5 5 2" xfId="345" xr:uid="{00000000-0005-0000-0000-000058010000}"/>
    <cellStyle name="Comma 5 5 2 2" xfId="1136" xr:uid="{0314F99A-ECD3-4275-851C-958FEBC18207}"/>
    <cellStyle name="Comma 5 5 2 2 2" xfId="2230" xr:uid="{FB2FA24E-9F3E-441C-81F7-DC467A7D6209}"/>
    <cellStyle name="Comma 5 5 2 2 2 2" xfId="4609" xr:uid="{1FAB2250-79D0-4213-95F7-F43ADAB34644}"/>
    <cellStyle name="Comma 5 5 2 2 3" xfId="1737" xr:uid="{DFEAB757-0E2E-4596-9951-A865D067D981}"/>
    <cellStyle name="Comma 5 5 2 2 3 2" xfId="4147" xr:uid="{ED860C1A-64A4-40A9-8AEC-E72C973E8B9B}"/>
    <cellStyle name="Comma 5 5 2 2 4" xfId="3649" xr:uid="{FC415CDE-AC85-40D8-AE88-D4C31D66965B}"/>
    <cellStyle name="Comma 5 5 2 3" xfId="2231" xr:uid="{07EF8148-2EAC-4C1C-95B5-84CD1621FD24}"/>
    <cellStyle name="Comma 5 5 2 3 2" xfId="4610" xr:uid="{46589E93-7F27-4B3A-BB3B-E90D69EF6511}"/>
    <cellStyle name="Comma 5 5 2 4" xfId="2229" xr:uid="{F99D6C51-6265-407E-9421-610368534630}"/>
    <cellStyle name="Comma 5 5 2 4 2" xfId="4608" xr:uid="{5B6E1DDC-EC47-4380-8678-C968C3BCC26A}"/>
    <cellStyle name="Comma 5 5 2 5" xfId="1657" xr:uid="{D6ED6E68-A1CF-4B3C-80E4-601A013DF74F}"/>
    <cellStyle name="Comma 5 5 2 5 2" xfId="4067" xr:uid="{3A61F6C6-8186-4D6E-893C-76DF93E44E70}"/>
    <cellStyle name="Comma 5 5 2 6" xfId="2939" xr:uid="{99455222-7D06-4154-8A9A-02A3C310CA32}"/>
    <cellStyle name="Comma 5 5 2 7" xfId="3243" xr:uid="{8484F870-6B15-4E5F-9B68-D8D73246D56F}"/>
    <cellStyle name="Comma 5 5 3" xfId="957" xr:uid="{B917FA80-4910-4A09-9885-D54BDAE2664C}"/>
    <cellStyle name="Comma 5 5 3 2" xfId="1135" xr:uid="{78A5803D-86FC-460C-8B69-2559424CD9BD}"/>
    <cellStyle name="Comma 5 5 3 2 2" xfId="2232" xr:uid="{E3D7AA49-3E78-400E-A6C1-D54575CBCF9A}"/>
    <cellStyle name="Comma 5 5 3 2 2 2" xfId="4611" xr:uid="{B2475302-F14F-4F56-AF51-1A39DD18E090}"/>
    <cellStyle name="Comma 5 5 3 2 3" xfId="3648" xr:uid="{1B50599E-FEE4-4B3E-96B3-ECE70ACEA289}"/>
    <cellStyle name="Comma 5 5 3 3" xfId="1736" xr:uid="{56E138D1-8707-404A-B75E-45C9DD58D867}"/>
    <cellStyle name="Comma 5 5 3 3 2" xfId="4146" xr:uid="{D13D98A1-9D9D-4FCC-94AA-5CD857788898}"/>
    <cellStyle name="Comma 5 5 4" xfId="2233" xr:uid="{BDAB23F8-21E2-414E-B811-D3B4812F7562}"/>
    <cellStyle name="Comma 5 5 4 2" xfId="4612" xr:uid="{CB0BE3DE-2027-4A7B-A595-B2147D064986}"/>
    <cellStyle name="Comma 5 5 5" xfId="2026" xr:uid="{F2DC9F4B-8EEE-457F-8D71-44D5BB350356}"/>
    <cellStyle name="Comma 5 5 5 2" xfId="4436" xr:uid="{A5D4D0BB-2302-477C-AC44-DC729D336099}"/>
    <cellStyle name="Comma 5 5 6" xfId="1494" xr:uid="{1C3E621F-6FCC-4794-BE4A-A3CCFC9DAD4F}"/>
    <cellStyle name="Comma 5 5 6 2" xfId="3904" xr:uid="{584B3401-191D-43E0-94F7-5C4A980FA474}"/>
    <cellStyle name="Comma 5 6" xfId="346" xr:uid="{00000000-0005-0000-0000-000059010000}"/>
    <cellStyle name="Comma 5 6 2" xfId="347" xr:uid="{00000000-0005-0000-0000-00005A010000}"/>
    <cellStyle name="Comma 5 6 2 2" xfId="1138" xr:uid="{7AF83DEB-8878-4E9F-8ACD-9F6F0A8902DE}"/>
    <cellStyle name="Comma 5 6 2 2 2" xfId="2235" xr:uid="{278871EC-9668-45AE-B9B7-B869FE636DF1}"/>
    <cellStyle name="Comma 5 6 2 2 2 2" xfId="4614" xr:uid="{46E6F6A5-6D1E-4974-BC79-1C7458131465}"/>
    <cellStyle name="Comma 5 6 2 2 3" xfId="1739" xr:uid="{C177EEAE-EA17-48E7-BCED-A61104C5D327}"/>
    <cellStyle name="Comma 5 6 2 2 3 2" xfId="4149" xr:uid="{1D97E12A-42E2-4BCC-92D8-3D81AD6FAB66}"/>
    <cellStyle name="Comma 5 6 2 2 4" xfId="3651" xr:uid="{C3B7E30C-6D25-424C-AE03-3308ED1FD308}"/>
    <cellStyle name="Comma 5 6 2 3" xfId="2236" xr:uid="{81F13695-0D78-489C-9A88-5F14A1B7FE68}"/>
    <cellStyle name="Comma 5 6 2 3 2" xfId="4615" xr:uid="{18AC719B-B30E-403E-946D-034ADD1A52A6}"/>
    <cellStyle name="Comma 5 6 2 4" xfId="2234" xr:uid="{11B7E627-33EC-44E2-AA4E-D2CD1DF726C3}"/>
    <cellStyle name="Comma 5 6 2 4 2" xfId="4613" xr:uid="{830228CC-DA72-4470-A329-4D0BA62B0303}"/>
    <cellStyle name="Comma 5 6 2 5" xfId="1719" xr:uid="{57CC88DC-8805-4299-AAC5-7A85C8BDA4E2}"/>
    <cellStyle name="Comma 5 6 2 5 2" xfId="4129" xr:uid="{5EE93B00-15D9-4B0B-899F-EBFD2FC3D526}"/>
    <cellStyle name="Comma 5 6 2 6" xfId="2940" xr:uid="{82E318E9-7391-4385-BB1E-98F4C0ADEB55}"/>
    <cellStyle name="Comma 5 6 2 7" xfId="3244" xr:uid="{B6AC1F54-83BF-4BF3-891D-576BFCE8D31F}"/>
    <cellStyle name="Comma 5 6 3" xfId="958" xr:uid="{B9F20FB9-39F9-4964-8F59-82FA056E572F}"/>
    <cellStyle name="Comma 5 6 3 2" xfId="1137" xr:uid="{C9E78D13-F52C-4A28-9F47-6532B1F58422}"/>
    <cellStyle name="Comma 5 6 3 2 2" xfId="2237" xr:uid="{5C3AAA96-7A5E-4487-B5BC-EDD88E3B6744}"/>
    <cellStyle name="Comma 5 6 3 2 2 2" xfId="4616" xr:uid="{7844D2DF-9263-462E-B922-26A1D5D5DEBA}"/>
    <cellStyle name="Comma 5 6 3 2 3" xfId="3650" xr:uid="{25A97719-F110-48CB-B3EE-5DDC6B78AAD6}"/>
    <cellStyle name="Comma 5 6 3 3" xfId="1738" xr:uid="{2DC0A25C-5EBF-4B24-AE68-C34884E07F1C}"/>
    <cellStyle name="Comma 5 6 3 3 2" xfId="4148" xr:uid="{B7A6C0FD-144D-40D8-8B78-8FA670EC8CA6}"/>
    <cellStyle name="Comma 5 6 4" xfId="2238" xr:uid="{0661249E-922A-45B8-BA06-51E02DCE37E1}"/>
    <cellStyle name="Comma 5 6 4 2" xfId="4617" xr:uid="{8317C067-B41D-4304-804E-2A33C68848FF}"/>
    <cellStyle name="Comma 5 6 5" xfId="2027" xr:uid="{79AE0EA5-27D8-4464-B983-513DFAB09E65}"/>
    <cellStyle name="Comma 5 6 5 2" xfId="4437" xr:uid="{10B69F3E-F432-4564-A551-1B84A1B72D29}"/>
    <cellStyle name="Comma 5 6 6" xfId="1554" xr:uid="{78950FE4-5A2C-40B2-8A04-D284C753DDB5}"/>
    <cellStyle name="Comma 5 6 6 2" xfId="3964" xr:uid="{6A58FEB7-F8CD-46FB-846A-A43AEA54C9B7}"/>
    <cellStyle name="Comma 5 7" xfId="348" xr:uid="{00000000-0005-0000-0000-00005B010000}"/>
    <cellStyle name="Comma 5 7 2" xfId="349" xr:uid="{00000000-0005-0000-0000-00005C010000}"/>
    <cellStyle name="Comma 5 7 2 2" xfId="2239" xr:uid="{19C3B29F-1CDE-46B1-8B05-E0CFEDAFDA6A}"/>
    <cellStyle name="Comma 5 7 2 2 2" xfId="4618" xr:uid="{7B275BB9-31B6-4676-B76A-4CD0B8F98F48}"/>
    <cellStyle name="Comma 5 7 2 3" xfId="1740" xr:uid="{1DBB9361-9250-402D-9C2B-A1CEC2E9B30B}"/>
    <cellStyle name="Comma 5 7 2 3 2" xfId="4150" xr:uid="{C76A28FD-648B-4A96-BA9C-7DFAE0BD8017}"/>
    <cellStyle name="Comma 5 7 2 4" xfId="2941" xr:uid="{C342AB10-8F05-4C1A-B79B-D3E48A0B3681}"/>
    <cellStyle name="Comma 5 7 2 5" xfId="3245" xr:uid="{A46398B6-0EA4-4A00-AFE5-8DC6B1239198}"/>
    <cellStyle name="Comma 5 7 3" xfId="959" xr:uid="{3F058464-3BD7-40F7-BB77-E4AFB371789E}"/>
    <cellStyle name="Comma 5 7 3 2" xfId="2240" xr:uid="{94B2DA92-97E0-4D1E-A1CD-D5A9CCE67E33}"/>
    <cellStyle name="Comma 5 7 3 2 2" xfId="4619" xr:uid="{854DA96C-9247-404E-8E00-162C1A687FFC}"/>
    <cellStyle name="Comma 5 7 4" xfId="2028" xr:uid="{4461E5E2-98BA-4FE1-8391-3930F5132BBD}"/>
    <cellStyle name="Comma 5 7 4 2" xfId="4438" xr:uid="{8B324C64-A922-445B-9681-9BA60B97CD58}"/>
    <cellStyle name="Comma 5 7 5" xfId="1614" xr:uid="{7FDB5DD4-59D6-4143-AAB8-6E2B899BEC50}"/>
    <cellStyle name="Comma 5 7 5 2" xfId="4024" xr:uid="{0B3970BB-4A50-4794-9F2C-03756AA72C35}"/>
    <cellStyle name="Comma 5 8" xfId="350" xr:uid="{00000000-0005-0000-0000-00005D010000}"/>
    <cellStyle name="Comma 5 8 2" xfId="351" xr:uid="{00000000-0005-0000-0000-00005E010000}"/>
    <cellStyle name="Comma 5 8 2 2" xfId="2241" xr:uid="{2EB0B274-ACD8-4D44-A599-28D5C0734D34}"/>
    <cellStyle name="Comma 5 8 2 2 2" xfId="4620" xr:uid="{7A7DAB3B-5B1B-4519-9466-19A879A213E7}"/>
    <cellStyle name="Comma 5 8 2 3" xfId="2942" xr:uid="{50DF7092-A166-482B-AFB4-AA9A11C1C51E}"/>
    <cellStyle name="Comma 5 8 2 4" xfId="3246" xr:uid="{31C97091-D0D7-45BE-854D-5AB4D19356AF}"/>
    <cellStyle name="Comma 5 8 3" xfId="960" xr:uid="{1D5D1B5D-955F-40CE-BCAE-F8CD7CBC2E4F}"/>
    <cellStyle name="Comma 5 8 3 2" xfId="2029" xr:uid="{93F6D41B-E0C6-476A-A66C-E13C1808F595}"/>
    <cellStyle name="Comma 5 8 3 2 2" xfId="4439" xr:uid="{5BA10D57-A657-44BD-AA61-8DD3C31BA21C}"/>
    <cellStyle name="Comma 5 8 4" xfId="1741" xr:uid="{5A144D5D-5195-4D2B-B703-182FFA8CA962}"/>
    <cellStyle name="Comma 5 8 4 2" xfId="4151" xr:uid="{76C1FF94-3401-46C5-8788-D48DBF0BE2CC}"/>
    <cellStyle name="Comma 5 9" xfId="352" xr:uid="{00000000-0005-0000-0000-00005F010000}"/>
    <cellStyle name="Comma 5 9 2" xfId="353" xr:uid="{00000000-0005-0000-0000-000060010000}"/>
    <cellStyle name="Comma 5 9 2 2" xfId="2030" xr:uid="{FA578F7F-7FE5-4BFC-8F65-91B64AF17F37}"/>
    <cellStyle name="Comma 5 9 2 2 2" xfId="4440" xr:uid="{8791B32D-F4E1-4E67-832C-C6599A5F65DE}"/>
    <cellStyle name="Comma 5 9 2 3" xfId="2943" xr:uid="{6C79D297-6913-4FC7-9605-A0BACB999059}"/>
    <cellStyle name="Comma 5 9 2 4" xfId="3247" xr:uid="{504A0992-2D01-4336-8CF7-EFC98275F83A}"/>
    <cellStyle name="Comma 5 9 3" xfId="961" xr:uid="{740D2EB9-CE45-4605-80EC-6CF3ECC0825C}"/>
    <cellStyle name="Comma 5 9 4" xfId="1742" xr:uid="{EA80EBFE-90CB-47CD-897F-E09410811A01}"/>
    <cellStyle name="Comma 5 9 4 2" xfId="4152" xr:uid="{64652FDE-4400-406B-AACA-94129C63B3B6}"/>
    <cellStyle name="Comma 6" xfId="354" xr:uid="{00000000-0005-0000-0000-000061010000}"/>
    <cellStyle name="Comma 6 2" xfId="355" xr:uid="{00000000-0005-0000-0000-000062010000}"/>
    <cellStyle name="Comma 6 3" xfId="356" xr:uid="{00000000-0005-0000-0000-000063010000}"/>
    <cellStyle name="Comma 6 3 2" xfId="357" xr:uid="{00000000-0005-0000-0000-000064010000}"/>
    <cellStyle name="Comma 6 3 3" xfId="962" xr:uid="{67BABA3C-B095-4C5C-8C77-20828880122C}"/>
    <cellStyle name="Comma 6 4" xfId="358" xr:uid="{00000000-0005-0000-0000-000065010000}"/>
    <cellStyle name="Comma 6 4 2" xfId="359" xr:uid="{00000000-0005-0000-0000-000066010000}"/>
    <cellStyle name="Comma 6 4 2 2" xfId="1142" xr:uid="{C7D180D1-2C50-4E1C-8B1D-165982B43090}"/>
    <cellStyle name="Comma 6 4 2 2 2" xfId="2243" xr:uid="{45781C38-6031-4D00-94FC-CBF1CCCF3076}"/>
    <cellStyle name="Comma 6 4 2 2 2 2" xfId="4622" xr:uid="{D8B07DF6-4CE8-435C-904B-54FE0DE1CED9}"/>
    <cellStyle name="Comma 6 4 2 2 3" xfId="1744" xr:uid="{E240D1AA-E8E1-42F0-9072-2F8A54F22DC7}"/>
    <cellStyle name="Comma 6 4 2 2 3 2" xfId="4154" xr:uid="{34BE539A-A80A-4B13-8AC3-33C188919FF1}"/>
    <cellStyle name="Comma 6 4 2 2 4" xfId="3655" xr:uid="{474CA733-34B7-4E77-BE2D-72973BF29D79}"/>
    <cellStyle name="Comma 6 4 2 3" xfId="2244" xr:uid="{9DA45816-6065-45B7-B626-1BDB38D178A1}"/>
    <cellStyle name="Comma 6 4 2 3 2" xfId="4623" xr:uid="{9923861A-6711-4219-826B-4DE91ABFD573}"/>
    <cellStyle name="Comma 6 4 2 4" xfId="2242" xr:uid="{05EFCFB9-D2AA-499E-98E4-23E0014745C5}"/>
    <cellStyle name="Comma 6 4 2 4 2" xfId="4621" xr:uid="{36BFE777-5A08-4626-AC66-BD69867838A2}"/>
    <cellStyle name="Comma 6 4 2 5" xfId="1579" xr:uid="{E52272F3-EC6F-4151-B402-1DB85C1C3CAF}"/>
    <cellStyle name="Comma 6 4 2 5 2" xfId="3989" xr:uid="{4D70433B-C92C-42A4-B87F-89399914C887}"/>
    <cellStyle name="Comma 6 4 2 6" xfId="2944" xr:uid="{806E1D96-6CE6-4004-A6C4-986AAC6EE7DC}"/>
    <cellStyle name="Comma 6 4 2 7" xfId="3248" xr:uid="{1BF96F25-A1F3-44A1-A3C2-B8CB15567926}"/>
    <cellStyle name="Comma 6 4 3" xfId="963" xr:uid="{476957E1-3644-4329-83A2-BEE224EDDD6E}"/>
    <cellStyle name="Comma 6 4 3 2" xfId="1143" xr:uid="{D9445CF9-8FFA-4727-8AC9-66F3DB10D52B}"/>
    <cellStyle name="Comma 6 4 3 2 2" xfId="2246" xr:uid="{3349D355-6E5D-419E-A1E9-9CB92930A14F}"/>
    <cellStyle name="Comma 6 4 3 2 2 2" xfId="4625" xr:uid="{715901EF-A818-4B85-A0AE-9C73B4EF50D4}"/>
    <cellStyle name="Comma 6 4 3 2 3" xfId="1745" xr:uid="{EEA270AB-6BA8-4596-B4BC-373182D5DFEF}"/>
    <cellStyle name="Comma 6 4 3 2 3 2" xfId="4155" xr:uid="{7D7838FD-0BD6-47A6-8423-747F974098AF}"/>
    <cellStyle name="Comma 6 4 3 2 4" xfId="3656" xr:uid="{0FAB7364-134A-466F-9E2D-6A7CABE3C860}"/>
    <cellStyle name="Comma 6 4 3 3" xfId="998" xr:uid="{F0B391C7-6038-4DAC-97E0-230C0202C921}"/>
    <cellStyle name="Comma 6 4 3 3 2" xfId="2247" xr:uid="{83766B93-91B9-436A-A874-C47DEEF2AFD0}"/>
    <cellStyle name="Comma 6 4 3 3 2 2" xfId="4626" xr:uid="{1CDB161C-EF9E-4A1D-AB27-108CE0A07D16}"/>
    <cellStyle name="Comma 6 4 3 3 3" xfId="3518" xr:uid="{8DEDCA89-2E38-4962-BF6A-237E43820A80}"/>
    <cellStyle name="Comma 6 4 3 4" xfId="2245" xr:uid="{BDECFCD5-62D7-4DA5-A20C-566C34BB47AC}"/>
    <cellStyle name="Comma 6 4 3 4 2" xfId="4624" xr:uid="{31300F81-879F-4B37-88B7-F4710FE78F42}"/>
    <cellStyle name="Comma 6 4 3 5" xfId="1682" xr:uid="{8B8FB010-269E-4593-BBEF-9C32424574DE}"/>
    <cellStyle name="Comma 6 4 3 5 2" xfId="4092" xr:uid="{7324AE4D-0765-4445-9E62-06447B079601}"/>
    <cellStyle name="Comma 6 4 4" xfId="1139" xr:uid="{CECE5185-E93B-4FCC-942A-7189E6F5EDD1}"/>
    <cellStyle name="Comma 6 4 4 2" xfId="2248" xr:uid="{9B0C045A-9478-4FB2-9EA9-9E1861CC64E3}"/>
    <cellStyle name="Comma 6 4 4 2 2" xfId="4627" xr:uid="{47136EED-7CC7-438B-9E1A-1A4A1D71E604}"/>
    <cellStyle name="Comma 6 4 4 3" xfId="1743" xr:uid="{E2A9C7AA-028B-4C7A-BD74-7C5C1B83B364}"/>
    <cellStyle name="Comma 6 4 4 3 2" xfId="4153" xr:uid="{9DAF0C6A-AA6D-4497-905A-BC5C116D8679}"/>
    <cellStyle name="Comma 6 4 4 4" xfId="3652" xr:uid="{84785D8B-FF87-4EC6-B883-92A392484CD6}"/>
    <cellStyle name="Comma 6 4 5" xfId="2249" xr:uid="{48E7B9C0-7CA4-46F2-B921-4B45ABD6F549}"/>
    <cellStyle name="Comma 6 4 5 2" xfId="4628" xr:uid="{B514E230-4664-4943-AB1B-464B73BB099D}"/>
    <cellStyle name="Comma 6 4 6" xfId="2031" xr:uid="{655A2E18-1D32-4ECC-BCA7-0F258E69B401}"/>
    <cellStyle name="Comma 6 4 6 2" xfId="4441" xr:uid="{FF7E1CAF-7D0A-40A8-A0C7-302BC5E61765}"/>
    <cellStyle name="Comma 6 4 7" xfId="1519" xr:uid="{6E990711-B700-4363-996F-D491D13AC3A0}"/>
    <cellStyle name="Comma 6 4 7 2" xfId="3929" xr:uid="{C48790BD-C97A-4B53-AFA6-C6C2BA3A8EC7}"/>
    <cellStyle name="Comma 6 5" xfId="360" xr:uid="{00000000-0005-0000-0000-000067010000}"/>
    <cellStyle name="Comma 6 5 2" xfId="1145" xr:uid="{844C6E54-140E-4FB2-82D5-F3956A9ED8B9}"/>
    <cellStyle name="Comma 6 5 2 2" xfId="2251" xr:uid="{AC6E54F7-F456-41F6-B63A-13014BBD6EC2}"/>
    <cellStyle name="Comma 6 5 2 2 2" xfId="4630" xr:uid="{5E643C88-B2F4-4A6C-A5C4-EA798C44CE2E}"/>
    <cellStyle name="Comma 6 5 2 3" xfId="1746" xr:uid="{D1339770-8C34-402E-A42E-3843717F1209}"/>
    <cellStyle name="Comma 6 5 2 3 2" xfId="4156" xr:uid="{883FFF37-585A-4257-B57E-E2A2BACB0202}"/>
    <cellStyle name="Comma 6 5 2 4" xfId="3658" xr:uid="{69806E08-C614-4DDC-ADBE-54FED9E64402}"/>
    <cellStyle name="Comma 6 5 3" xfId="932" xr:uid="{A6134D51-1FE3-47F4-BB33-1B79DADB0F7F}"/>
    <cellStyle name="Comma 6 5 3 2" xfId="2252" xr:uid="{EE2BC271-F5A4-4E68-A470-BEC89CC72268}"/>
    <cellStyle name="Comma 6 5 3 2 2" xfId="4631" xr:uid="{00738609-FBFA-400E-958A-B59D940F24A9}"/>
    <cellStyle name="Comma 6 5 3 3" xfId="3494" xr:uid="{F427EF07-C054-47CA-923C-DA43EEBB9FB8}"/>
    <cellStyle name="Comma 6 5 4" xfId="2250" xr:uid="{170B1BAF-5AC8-499F-95DA-48583FBE073F}"/>
    <cellStyle name="Comma 6 5 4 2" xfId="4629" xr:uid="{2F62C1B5-7577-4F0C-9119-08342E310A2D}"/>
    <cellStyle name="Comma 6 5 5" xfId="1622" xr:uid="{614505CA-68A7-4EED-9309-00527C392C04}"/>
    <cellStyle name="Comma 6 5 5 2" xfId="4032" xr:uid="{B824386F-F25A-4BB8-BF61-31740F80CD83}"/>
    <cellStyle name="Comma 7" xfId="361" xr:uid="{00000000-0005-0000-0000-000068010000}"/>
    <cellStyle name="Comma 7 10" xfId="362" xr:uid="{00000000-0005-0000-0000-000069010000}"/>
    <cellStyle name="Comma 7 10 2" xfId="2253" xr:uid="{296555A2-34C7-4C02-B01F-2A218679CA55}"/>
    <cellStyle name="Comma 7 10 2 2" xfId="4632" xr:uid="{D69987F6-7E13-4BA6-9351-48FE6DA3AA50}"/>
    <cellStyle name="Comma 7 10 3" xfId="2945" xr:uid="{12DA9B73-15B5-4A2D-8B5A-C24481ED2367}"/>
    <cellStyle name="Comma 7 10 4" xfId="3249" xr:uid="{2651571E-108C-4652-AEF2-46E5C7ED095C}"/>
    <cellStyle name="Comma 7 11" xfId="964" xr:uid="{5359027B-851C-4322-94B7-238B068D0C79}"/>
    <cellStyle name="Comma 7 11 2" xfId="2032" xr:uid="{3FD2C940-A71D-4DB9-A79B-EFC42C1ED535}"/>
    <cellStyle name="Comma 7 11 2 2" xfId="4442" xr:uid="{854FFF55-9265-481A-869E-260CA9428DB5}"/>
    <cellStyle name="Comma 7 12" xfId="1484" xr:uid="{708EC06D-E3ED-416E-A054-D2B53975719D}"/>
    <cellStyle name="Comma 7 12 2" xfId="3894" xr:uid="{1E719BE1-8F5D-4ED5-AA22-D00E47159C0E}"/>
    <cellStyle name="Comma 7 2" xfId="363" xr:uid="{00000000-0005-0000-0000-00006A010000}"/>
    <cellStyle name="Comma 7 2 2" xfId="364" xr:uid="{00000000-0005-0000-0000-00006B010000}"/>
    <cellStyle name="Comma 7 2 2 2" xfId="365" xr:uid="{00000000-0005-0000-0000-00006C010000}"/>
    <cellStyle name="Comma 7 2 2 2 2" xfId="1157" xr:uid="{C6572611-82DA-4A38-B4DE-0156AE31A277}"/>
    <cellStyle name="Comma 7 2 2 2 2 2" xfId="2255" xr:uid="{8FF85CCE-CE60-434D-8AC6-451063212590}"/>
    <cellStyle name="Comma 7 2 2 2 2 2 2" xfId="4634" xr:uid="{DD213C72-A032-49EF-9343-6BE7733F9352}"/>
    <cellStyle name="Comma 7 2 2 2 2 3" xfId="1750" xr:uid="{3C41B1E2-9609-461D-B6F8-17174F29D020}"/>
    <cellStyle name="Comma 7 2 2 2 2 3 2" xfId="4160" xr:uid="{3A74447A-CEA1-458D-AD17-42CE97657853}"/>
    <cellStyle name="Comma 7 2 2 2 2 4" xfId="3670" xr:uid="{12FC1AD0-A42D-48DE-9C39-C070B887D35D}"/>
    <cellStyle name="Comma 7 2 2 2 3" xfId="2256" xr:uid="{B0BCE17F-C6CA-40F9-9085-EE5529BB2FC9}"/>
    <cellStyle name="Comma 7 2 2 2 3 2" xfId="4635" xr:uid="{D91C973B-E756-43C9-B087-7259E69FE698}"/>
    <cellStyle name="Comma 7 2 2 2 4" xfId="2254" xr:uid="{C176165C-2391-4DB4-9383-58A21AC8BC32}"/>
    <cellStyle name="Comma 7 2 2 2 4 2" xfId="4633" xr:uid="{A0A641B8-54E9-42AA-B74E-6E9877950789}"/>
    <cellStyle name="Comma 7 2 2 2 5" xfId="1707" xr:uid="{29047AE4-1C2F-4905-8EE2-1948C3C4558B}"/>
    <cellStyle name="Comma 7 2 2 2 5 2" xfId="4117" xr:uid="{FBCD1DA2-2FE1-4A44-AC4C-E02F93D6C8C6}"/>
    <cellStyle name="Comma 7 2 2 2 6" xfId="2946" xr:uid="{CFB449EC-EC55-44AE-9A55-B7234E2FFBFA}"/>
    <cellStyle name="Comma 7 2 2 2 7" xfId="3250" xr:uid="{E2006CC7-6C41-4270-B438-9F39DF2E1528}"/>
    <cellStyle name="Comma 7 2 2 3" xfId="966" xr:uid="{94A06206-59D2-4DF4-BB4B-2595F5932E05}"/>
    <cellStyle name="Comma 7 2 2 3 2" xfId="1156" xr:uid="{301B29EE-F685-4782-BFA6-A5B1DC68546D}"/>
    <cellStyle name="Comma 7 2 2 3 2 2" xfId="2257" xr:uid="{CF754E58-42CA-43F1-A99C-9682B1D4F3C4}"/>
    <cellStyle name="Comma 7 2 2 3 2 2 2" xfId="4636" xr:uid="{E7FF97C5-097C-4F1C-ACF5-455A52C72515}"/>
    <cellStyle name="Comma 7 2 2 3 2 3" xfId="3669" xr:uid="{3CD0E44F-E621-4DE0-B87A-BD912C615006}"/>
    <cellStyle name="Comma 7 2 2 3 3" xfId="1749" xr:uid="{7F89EEE0-0A77-4D08-98B6-0D1955839424}"/>
    <cellStyle name="Comma 7 2 2 3 3 2" xfId="4159" xr:uid="{A5883F50-FF91-4E14-9A7D-B2856DC34BF5}"/>
    <cellStyle name="Comma 7 2 2 4" xfId="2258" xr:uid="{411BD42F-AD92-4272-B17B-F86EA3D93823}"/>
    <cellStyle name="Comma 7 2 2 4 2" xfId="4637" xr:uid="{6DB4041F-FDF5-433A-AE42-3900219C8FF9}"/>
    <cellStyle name="Comma 7 2 2 5" xfId="2034" xr:uid="{D18570BF-7CA6-4887-8313-62C29DC9903F}"/>
    <cellStyle name="Comma 7 2 2 5 2" xfId="4444" xr:uid="{B87D4225-72E4-4B75-89C6-8DB157D9B9A9}"/>
    <cellStyle name="Comma 7 2 2 6" xfId="1604" xr:uid="{B9D6E1C9-C356-4D74-BFA8-7E8EB09742A9}"/>
    <cellStyle name="Comma 7 2 2 6 2" xfId="4014" xr:uid="{747D74B7-6F93-4421-B9FF-32A92C1877BF}"/>
    <cellStyle name="Comma 7 2 3" xfId="366" xr:uid="{00000000-0005-0000-0000-00006D010000}"/>
    <cellStyle name="Comma 7 2 3 2" xfId="1158" xr:uid="{ED397CB9-05F9-48CE-A93A-E06B1104C7AE}"/>
    <cellStyle name="Comma 7 2 3 2 2" xfId="2260" xr:uid="{2ED12150-6621-431D-84B4-14C101F98C04}"/>
    <cellStyle name="Comma 7 2 3 2 2 2" xfId="4639" xr:uid="{B66B0DFD-1737-4A55-BF79-9BF726A922A8}"/>
    <cellStyle name="Comma 7 2 3 2 3" xfId="1751" xr:uid="{B585B601-5758-40CE-B941-F1EEE183D168}"/>
    <cellStyle name="Comma 7 2 3 2 3 2" xfId="4161" xr:uid="{D12FE3CB-66EB-4B76-94CF-5DCBC15ACD93}"/>
    <cellStyle name="Comma 7 2 3 2 4" xfId="3671" xr:uid="{19A181FB-E577-4193-8AE2-4D23B10A28F1}"/>
    <cellStyle name="Comma 7 2 3 3" xfId="2261" xr:uid="{18774395-79DC-487C-9B47-81E87BA0C47F}"/>
    <cellStyle name="Comma 7 2 3 3 2" xfId="4640" xr:uid="{95BF8227-9F86-4852-8AEB-C3A30F33A9C1}"/>
    <cellStyle name="Comma 7 2 3 4" xfId="2259" xr:uid="{4B24C4FD-2A9B-42B4-A45C-857EDECB10D0}"/>
    <cellStyle name="Comma 7 2 3 4 2" xfId="4638" xr:uid="{A88152F6-F2B7-492D-9CE4-42FE9DD63882}"/>
    <cellStyle name="Comma 7 2 3 5" xfId="1647" xr:uid="{F9391B29-102C-4282-AA00-FA5377BEC2F5}"/>
    <cellStyle name="Comma 7 2 3 5 2" xfId="4057" xr:uid="{FFE925FF-3028-49ED-95C0-AE10B0BDFC09}"/>
    <cellStyle name="Comma 7 2 3 6" xfId="2947" xr:uid="{C1F4C331-2914-41A6-BACF-737C65EFA82D}"/>
    <cellStyle name="Comma 7 2 3 7" xfId="3251" xr:uid="{83857FBE-596D-4B04-A656-EFD9019569D1}"/>
    <cellStyle name="Comma 7 2 4" xfId="965" xr:uid="{A9B99CCC-5D9D-4430-9E7F-0EAF92DE5DD9}"/>
    <cellStyle name="Comma 7 2 4 2" xfId="1155" xr:uid="{2BFE93E0-49FE-477D-A7B5-178C16835CE3}"/>
    <cellStyle name="Comma 7 2 4 2 2" xfId="2262" xr:uid="{2BD05FA1-A2B7-4E83-ABAD-A43D21A5713F}"/>
    <cellStyle name="Comma 7 2 4 2 2 2" xfId="4641" xr:uid="{131C1A5E-C0E4-4083-BBC6-06C11198CCDD}"/>
    <cellStyle name="Comma 7 2 4 2 3" xfId="3668" xr:uid="{DBDB8C15-0CD2-43AB-8DC9-005DF47CD9CE}"/>
    <cellStyle name="Comma 7 2 4 3" xfId="1748" xr:uid="{CF19A25C-0EF0-4090-9434-A1B9AF7905DB}"/>
    <cellStyle name="Comma 7 2 4 3 2" xfId="4158" xr:uid="{5613AA85-4F8F-4212-B0E7-6BF344B533A4}"/>
    <cellStyle name="Comma 7 2 5" xfId="2263" xr:uid="{BF0A7857-33D3-4E70-B497-308DF00E4D19}"/>
    <cellStyle name="Comma 7 2 5 2" xfId="4642" xr:uid="{9EE63DF2-A65B-4FBF-A817-E500612E26D2}"/>
    <cellStyle name="Comma 7 2 6" xfId="2033" xr:uid="{457E99F3-1998-4B47-8F64-750C22FE626C}"/>
    <cellStyle name="Comma 7 2 6 2" xfId="4443" xr:uid="{7888039B-B51B-48A5-9E71-9DD4B6040600}"/>
    <cellStyle name="Comma 7 2 7" xfId="1544" xr:uid="{47DB3072-8A13-44AF-BA47-E2B9E1790E0A}"/>
    <cellStyle name="Comma 7 2 7 2" xfId="3954" xr:uid="{BAA5C0C0-F71B-465D-8C60-CBBEADA39942}"/>
    <cellStyle name="Comma 7 3" xfId="367" xr:uid="{00000000-0005-0000-0000-00006E010000}"/>
    <cellStyle name="Comma 7 3 2" xfId="368" xr:uid="{00000000-0005-0000-0000-00006F010000}"/>
    <cellStyle name="Comma 7 3 2 2" xfId="1160" xr:uid="{9DA1EAA8-1BC2-4C8E-88DB-2DBA373D4AB6}"/>
    <cellStyle name="Comma 7 3 2 2 2" xfId="2265" xr:uid="{0213512A-06CA-4969-BBB0-017491DFF7F7}"/>
    <cellStyle name="Comma 7 3 2 2 2 2" xfId="4644" xr:uid="{793BA04E-4C67-4EA6-BD53-760EEC47F5AD}"/>
    <cellStyle name="Comma 7 3 2 2 3" xfId="1753" xr:uid="{15E1BF62-8DF9-4EAA-9DDB-237C935A3849}"/>
    <cellStyle name="Comma 7 3 2 2 3 2" xfId="4163" xr:uid="{EEDD4516-0C13-479F-8EA6-348422886244}"/>
    <cellStyle name="Comma 7 3 2 2 4" xfId="3673" xr:uid="{C8DD5921-BB75-472C-B809-47A8C12D9ACB}"/>
    <cellStyle name="Comma 7 3 2 3" xfId="2266" xr:uid="{E94016F8-098B-430B-83BB-0FB926690C80}"/>
    <cellStyle name="Comma 7 3 2 3 2" xfId="4645" xr:uid="{0F7472DF-8226-4E1B-92AF-A0089B253263}"/>
    <cellStyle name="Comma 7 3 2 4" xfId="2264" xr:uid="{FA06ADE8-61C6-4F82-99EA-16BC9B872F1D}"/>
    <cellStyle name="Comma 7 3 2 4 2" xfId="4643" xr:uid="{342007D9-9FD0-434E-8120-A7335EB84B14}"/>
    <cellStyle name="Comma 7 3 2 5" xfId="1581" xr:uid="{1FF02644-65C3-4C62-AF50-82E68BEF58EA}"/>
    <cellStyle name="Comma 7 3 2 5 2" xfId="3991" xr:uid="{4E7623B0-6808-407B-8750-39934DD9F242}"/>
    <cellStyle name="Comma 7 3 2 6" xfId="2948" xr:uid="{70D3D92B-A77D-46A4-B0E1-FB32AC00D024}"/>
    <cellStyle name="Comma 7 3 2 7" xfId="3252" xr:uid="{B4539BCA-7D1B-46A8-BA14-F127F9866F53}"/>
    <cellStyle name="Comma 7 3 3" xfId="967" xr:uid="{FCC0B8B7-E6A4-475C-9BA8-A1D9FA7FB6E9}"/>
    <cellStyle name="Comma 7 3 3 2" xfId="1161" xr:uid="{FC27E561-EC20-4A02-B2E4-99BB8BD16C20}"/>
    <cellStyle name="Comma 7 3 3 2 2" xfId="2268" xr:uid="{A50A02AC-250E-486D-A666-210C89BBEDC9}"/>
    <cellStyle name="Comma 7 3 3 2 2 2" xfId="4647" xr:uid="{22423C23-8796-4355-9AB5-55D835804943}"/>
    <cellStyle name="Comma 7 3 3 2 3" xfId="1754" xr:uid="{3AC40A65-671A-4CEB-AE73-21384E72F414}"/>
    <cellStyle name="Comma 7 3 3 2 3 2" xfId="4164" xr:uid="{62A1F9B7-FD87-409B-8206-914DF752C248}"/>
    <cellStyle name="Comma 7 3 3 2 4" xfId="3674" xr:uid="{E006BED4-F553-4F9F-A160-314406EDA7FE}"/>
    <cellStyle name="Comma 7 3 3 3" xfId="1000" xr:uid="{11A1EA30-6F0C-4B85-A0CC-90DEFB45F70A}"/>
    <cellStyle name="Comma 7 3 3 3 2" xfId="2269" xr:uid="{96EBC50E-690A-4631-A8D2-3DDD2F91B13E}"/>
    <cellStyle name="Comma 7 3 3 3 2 2" xfId="4648" xr:uid="{05CCD16B-C907-433F-9B5D-1A1E98A62817}"/>
    <cellStyle name="Comma 7 3 3 3 3" xfId="3520" xr:uid="{07FADEE0-B2A4-4CAE-9237-0ACD84725975}"/>
    <cellStyle name="Comma 7 3 3 4" xfId="2267" xr:uid="{DC96E1AB-9C1D-4C9E-A608-3A7FEBD042AC}"/>
    <cellStyle name="Comma 7 3 3 4 2" xfId="4646" xr:uid="{9CAA9FF1-4640-4118-BF8C-886D17657E7B}"/>
    <cellStyle name="Comma 7 3 3 5" xfId="1684" xr:uid="{AF4C5EFD-9C0D-46D7-B4A6-568F75A3EEAE}"/>
    <cellStyle name="Comma 7 3 3 5 2" xfId="4094" xr:uid="{E195417A-ACC6-4544-B1E1-A90089F56567}"/>
    <cellStyle name="Comma 7 3 4" xfId="1159" xr:uid="{26ACE7CF-4D10-4961-83C2-F483FE497CF4}"/>
    <cellStyle name="Comma 7 3 4 2" xfId="2270" xr:uid="{3C821BBA-1BA0-423D-8A31-D564E3225397}"/>
    <cellStyle name="Comma 7 3 4 2 2" xfId="4649" xr:uid="{6EA643FD-5276-4153-9E38-C4153A4F3D80}"/>
    <cellStyle name="Comma 7 3 4 3" xfId="1752" xr:uid="{216E060C-62A6-4876-A99F-1C9745F22FA1}"/>
    <cellStyle name="Comma 7 3 4 3 2" xfId="4162" xr:uid="{4E179999-60E1-4B61-A16E-7C15316C53EC}"/>
    <cellStyle name="Comma 7 3 4 4" xfId="3672" xr:uid="{DB2909A2-D005-4AA7-817A-EAD599FDE721}"/>
    <cellStyle name="Comma 7 3 5" xfId="2271" xr:uid="{5BEE8164-6040-4099-A761-C9307B1B87B5}"/>
    <cellStyle name="Comma 7 3 5 2" xfId="4650" xr:uid="{9AE56ABF-A729-4272-B7EE-649BE6D6922C}"/>
    <cellStyle name="Comma 7 3 6" xfId="2035" xr:uid="{560791F7-35AA-4D70-955B-C22384707C60}"/>
    <cellStyle name="Comma 7 3 6 2" xfId="4445" xr:uid="{E7C98CB4-9C94-48AC-BE89-F78529950972}"/>
    <cellStyle name="Comma 7 3 7" xfId="1521" xr:uid="{63B542C5-A2EB-4B09-A8B8-03964F1C3271}"/>
    <cellStyle name="Comma 7 3 7 2" xfId="3931" xr:uid="{4F25BC34-90FD-4F09-A581-76B88B76FB93}"/>
    <cellStyle name="Comma 7 4" xfId="369" xr:uid="{00000000-0005-0000-0000-000070010000}"/>
    <cellStyle name="Comma 7 4 2" xfId="370" xr:uid="{00000000-0005-0000-0000-000071010000}"/>
    <cellStyle name="Comma 7 4 2 2" xfId="1163" xr:uid="{9B28A05E-95D5-443F-A795-E568BC450272}"/>
    <cellStyle name="Comma 7 4 2 2 2" xfId="2273" xr:uid="{F8235C9A-ED6B-4435-8C76-3B408DC5416C}"/>
    <cellStyle name="Comma 7 4 2 2 2 2" xfId="4652" xr:uid="{F8997BAE-68E6-489F-8C0A-B185594E69FF}"/>
    <cellStyle name="Comma 7 4 2 2 3" xfId="1756" xr:uid="{9303FA70-D135-42F5-85A8-F83BD67F8A7A}"/>
    <cellStyle name="Comma 7 4 2 2 3 2" xfId="4166" xr:uid="{2C6A9F55-7929-42DE-92CB-7AF46CBD667B}"/>
    <cellStyle name="Comma 7 4 2 2 4" xfId="3676" xr:uid="{474A5D3E-F151-4A42-81FA-B5D0222AD5E8}"/>
    <cellStyle name="Comma 7 4 2 3" xfId="2274" xr:uid="{014CE426-FC94-4A8A-AAF0-B86E5CA6B07B}"/>
    <cellStyle name="Comma 7 4 2 3 2" xfId="4653" xr:uid="{E1D9FE55-69B2-4A28-9EEB-25D187D30D67}"/>
    <cellStyle name="Comma 7 4 2 4" xfId="2272" xr:uid="{792879E1-490D-48C6-986B-DF7F970AFDC0}"/>
    <cellStyle name="Comma 7 4 2 4 2" xfId="4651" xr:uid="{BE419CAE-DAE8-43E1-8DD8-0F0EE9E03C93}"/>
    <cellStyle name="Comma 7 4 2 5" xfId="1664" xr:uid="{77C285C6-405F-40B2-8D8F-654459F421AB}"/>
    <cellStyle name="Comma 7 4 2 5 2" xfId="4074" xr:uid="{84B97C0B-2427-4823-80C2-4E1968A07886}"/>
    <cellStyle name="Comma 7 4 2 6" xfId="2949" xr:uid="{755E01BB-AF4C-4E9A-8DF6-610C27FEAA37}"/>
    <cellStyle name="Comma 7 4 2 7" xfId="3253" xr:uid="{6D373AFC-90C7-4F8C-80B3-0E47C76861B7}"/>
    <cellStyle name="Comma 7 4 3" xfId="968" xr:uid="{219317A3-52C6-4997-8C32-8E38AD54D854}"/>
    <cellStyle name="Comma 7 4 3 2" xfId="1162" xr:uid="{D53DC2AE-D7A8-4252-A703-1D41FBAE48C6}"/>
    <cellStyle name="Comma 7 4 3 2 2" xfId="2275" xr:uid="{561845E9-D134-4E6E-810D-E9C75CD61226}"/>
    <cellStyle name="Comma 7 4 3 2 2 2" xfId="4654" xr:uid="{53E7BF42-AC8C-4F5D-B651-0A5ACE1AEDE9}"/>
    <cellStyle name="Comma 7 4 3 2 3" xfId="3675" xr:uid="{C8D26925-3C4C-4CA7-8993-B6A02B013942}"/>
    <cellStyle name="Comma 7 4 3 3" xfId="1755" xr:uid="{9F59B43E-7938-49BD-B6C5-08F767E89E2D}"/>
    <cellStyle name="Comma 7 4 3 3 2" xfId="4165" xr:uid="{07A01B98-BF7B-467A-A036-292FB1833AD9}"/>
    <cellStyle name="Comma 7 4 4" xfId="2276" xr:uid="{D4B87A58-E0A5-44FD-9866-16C0D13FBA15}"/>
    <cellStyle name="Comma 7 4 4 2" xfId="4655" xr:uid="{87152826-C42F-4AC0-985A-3686767C52F4}"/>
    <cellStyle name="Comma 7 4 5" xfId="2036" xr:uid="{7021679F-F9EE-4750-BEAD-A2067F1C20BB}"/>
    <cellStyle name="Comma 7 4 5 2" xfId="4446" xr:uid="{AA2D2B4C-2D16-4700-974A-19F63751EEA3}"/>
    <cellStyle name="Comma 7 4 6" xfId="1501" xr:uid="{56CE0F6E-2D8D-40E3-B965-2FAE3B1345F3}"/>
    <cellStyle name="Comma 7 4 6 2" xfId="3911" xr:uid="{F0B9A191-F8F6-4580-956A-4260523C0DEF}"/>
    <cellStyle name="Comma 7 5" xfId="371" xr:uid="{00000000-0005-0000-0000-000072010000}"/>
    <cellStyle name="Comma 7 5 2" xfId="372" xr:uid="{00000000-0005-0000-0000-000073010000}"/>
    <cellStyle name="Comma 7 5 2 2" xfId="2277" xr:uid="{D354FCCE-6982-43B8-8124-BBBF5944BC50}"/>
    <cellStyle name="Comma 7 5 2 2 2" xfId="4656" xr:uid="{E042579F-1D78-488E-8CE9-AA622248E828}"/>
    <cellStyle name="Comma 7 5 2 3" xfId="1757" xr:uid="{7B756BD7-40F5-42E3-982B-3B27FD62960D}"/>
    <cellStyle name="Comma 7 5 2 3 2" xfId="4167" xr:uid="{B5551EB7-2D73-40F0-BEB6-A161B818630B}"/>
    <cellStyle name="Comma 7 5 2 4" xfId="2950" xr:uid="{4F6191CB-90AD-4362-99BC-9D268C0A95CE}"/>
    <cellStyle name="Comma 7 5 2 5" xfId="3254" xr:uid="{511E01A7-17E9-4355-95AB-D9DE3B652D05}"/>
    <cellStyle name="Comma 7 5 3" xfId="969" xr:uid="{0F75EF95-6E6D-4623-8942-91BB3B46843C}"/>
    <cellStyle name="Comma 7 5 3 2" xfId="2278" xr:uid="{372335A9-174F-4340-8721-C78EA1BA54DD}"/>
    <cellStyle name="Comma 7 5 3 2 2" xfId="4657" xr:uid="{26FAA2CA-6295-44C0-92A6-8888FBACD84A}"/>
    <cellStyle name="Comma 7 5 4" xfId="2037" xr:uid="{A074C8D4-8FC7-49A8-B51A-568C0D6E60DC}"/>
    <cellStyle name="Comma 7 5 4 2" xfId="4447" xr:uid="{276C55FB-370D-46DC-8829-946B0ACD914B}"/>
    <cellStyle name="Comma 7 5 5" xfId="1561" xr:uid="{25009053-879E-439B-B101-88E437A19286}"/>
    <cellStyle name="Comma 7 5 5 2" xfId="3971" xr:uid="{2774F29E-6C33-44E3-A251-B95CCAA58D05}"/>
    <cellStyle name="Comma 7 6" xfId="373" xr:uid="{00000000-0005-0000-0000-000074010000}"/>
    <cellStyle name="Comma 7 6 2" xfId="374" xr:uid="{00000000-0005-0000-0000-000075010000}"/>
    <cellStyle name="Comma 7 6 2 2" xfId="2279" xr:uid="{F096FB35-8317-4EA7-91FD-452E416849A6}"/>
    <cellStyle name="Comma 7 6 2 2 2" xfId="4658" xr:uid="{2AEDDFB9-10D5-4D0A-8C18-93E7BD1D7290}"/>
    <cellStyle name="Comma 7 6 2 3" xfId="1758" xr:uid="{B7C65AC5-7DC7-4088-B87A-2753D27B7A88}"/>
    <cellStyle name="Comma 7 6 2 3 2" xfId="4168" xr:uid="{9B3DCFF2-964E-4207-BE7E-CA8A1213661A}"/>
    <cellStyle name="Comma 7 6 2 4" xfId="2951" xr:uid="{6AD7EC9F-3D6C-4B42-82B9-C81DF5C3D6F9}"/>
    <cellStyle name="Comma 7 6 2 5" xfId="3255" xr:uid="{0B45DFFD-9407-454D-A54E-EDA370C47498}"/>
    <cellStyle name="Comma 7 6 3" xfId="970" xr:uid="{DCF80531-EE68-4B05-AEFC-6DE73E3C6262}"/>
    <cellStyle name="Comma 7 6 3 2" xfId="2280" xr:uid="{C02391B3-40D5-44C3-887B-B5ACE5669880}"/>
    <cellStyle name="Comma 7 6 3 2 2" xfId="4659" xr:uid="{9E501FB4-54EC-4426-9242-573F0FF0C786}"/>
    <cellStyle name="Comma 7 6 4" xfId="2038" xr:uid="{04BD0DA3-AFF8-419B-B1AC-E3E6B1820EF3}"/>
    <cellStyle name="Comma 7 6 4 2" xfId="4448" xr:uid="{DAD0C28D-F3E3-42B3-A6B9-97D182461EE9}"/>
    <cellStyle name="Comma 7 6 5" xfId="1624" xr:uid="{0EDD81BB-91F8-4059-938B-3840D0931169}"/>
    <cellStyle name="Comma 7 6 5 2" xfId="4034" xr:uid="{F6FA012D-118E-4D75-A6AD-D42282827DAF}"/>
    <cellStyle name="Comma 7 7" xfId="375" xr:uid="{00000000-0005-0000-0000-000076010000}"/>
    <cellStyle name="Comma 7 7 2" xfId="376" xr:uid="{00000000-0005-0000-0000-000077010000}"/>
    <cellStyle name="Comma 7 7 2 2" xfId="2039" xr:uid="{92F60CC1-58E6-4184-8221-6E533D768E1E}"/>
    <cellStyle name="Comma 7 7 2 2 2" xfId="4449" xr:uid="{A709056E-F509-46AD-92A2-4A159F0A7B18}"/>
    <cellStyle name="Comma 7 7 2 3" xfId="2952" xr:uid="{AD2F054C-4057-4423-A86B-EE0601B3FAE5}"/>
    <cellStyle name="Comma 7 7 2 4" xfId="3256" xr:uid="{4E817BF4-E507-4958-9D04-A891B52986B9}"/>
    <cellStyle name="Comma 7 7 3" xfId="971" xr:uid="{56B24DEC-FE09-469A-8F30-A262E51F910F}"/>
    <cellStyle name="Comma 7 7 4" xfId="1759" xr:uid="{EF7C6FAF-8890-4F2C-967E-02FC0DE60461}"/>
    <cellStyle name="Comma 7 7 4 2" xfId="4169" xr:uid="{4F93DDF9-08B9-4058-A104-4DC708B69D7C}"/>
    <cellStyle name="Comma 7 8" xfId="377" xr:uid="{00000000-0005-0000-0000-000078010000}"/>
    <cellStyle name="Comma 7 8 2" xfId="378" xr:uid="{00000000-0005-0000-0000-000079010000}"/>
    <cellStyle name="Comma 7 8 2 2" xfId="2040" xr:uid="{7E204DF5-D372-46BA-9397-9EA02DE8C43B}"/>
    <cellStyle name="Comma 7 8 2 2 2" xfId="4450" xr:uid="{525AA023-D6FE-4C0A-A056-34076D34CF6A}"/>
    <cellStyle name="Comma 7 8 2 3" xfId="2953" xr:uid="{BCDECE19-D2F3-45EB-988A-1FFB417D785E}"/>
    <cellStyle name="Comma 7 8 2 4" xfId="3257" xr:uid="{FF749E27-16A2-4481-A624-4159F6078E9A}"/>
    <cellStyle name="Comma 7 8 3" xfId="972" xr:uid="{0AF390D0-583C-4542-BD95-BF2187F53F59}"/>
    <cellStyle name="Comma 7 8 4" xfId="1760" xr:uid="{7C180F9A-2E82-4704-87DB-21255BCC7B21}"/>
    <cellStyle name="Comma 7 8 4 2" xfId="4170" xr:uid="{B7F6A764-C026-4A28-BB89-42AD44A7BE11}"/>
    <cellStyle name="Comma 7 9" xfId="379" xr:uid="{00000000-0005-0000-0000-00007A010000}"/>
    <cellStyle name="Comma 7 9 2" xfId="973" xr:uid="{226FF0BD-7A99-4E67-A8F5-53EEE9E842EE}"/>
    <cellStyle name="Comma 7 9 2 2" xfId="2281" xr:uid="{76ADD718-CE70-433B-9500-DFE66319A659}"/>
    <cellStyle name="Comma 7 9 2 2 2" xfId="4660" xr:uid="{5AF5A391-760D-4817-B2B7-284D9C7FE039}"/>
    <cellStyle name="Comma 7 9 3" xfId="1149" xr:uid="{490DEAC9-BB71-497F-A92A-910E9498A459}"/>
    <cellStyle name="Comma 7 9 3 2" xfId="3662" xr:uid="{9FEC3CA9-A289-45AF-AD8A-A40F81C41D11}"/>
    <cellStyle name="Comma 7 9 4" xfId="1747" xr:uid="{8E43AAD2-0DC5-4CC6-AE83-B5013377EAC5}"/>
    <cellStyle name="Comma 7 9 4 2" xfId="4157" xr:uid="{43B0323D-DCA1-4D27-AEB8-B0118D21C474}"/>
    <cellStyle name="Comma 7 9 5" xfId="907" xr:uid="{DF3310FB-6842-4748-8BAA-B43D7A05B085}"/>
    <cellStyle name="Comma 8" xfId="380" xr:uid="{00000000-0005-0000-0000-00007B010000}"/>
    <cellStyle name="Comma 9" xfId="381" xr:uid="{00000000-0005-0000-0000-00007C010000}"/>
    <cellStyle name="Comma 9 2" xfId="382" xr:uid="{00000000-0005-0000-0000-00007D010000}"/>
    <cellStyle name="Comma 9 2 2" xfId="383" xr:uid="{00000000-0005-0000-0000-00007E010000}"/>
    <cellStyle name="Comma 9 2 2 2" xfId="1166" xr:uid="{C3AA318E-5874-45E7-93C1-DDCDA2D7F7B7}"/>
    <cellStyle name="Comma 9 2 2 2 2" xfId="2283" xr:uid="{7F28C929-6F39-4E5B-B538-E45258661BD5}"/>
    <cellStyle name="Comma 9 2 2 2 2 2" xfId="4662" xr:uid="{6C5527F3-5CDF-4140-A3E0-25FB07461DD2}"/>
    <cellStyle name="Comma 9 2 2 2 3" xfId="1763" xr:uid="{0515178F-813E-45C1-A2D7-23A914CD1107}"/>
    <cellStyle name="Comma 9 2 2 2 3 2" xfId="4173" xr:uid="{897F718E-5F36-4D94-AAB1-238524F9CAE4}"/>
    <cellStyle name="Comma 9 2 2 2 4" xfId="3679" xr:uid="{29FFECB0-3FE9-4D88-8D9E-A3B362F69BB7}"/>
    <cellStyle name="Comma 9 2 2 3" xfId="2284" xr:uid="{1F6E2137-02D3-4CA0-A4E4-44671FB67BC9}"/>
    <cellStyle name="Comma 9 2 2 3 2" xfId="4663" xr:uid="{A2770AA6-A7F3-4502-A7E1-3C942AA281BB}"/>
    <cellStyle name="Comma 9 2 2 4" xfId="2282" xr:uid="{354E5044-62B7-417F-8847-DCC3A7EEF68E}"/>
    <cellStyle name="Comma 9 2 2 4 2" xfId="4661" xr:uid="{7451CEC8-D641-443D-8413-6D826184BAF3}"/>
    <cellStyle name="Comma 9 2 2 5" xfId="1694" xr:uid="{A2AFD75C-7944-41A0-8154-900346D8F611}"/>
    <cellStyle name="Comma 9 2 2 5 2" xfId="4104" xr:uid="{0B506EF5-27AB-402F-95EB-1FF12692318F}"/>
    <cellStyle name="Comma 9 2 2 6" xfId="2954" xr:uid="{F126982A-33BF-47F7-888F-862F556945DC}"/>
    <cellStyle name="Comma 9 2 2 7" xfId="3258" xr:uid="{6D8350BC-D50F-4FA0-953B-71C6143E01C6}"/>
    <cellStyle name="Comma 9 2 3" xfId="975" xr:uid="{09839102-2F18-4537-88B7-C642CAD13E12}"/>
    <cellStyle name="Comma 9 2 3 2" xfId="1165" xr:uid="{2B3E61DD-4A4F-4BFD-9C0E-4AF044F6E8A7}"/>
    <cellStyle name="Comma 9 2 3 2 2" xfId="2285" xr:uid="{0D8F18E7-541E-420B-BFFD-62840056853A}"/>
    <cellStyle name="Comma 9 2 3 2 2 2" xfId="4664" xr:uid="{01309E79-8523-4A75-ACD4-3D129B955E8F}"/>
    <cellStyle name="Comma 9 2 3 2 3" xfId="3678" xr:uid="{FDAAB335-202A-44D4-B43C-2B06C24AB452}"/>
    <cellStyle name="Comma 9 2 3 3" xfId="1762" xr:uid="{71D6AAA4-E934-407C-B167-77EB526570C3}"/>
    <cellStyle name="Comma 9 2 3 3 2" xfId="4172" xr:uid="{8066DB3E-BF0B-4C08-9E55-C5A910AA695C}"/>
    <cellStyle name="Comma 9 2 4" xfId="2286" xr:uid="{C5634964-1821-45BE-B646-C392AA1FB72E}"/>
    <cellStyle name="Comma 9 2 4 2" xfId="4665" xr:uid="{39E44315-7C2D-4923-ACCF-6BEA709781B9}"/>
    <cellStyle name="Comma 9 2 5" xfId="2042" xr:uid="{D07675FD-1D93-4F7E-AE2C-8954174A104A}"/>
    <cellStyle name="Comma 9 2 5 2" xfId="4452" xr:uid="{14F8A070-40E1-4AB1-A191-F608B17DBACE}"/>
    <cellStyle name="Comma 9 2 6" xfId="1591" xr:uid="{CEF3A104-74D0-4D6D-879C-305CC6BBF3C9}"/>
    <cellStyle name="Comma 9 2 6 2" xfId="4001" xr:uid="{B6C6DD21-3AC1-43B7-BBCB-4BF070BEB9C1}"/>
    <cellStyle name="Comma 9 3" xfId="384" xr:uid="{00000000-0005-0000-0000-00007F010000}"/>
    <cellStyle name="Comma 9 3 2" xfId="1167" xr:uid="{78B81D80-A601-4517-B6BB-0076E3CED889}"/>
    <cellStyle name="Comma 9 3 2 2" xfId="2288" xr:uid="{08445DF7-7E2E-4972-9004-6C0560C6F3BC}"/>
    <cellStyle name="Comma 9 3 2 2 2" xfId="4667" xr:uid="{276BB156-7BF2-4F48-8861-48B9C1B4A37B}"/>
    <cellStyle name="Comma 9 3 2 3" xfId="1764" xr:uid="{8FF523AC-EB69-4410-B985-4DAD6A8D5B05}"/>
    <cellStyle name="Comma 9 3 2 3 2" xfId="4174" xr:uid="{477769F5-4A6D-4A25-8C62-798826D1BE39}"/>
    <cellStyle name="Comma 9 3 2 4" xfId="3680" xr:uid="{54F191F5-FE36-46F4-B390-36626282E7CB}"/>
    <cellStyle name="Comma 9 3 3" xfId="2289" xr:uid="{9BE62DAB-1528-404A-AA4F-41C4FD0B7CC4}"/>
    <cellStyle name="Comma 9 3 3 2" xfId="4668" xr:uid="{FCC8EC30-B352-4C56-94A5-707F469517DF}"/>
    <cellStyle name="Comma 9 3 4" xfId="2287" xr:uid="{86B82320-DB39-47F4-B140-E264650FBCF0}"/>
    <cellStyle name="Comma 9 3 4 2" xfId="4666" xr:uid="{41E2C9A2-84E7-4780-AA37-CCEB5220C659}"/>
    <cellStyle name="Comma 9 3 5" xfId="1634" xr:uid="{63070887-9780-4149-BC83-7E3592C876C2}"/>
    <cellStyle name="Comma 9 3 5 2" xfId="4044" xr:uid="{FDA1844A-8DA7-414D-819F-757CD4AA5EB6}"/>
    <cellStyle name="Comma 9 3 6" xfId="2955" xr:uid="{D08EFF27-E860-48B0-8C21-FC9090F87783}"/>
    <cellStyle name="Comma 9 3 7" xfId="3259" xr:uid="{7E1F2266-9AE8-4476-9520-0074CDE59776}"/>
    <cellStyle name="Comma 9 4" xfId="974" xr:uid="{429D9A9D-BB33-4778-A745-11ED443C40D6}"/>
    <cellStyle name="Comma 9 4 2" xfId="1164" xr:uid="{835C9C29-DE31-44A9-BB22-695F468CBFC8}"/>
    <cellStyle name="Comma 9 4 2 2" xfId="2290" xr:uid="{DC5CC0EB-4EB0-48AB-BAED-239C9577E936}"/>
    <cellStyle name="Comma 9 4 2 2 2" xfId="4669" xr:uid="{E0484A84-E3F9-4996-BD7F-D61C07D6CC84}"/>
    <cellStyle name="Comma 9 4 2 3" xfId="3677" xr:uid="{9FE3C93C-E0E4-444C-AA28-8F368EE82C4E}"/>
    <cellStyle name="Comma 9 4 3" xfId="1761" xr:uid="{111FF52B-C24C-45CA-A792-1E0B25722453}"/>
    <cellStyle name="Comma 9 4 3 2" xfId="4171" xr:uid="{B3756932-1B61-4811-A4A2-17F0A585F56E}"/>
    <cellStyle name="Comma 9 5" xfId="2291" xr:uid="{556DEF20-F75F-47A5-ADE5-D9FEBDD43C6C}"/>
    <cellStyle name="Comma 9 5 2" xfId="4670" xr:uid="{8C81F561-2F8D-466D-8AD9-0C8EF3200A15}"/>
    <cellStyle name="Comma 9 6" xfId="2041" xr:uid="{1F033E70-B8AF-4F0C-8587-81B1BAD2F93D}"/>
    <cellStyle name="Comma 9 6 2" xfId="4451" xr:uid="{593AD08A-258E-4572-AF8C-AD2B5DC89EF1}"/>
    <cellStyle name="Comma 9 7" xfId="1531" xr:uid="{6B64F1B4-2194-4942-92E3-EA71236145A0}"/>
    <cellStyle name="Comma 9 7 2" xfId="3941" xr:uid="{5451C5B4-0F52-4F2C-ACFB-222A294AC30E}"/>
    <cellStyle name="Currency" xfId="385" builtinId="4"/>
    <cellStyle name="Currency 2" xfId="386" xr:uid="{00000000-0005-0000-0000-000081010000}"/>
    <cellStyle name="Currency 2 2" xfId="387" xr:uid="{00000000-0005-0000-0000-000082010000}"/>
    <cellStyle name="Currency 2 2 2" xfId="388" xr:uid="{00000000-0005-0000-0000-000083010000}"/>
    <cellStyle name="Currency 2 2 3" xfId="976" xr:uid="{A09CAF8A-4505-48AB-BFA5-83A45811A0D5}"/>
    <cellStyle name="Currency 2 3" xfId="389" xr:uid="{00000000-0005-0000-0000-000084010000}"/>
    <cellStyle name="Currency 2 4" xfId="390" xr:uid="{00000000-0005-0000-0000-000085010000}"/>
    <cellStyle name="Currency 2 4 2" xfId="977" xr:uid="{458E58B5-C1E4-4C28-9C30-1F77B9473D9C}"/>
    <cellStyle name="Currency 2 4 3" xfId="909" xr:uid="{D77FA75E-965F-4612-A54B-C5D60FA30B40}"/>
    <cellStyle name="Currency 2 5" xfId="391" xr:uid="{00000000-0005-0000-0000-000086010000}"/>
    <cellStyle name="Currency 3" xfId="392" xr:uid="{00000000-0005-0000-0000-000087010000}"/>
    <cellStyle name="Currency 3 2" xfId="393" xr:uid="{00000000-0005-0000-0000-000088010000}"/>
    <cellStyle name="Currency 3 3" xfId="394" xr:uid="{00000000-0005-0000-0000-000089010000}"/>
    <cellStyle name="Currency 3 3 2" xfId="978" xr:uid="{3E8627B8-A772-4A1A-B52D-4F0157E8E7C1}"/>
    <cellStyle name="Currency 3 3 3" xfId="906" xr:uid="{FD95EC2E-F541-400B-98FA-51499F92143E}"/>
    <cellStyle name="Currency 3 4" xfId="855" xr:uid="{24E5BB1F-4004-47FC-B073-ED06FF974088}"/>
    <cellStyle name="Currency 4" xfId="395" xr:uid="{00000000-0005-0000-0000-00008A010000}"/>
    <cellStyle name="Currency 4 10" xfId="979" xr:uid="{14D09431-3B07-4795-873E-7CF0DCD5BAD3}"/>
    <cellStyle name="Currency 4 10 2" xfId="2292" xr:uid="{EC0009AC-8D8D-46B6-8E86-6D5A6DCA77D4}"/>
    <cellStyle name="Currency 4 10 2 2" xfId="4671" xr:uid="{B2DB7F4F-2930-4426-BED8-EAD6FB10D8F8}"/>
    <cellStyle name="Currency 4 11" xfId="2043" xr:uid="{BAFCC5A1-BF7E-483D-B0E1-09D1FBD87B03}"/>
    <cellStyle name="Currency 4 11 2" xfId="4453" xr:uid="{A59016E0-92F1-4AEA-8D45-8F038B1526DA}"/>
    <cellStyle name="Currency 4 12" xfId="1485" xr:uid="{74888C82-12E8-4DCE-965A-B78B2E2DBB0B}"/>
    <cellStyle name="Currency 4 12 2" xfId="3895" xr:uid="{C229DC97-7ECA-4297-BC92-B3954774E59D}"/>
    <cellStyle name="Currency 4 2" xfId="396" xr:uid="{00000000-0005-0000-0000-00008B010000}"/>
    <cellStyle name="Currency 4 2 2" xfId="397" xr:uid="{00000000-0005-0000-0000-00008C010000}"/>
    <cellStyle name="Currency 4 2 2 2" xfId="398" xr:uid="{00000000-0005-0000-0000-00008D010000}"/>
    <cellStyle name="Currency 4 2 2 2 2" xfId="1171" xr:uid="{194ADF40-EA5D-4D91-8220-58BD23DC8593}"/>
    <cellStyle name="Currency 4 2 2 2 2 2" xfId="2294" xr:uid="{6818804C-1A22-4580-95E4-34BB1B725C4D}"/>
    <cellStyle name="Currency 4 2 2 2 2 2 2" xfId="4673" xr:uid="{434AB4D1-1814-467A-AA85-60276B3CA2D6}"/>
    <cellStyle name="Currency 4 2 2 2 2 3" xfId="1769" xr:uid="{2CA5ED2C-F885-4EDE-81E6-D007C95A2E56}"/>
    <cellStyle name="Currency 4 2 2 2 2 3 2" xfId="4179" xr:uid="{F4D59A27-88FA-41A9-9487-039268FDE307}"/>
    <cellStyle name="Currency 4 2 2 2 2 4" xfId="3684" xr:uid="{5FA8936A-16FE-403B-B428-151380AFA824}"/>
    <cellStyle name="Currency 4 2 2 2 3" xfId="2295" xr:uid="{038F5D4F-24A0-4081-BBF0-1D565586F559}"/>
    <cellStyle name="Currency 4 2 2 2 3 2" xfId="4674" xr:uid="{5B814B73-A7DF-4B69-A9D4-09545F6DC863}"/>
    <cellStyle name="Currency 4 2 2 2 4" xfId="2293" xr:uid="{11E64CED-C325-4A3A-B842-AD41EED33990}"/>
    <cellStyle name="Currency 4 2 2 2 4 2" xfId="4672" xr:uid="{E499DD83-36B4-4E33-B5DF-BF35CF8C9264}"/>
    <cellStyle name="Currency 4 2 2 2 5" xfId="1708" xr:uid="{DB9B5472-FCD9-48D8-BC8A-E70BF2B75209}"/>
    <cellStyle name="Currency 4 2 2 2 5 2" xfId="4118" xr:uid="{53327C38-4C5D-4FB9-BB91-AE027EDBFAED}"/>
    <cellStyle name="Currency 4 2 2 2 6" xfId="2956" xr:uid="{FFEF976D-D7D4-455B-BE25-5CE708C6980B}"/>
    <cellStyle name="Currency 4 2 2 2 7" xfId="3260" xr:uid="{5797BF8F-FECA-497E-B1CF-267815671FB7}"/>
    <cellStyle name="Currency 4 2 2 3" xfId="981" xr:uid="{B00BA5A6-A708-407A-BD64-E94167D967AC}"/>
    <cellStyle name="Currency 4 2 2 3 2" xfId="1170" xr:uid="{AB863DE9-D5C7-4CE5-9D92-FD401B466F23}"/>
    <cellStyle name="Currency 4 2 2 3 2 2" xfId="2296" xr:uid="{121F329E-7638-4264-87A6-E0C7EF580FEA}"/>
    <cellStyle name="Currency 4 2 2 3 2 2 2" xfId="4675" xr:uid="{83B9199A-1D28-44E3-B4D0-BB5F1EE172A6}"/>
    <cellStyle name="Currency 4 2 2 3 2 3" xfId="3683" xr:uid="{00348D58-455A-43A6-9AA4-4CAE32ADF712}"/>
    <cellStyle name="Currency 4 2 2 3 3" xfId="1768" xr:uid="{515D9E20-9795-4097-ACE8-1993A103D594}"/>
    <cellStyle name="Currency 4 2 2 3 3 2" xfId="4178" xr:uid="{67BC0911-CBE8-42CB-AF24-0B70D0653744}"/>
    <cellStyle name="Currency 4 2 2 4" xfId="2297" xr:uid="{052A1C23-65D6-47AC-9A88-D0CDC3952F91}"/>
    <cellStyle name="Currency 4 2 2 4 2" xfId="4676" xr:uid="{5AB29B89-9A76-4449-BA6E-64EDB6F1F5A0}"/>
    <cellStyle name="Currency 4 2 2 5" xfId="2045" xr:uid="{2B6FCC0B-1293-48B3-93B7-4273CA963B74}"/>
    <cellStyle name="Currency 4 2 2 5 2" xfId="4455" xr:uid="{185827D4-202C-446B-8CD7-EF776F7AC7F7}"/>
    <cellStyle name="Currency 4 2 2 6" xfId="1605" xr:uid="{54A9B818-CE9C-422B-8833-3E1D0250CEB4}"/>
    <cellStyle name="Currency 4 2 2 6 2" xfId="4015" xr:uid="{F701DE19-27DE-4488-ADDF-9439EABA4FB9}"/>
    <cellStyle name="Currency 4 2 3" xfId="399" xr:uid="{00000000-0005-0000-0000-00008E010000}"/>
    <cellStyle name="Currency 4 2 3 2" xfId="1172" xr:uid="{1E706292-1D33-4109-8BF9-B45FA7E209EA}"/>
    <cellStyle name="Currency 4 2 3 2 2" xfId="2299" xr:uid="{09EE8A5C-B5BB-491E-A48E-6B0C4B77CE14}"/>
    <cellStyle name="Currency 4 2 3 2 2 2" xfId="4678" xr:uid="{B52D4C49-EF01-4D17-B0A8-894AF8130EBF}"/>
    <cellStyle name="Currency 4 2 3 2 3" xfId="1770" xr:uid="{6E6BD73B-4831-46F6-80F2-CB535EC3BFA4}"/>
    <cellStyle name="Currency 4 2 3 2 3 2" xfId="4180" xr:uid="{9C80A24C-AC7E-41E4-B114-FC86B98AF7EF}"/>
    <cellStyle name="Currency 4 2 3 2 4" xfId="3685" xr:uid="{FFB27B49-7501-446D-82B5-7369EBFA1F43}"/>
    <cellStyle name="Currency 4 2 3 3" xfId="2300" xr:uid="{7D51ABF3-3022-45B6-A642-468ACA350266}"/>
    <cellStyle name="Currency 4 2 3 3 2" xfId="4679" xr:uid="{D4CED7C1-6512-4239-9EA5-2852F24CA3A6}"/>
    <cellStyle name="Currency 4 2 3 4" xfId="2298" xr:uid="{F6647399-B71F-4ED3-94AE-A542E8C0C601}"/>
    <cellStyle name="Currency 4 2 3 4 2" xfId="4677" xr:uid="{D4649CB3-7850-463E-882F-EB903375C805}"/>
    <cellStyle name="Currency 4 2 3 5" xfId="1648" xr:uid="{560E378B-8CD4-493E-9AC8-85E3D6170EEC}"/>
    <cellStyle name="Currency 4 2 3 5 2" xfId="4058" xr:uid="{9A71CDA8-523B-42DA-92B8-C11077D16DDE}"/>
    <cellStyle name="Currency 4 2 3 6" xfId="2957" xr:uid="{4A1CAA5C-DC08-48B0-BEEF-9A6C516E2A34}"/>
    <cellStyle name="Currency 4 2 3 7" xfId="3261" xr:uid="{48E9252C-36BD-4CAE-AE6E-ECA546A91A7A}"/>
    <cellStyle name="Currency 4 2 4" xfId="980" xr:uid="{0517FD2C-6E69-456B-A9D2-A59F46191E0B}"/>
    <cellStyle name="Currency 4 2 4 2" xfId="1169" xr:uid="{ED9D7A5E-40F8-42D3-9609-8DDE0D7587D3}"/>
    <cellStyle name="Currency 4 2 4 2 2" xfId="2301" xr:uid="{28379636-2DDD-4F2E-A485-5C5899DD79AD}"/>
    <cellStyle name="Currency 4 2 4 2 2 2" xfId="4680" xr:uid="{8BC47FB4-3E6C-4013-AFE8-2BBEEDD9A15E}"/>
    <cellStyle name="Currency 4 2 4 2 3" xfId="3682" xr:uid="{C811522A-E31F-4792-B174-A5A2FE79EC5C}"/>
    <cellStyle name="Currency 4 2 4 3" xfId="1767" xr:uid="{E1FBC00E-1F1B-42FD-B434-70AD329E1151}"/>
    <cellStyle name="Currency 4 2 4 3 2" xfId="4177" xr:uid="{E1CB798D-B3F1-4F7F-9040-A0A4AC71DA8F}"/>
    <cellStyle name="Currency 4 2 5" xfId="2302" xr:uid="{9E43800B-94A6-4C47-8DCD-5B7F8A3D6F63}"/>
    <cellStyle name="Currency 4 2 5 2" xfId="4681" xr:uid="{CBD4CFBA-A6C4-4F82-8E84-B4192FDDABA2}"/>
    <cellStyle name="Currency 4 2 6" xfId="2044" xr:uid="{210C56BD-0AD9-4B6C-9151-DDE1B182C866}"/>
    <cellStyle name="Currency 4 2 6 2" xfId="4454" xr:uid="{7A21005A-D975-4F33-BD82-05D1E3677FC3}"/>
    <cellStyle name="Currency 4 2 7" xfId="1545" xr:uid="{F0ECC846-7D9A-4CA6-B7F4-63F42250D3C8}"/>
    <cellStyle name="Currency 4 2 7 2" xfId="3955" xr:uid="{4B085A66-06B6-41E1-89FF-9D5BA469DDA0}"/>
    <cellStyle name="Currency 4 3" xfId="400" xr:uid="{00000000-0005-0000-0000-00008F010000}"/>
    <cellStyle name="Currency 4 3 2" xfId="401" xr:uid="{00000000-0005-0000-0000-000090010000}"/>
    <cellStyle name="Currency 4 3 2 2" xfId="1174" xr:uid="{C19B0563-B432-4303-84CA-1593666F463B}"/>
    <cellStyle name="Currency 4 3 2 2 2" xfId="2304" xr:uid="{2B00D865-4B36-4F85-AF4B-491FD701EADE}"/>
    <cellStyle name="Currency 4 3 2 2 2 2" xfId="4683" xr:uid="{741FEE8F-070B-49EA-AB25-4B826457C4AA}"/>
    <cellStyle name="Currency 4 3 2 2 3" xfId="1772" xr:uid="{D9BD16BB-7DBA-4E65-86CE-F394F3638746}"/>
    <cellStyle name="Currency 4 3 2 2 3 2" xfId="4182" xr:uid="{0DA5399A-C7A2-4631-B0E8-DC05CF4A7D1C}"/>
    <cellStyle name="Currency 4 3 2 2 4" xfId="3687" xr:uid="{336DE8F6-2909-489C-BC06-D8945650A2DD}"/>
    <cellStyle name="Currency 4 3 2 3" xfId="2305" xr:uid="{90A79D6E-7530-4346-9034-2BA771B18584}"/>
    <cellStyle name="Currency 4 3 2 3 2" xfId="4684" xr:uid="{BC0BD7AA-D12A-49F1-854C-F40F91FFF25E}"/>
    <cellStyle name="Currency 4 3 2 4" xfId="2303" xr:uid="{7E85A43C-FF17-4527-81E9-5D309C0ADD67}"/>
    <cellStyle name="Currency 4 3 2 4 2" xfId="4682" xr:uid="{143AF5BA-65B6-4F16-876C-E42C8C2F0D99}"/>
    <cellStyle name="Currency 4 3 2 5" xfId="1582" xr:uid="{A10A7D28-0F63-4175-98B9-4E9EC8281352}"/>
    <cellStyle name="Currency 4 3 2 5 2" xfId="3992" xr:uid="{1002B820-4FD2-45F9-8666-BA83596FEC23}"/>
    <cellStyle name="Currency 4 3 2 6" xfId="2958" xr:uid="{C926598C-A6E4-483C-8A23-83440E5C9686}"/>
    <cellStyle name="Currency 4 3 2 7" xfId="3262" xr:uid="{A86E16F9-37B6-4663-BDA2-7613542C4A76}"/>
    <cellStyle name="Currency 4 3 3" xfId="982" xr:uid="{4677A69B-C0DA-49A0-BCEC-90C9A6B8FF48}"/>
    <cellStyle name="Currency 4 3 3 2" xfId="1175" xr:uid="{CB6AB574-DAA2-41EC-A6DA-E395E9BAF59D}"/>
    <cellStyle name="Currency 4 3 3 2 2" xfId="2307" xr:uid="{3F343408-96B2-49BC-A5D1-E885A8ABCCA7}"/>
    <cellStyle name="Currency 4 3 3 2 2 2" xfId="4686" xr:uid="{1C0BCF07-E237-4593-86BD-B78E8F4EB529}"/>
    <cellStyle name="Currency 4 3 3 2 3" xfId="1773" xr:uid="{1FB6ED5B-AE12-48CB-AC79-57FB35583423}"/>
    <cellStyle name="Currency 4 3 3 2 3 2" xfId="4183" xr:uid="{37E219E9-330E-4DC0-B741-D4E2A1944D61}"/>
    <cellStyle name="Currency 4 3 3 2 4" xfId="3688" xr:uid="{B4B55407-2252-45EE-B272-2426CE6A6CCB}"/>
    <cellStyle name="Currency 4 3 3 3" xfId="1001" xr:uid="{8D81FDC7-ECB7-4A97-8767-3F7F1C890730}"/>
    <cellStyle name="Currency 4 3 3 3 2" xfId="2308" xr:uid="{6EF7D60D-828E-4B57-828C-B737E51A8A05}"/>
    <cellStyle name="Currency 4 3 3 3 2 2" xfId="4687" xr:uid="{55CB682C-FC8F-448B-BFE9-456F898A48ED}"/>
    <cellStyle name="Currency 4 3 3 3 3" xfId="3521" xr:uid="{BEC95292-738F-4D1F-B98D-B03AEFE41A5B}"/>
    <cellStyle name="Currency 4 3 3 4" xfId="2306" xr:uid="{569B9696-6CAA-46B7-90AC-04C30A4EAD94}"/>
    <cellStyle name="Currency 4 3 3 4 2" xfId="4685" xr:uid="{C8FE4BFF-EE43-448E-80D6-84C966054C6B}"/>
    <cellStyle name="Currency 4 3 3 5" xfId="1685" xr:uid="{49A77C68-D2E3-4FC7-A0A5-ED99C12A8025}"/>
    <cellStyle name="Currency 4 3 3 5 2" xfId="4095" xr:uid="{AC4D1AA7-EE7A-46D4-9E4F-3341825FA6DE}"/>
    <cellStyle name="Currency 4 3 4" xfId="1173" xr:uid="{17073F5C-528D-4CFD-875B-05F434148FF3}"/>
    <cellStyle name="Currency 4 3 4 2" xfId="2309" xr:uid="{3E2718E8-6BC0-4B05-9778-AEDE32CFB4F5}"/>
    <cellStyle name="Currency 4 3 4 2 2" xfId="4688" xr:uid="{0A7CDBC2-0870-4B01-BBF2-B8EE4BD7FF6E}"/>
    <cellStyle name="Currency 4 3 4 3" xfId="1771" xr:uid="{0C5B76A3-EB3C-489F-B434-E40671A41403}"/>
    <cellStyle name="Currency 4 3 4 3 2" xfId="4181" xr:uid="{69A0ECCE-C426-4C18-A318-2E47B802F2C4}"/>
    <cellStyle name="Currency 4 3 4 4" xfId="3686" xr:uid="{907FB140-0E04-4BF1-819D-A1C6EBDDB5F2}"/>
    <cellStyle name="Currency 4 3 5" xfId="2310" xr:uid="{3416630F-968F-4006-9F34-762132CE763C}"/>
    <cellStyle name="Currency 4 3 5 2" xfId="4689" xr:uid="{54B0189C-6C44-4E12-919A-D1C1455E38E8}"/>
    <cellStyle name="Currency 4 3 6" xfId="2046" xr:uid="{D8A32619-83AF-4B43-9411-32D337CFE450}"/>
    <cellStyle name="Currency 4 3 6 2" xfId="4456" xr:uid="{8CE470E9-9C33-43C6-B318-D1027A82B2AA}"/>
    <cellStyle name="Currency 4 3 7" xfId="1522" xr:uid="{AEA30EF6-C5EE-4286-BD8F-F1C9BE6E9174}"/>
    <cellStyle name="Currency 4 3 7 2" xfId="3932" xr:uid="{C2CADC25-AD5A-4994-968B-54F4A50064BD}"/>
    <cellStyle name="Currency 4 4" xfId="402" xr:uid="{00000000-0005-0000-0000-000091010000}"/>
    <cellStyle name="Currency 4 4 2" xfId="403" xr:uid="{00000000-0005-0000-0000-000092010000}"/>
    <cellStyle name="Currency 4 4 2 2" xfId="1177" xr:uid="{99229D16-C784-4C55-AC2A-0B1ABDD39532}"/>
    <cellStyle name="Currency 4 4 2 2 2" xfId="2312" xr:uid="{4428E877-2192-4C12-A57D-CFC8D2DC109A}"/>
    <cellStyle name="Currency 4 4 2 2 2 2" xfId="4691" xr:uid="{E332CA51-C7C8-40B8-BF05-7EE08E036FF3}"/>
    <cellStyle name="Currency 4 4 2 2 3" xfId="1775" xr:uid="{AD34EF0A-D9F5-475F-9DAE-923D3A0100B2}"/>
    <cellStyle name="Currency 4 4 2 2 3 2" xfId="4185" xr:uid="{62117718-0729-4C47-8944-907EEB258FFC}"/>
    <cellStyle name="Currency 4 4 2 2 4" xfId="3690" xr:uid="{563C56CF-AAEE-4BA3-BD67-89AC77C65232}"/>
    <cellStyle name="Currency 4 4 2 3" xfId="2313" xr:uid="{89B33688-554B-4E85-A8AD-BB1A61B35406}"/>
    <cellStyle name="Currency 4 4 2 3 2" xfId="4692" xr:uid="{85340DDB-DD43-4C48-8FEA-0C423ACA74CA}"/>
    <cellStyle name="Currency 4 4 2 4" xfId="2311" xr:uid="{120B9040-AB77-4DCF-A756-D7DD3342FE74}"/>
    <cellStyle name="Currency 4 4 2 4 2" xfId="4690" xr:uid="{2B9DA43B-B647-41E3-9F5D-ECB508F866B6}"/>
    <cellStyle name="Currency 4 4 2 5" xfId="1665" xr:uid="{EC3A01F2-709A-4113-8594-404CC031B1E1}"/>
    <cellStyle name="Currency 4 4 2 5 2" xfId="4075" xr:uid="{DBDC8A06-84F9-42EF-B404-9DCAC63FE726}"/>
    <cellStyle name="Currency 4 4 2 6" xfId="2959" xr:uid="{E71BD9E3-F9C4-4A4C-8E39-1DE57B4AA168}"/>
    <cellStyle name="Currency 4 4 2 7" xfId="3263" xr:uid="{9D26BFC6-1B04-453D-B7E1-BF325A854F87}"/>
    <cellStyle name="Currency 4 4 3" xfId="983" xr:uid="{A0155025-821C-4984-A784-4187C24F9D42}"/>
    <cellStyle name="Currency 4 4 3 2" xfId="1176" xr:uid="{3503BEE3-528C-48AD-8E48-41A4AEB93FB3}"/>
    <cellStyle name="Currency 4 4 3 2 2" xfId="2314" xr:uid="{5BD3B647-9942-4873-94A6-B0FBDCE21789}"/>
    <cellStyle name="Currency 4 4 3 2 2 2" xfId="4693" xr:uid="{91A44BAA-9B0D-441B-A640-820BA83E722A}"/>
    <cellStyle name="Currency 4 4 3 2 3" xfId="3689" xr:uid="{0490C65F-2B55-47FB-897D-6B602799DEB9}"/>
    <cellStyle name="Currency 4 4 3 3" xfId="1774" xr:uid="{468BF3C0-4D28-451A-AE22-DEE01FB17C3A}"/>
    <cellStyle name="Currency 4 4 3 3 2" xfId="4184" xr:uid="{FF05D7F7-DAF0-4932-AF61-DC62FEFB9631}"/>
    <cellStyle name="Currency 4 4 4" xfId="2315" xr:uid="{72788C17-21CA-4482-8DE1-AD4D90A39D6A}"/>
    <cellStyle name="Currency 4 4 4 2" xfId="4694" xr:uid="{08492FB6-CDD1-4B5C-AFDE-714304A9B76B}"/>
    <cellStyle name="Currency 4 4 5" xfId="2047" xr:uid="{AE119A1B-1DC2-4B48-802D-56584D9900B5}"/>
    <cellStyle name="Currency 4 4 5 2" xfId="4457" xr:uid="{49E48014-C158-40EC-B6D6-97AAD525C882}"/>
    <cellStyle name="Currency 4 4 6" xfId="1502" xr:uid="{842369FB-221F-4B2D-8F1C-694D36F109F7}"/>
    <cellStyle name="Currency 4 4 6 2" xfId="3912" xr:uid="{38E82120-B978-4BBF-8BBE-8463D889B341}"/>
    <cellStyle name="Currency 4 5" xfId="404" xr:uid="{00000000-0005-0000-0000-000093010000}"/>
    <cellStyle name="Currency 4 5 2" xfId="405" xr:uid="{00000000-0005-0000-0000-000094010000}"/>
    <cellStyle name="Currency 4 5 2 2" xfId="2316" xr:uid="{DB567931-F44E-4C51-9418-14DA9CF996AA}"/>
    <cellStyle name="Currency 4 5 2 2 2" xfId="4695" xr:uid="{CBA5CBF1-2EDD-4ABF-8AA8-3C809B70C833}"/>
    <cellStyle name="Currency 4 5 2 3" xfId="1776" xr:uid="{01D19F44-47CA-4454-9451-CB852B3A5E2F}"/>
    <cellStyle name="Currency 4 5 2 3 2" xfId="4186" xr:uid="{8F2346CA-2695-4E30-8EE0-2CEB50444BDD}"/>
    <cellStyle name="Currency 4 5 2 4" xfId="2960" xr:uid="{1AC920FA-6844-494F-AA9A-0838E3F2BF52}"/>
    <cellStyle name="Currency 4 5 2 5" xfId="3264" xr:uid="{002399C6-6C04-4232-BD24-1EC10813187F}"/>
    <cellStyle name="Currency 4 5 3" xfId="984" xr:uid="{7638517E-9FF5-4FF4-8204-87DD6FA311F2}"/>
    <cellStyle name="Currency 4 5 3 2" xfId="2317" xr:uid="{148BEC7C-BE4C-4D42-9E79-18813FC03823}"/>
    <cellStyle name="Currency 4 5 3 2 2" xfId="4696" xr:uid="{F38C1386-DEF8-4D6B-BBB5-B169759941E4}"/>
    <cellStyle name="Currency 4 5 4" xfId="2048" xr:uid="{23C04013-897F-48DE-99F0-B9E82F4CD55A}"/>
    <cellStyle name="Currency 4 5 4 2" xfId="4458" xr:uid="{9C7FC149-9047-40F7-AD2E-FB2AFBB7E758}"/>
    <cellStyle name="Currency 4 5 5" xfId="1562" xr:uid="{EC090F39-048B-4C2D-BF0A-F00DD67BBDD6}"/>
    <cellStyle name="Currency 4 5 5 2" xfId="3972" xr:uid="{6A442E46-DDAD-4D27-A0C1-5A301153F983}"/>
    <cellStyle name="Currency 4 6" xfId="406" xr:uid="{00000000-0005-0000-0000-000095010000}"/>
    <cellStyle name="Currency 4 6 2" xfId="407" xr:uid="{00000000-0005-0000-0000-000096010000}"/>
    <cellStyle name="Currency 4 6 2 2" xfId="2318" xr:uid="{739B49BB-6BA9-423C-874E-8C71DAC21910}"/>
    <cellStyle name="Currency 4 6 2 2 2" xfId="4697" xr:uid="{968FD5B3-6E01-4961-A702-4F5DFE8BBFA3}"/>
    <cellStyle name="Currency 4 6 2 3" xfId="1777" xr:uid="{321C2C26-67E3-4686-8A0E-03C072733781}"/>
    <cellStyle name="Currency 4 6 2 3 2" xfId="4187" xr:uid="{B406F37E-3F96-4049-9758-9571C31DDD75}"/>
    <cellStyle name="Currency 4 6 2 4" xfId="2961" xr:uid="{1047AD6C-8175-445B-9898-6552DF5F62FB}"/>
    <cellStyle name="Currency 4 6 2 5" xfId="3265" xr:uid="{197FF712-6C18-4663-8B5F-5A81529DEDC6}"/>
    <cellStyle name="Currency 4 6 3" xfId="985" xr:uid="{A6594770-7BB0-4FDC-A9F0-2AA7B315E18D}"/>
    <cellStyle name="Currency 4 6 3 2" xfId="2319" xr:uid="{ADAB3B15-0C24-4D3E-9B22-350332911607}"/>
    <cellStyle name="Currency 4 6 3 2 2" xfId="4698" xr:uid="{CC576CC3-6D1A-4FE7-B82B-27F5B3181641}"/>
    <cellStyle name="Currency 4 6 4" xfId="2049" xr:uid="{9BE38D67-89BE-48A9-A6D8-4C7C3B7431EA}"/>
    <cellStyle name="Currency 4 6 4 2" xfId="4459" xr:uid="{3A9FDD38-E56E-4908-9997-4C7B6CD4B43F}"/>
    <cellStyle name="Currency 4 6 5" xfId="1625" xr:uid="{DEA56B38-BEAF-4391-B536-29DD287D1AB8}"/>
    <cellStyle name="Currency 4 6 5 2" xfId="4035" xr:uid="{4450A5C3-7620-499C-BAC6-E86416753D62}"/>
    <cellStyle name="Currency 4 7" xfId="408" xr:uid="{00000000-0005-0000-0000-000097010000}"/>
    <cellStyle name="Currency 4 7 2" xfId="409" xr:uid="{00000000-0005-0000-0000-000098010000}"/>
    <cellStyle name="Currency 4 7 2 2" xfId="2050" xr:uid="{E5B346FD-692A-484B-B48E-B50EF3C63EC9}"/>
    <cellStyle name="Currency 4 7 2 2 2" xfId="4460" xr:uid="{0B70ED6E-B23F-4057-9159-DD0F2075C822}"/>
    <cellStyle name="Currency 4 7 2 3" xfId="2962" xr:uid="{E593C316-A9C7-4BCC-9F13-0F6102884F8B}"/>
    <cellStyle name="Currency 4 7 2 4" xfId="3266" xr:uid="{E4BA80B5-C9B2-4F93-AA29-B375292149BF}"/>
    <cellStyle name="Currency 4 7 3" xfId="986" xr:uid="{1F22B76D-A03D-490E-862F-B0D2B7F39838}"/>
    <cellStyle name="Currency 4 7 4" xfId="1778" xr:uid="{3E153F4F-1512-4EF9-AB7A-5E91AC11DF37}"/>
    <cellStyle name="Currency 4 7 4 2" xfId="4188" xr:uid="{CF27EFD2-858E-4BE2-B31E-19DFE63A3145}"/>
    <cellStyle name="Currency 4 8" xfId="410" xr:uid="{00000000-0005-0000-0000-000099010000}"/>
    <cellStyle name="Currency 4 8 2" xfId="411" xr:uid="{00000000-0005-0000-0000-00009A010000}"/>
    <cellStyle name="Currency 4 8 2 2" xfId="2051" xr:uid="{6B1C1DE5-7114-4BF1-AB74-374254C3FB84}"/>
    <cellStyle name="Currency 4 8 2 2 2" xfId="4461" xr:uid="{B7F9D4B1-38ED-49D3-9997-B03E5609A1F6}"/>
    <cellStyle name="Currency 4 8 2 3" xfId="2963" xr:uid="{74949E96-E792-451E-9C0A-07436ACE6BD6}"/>
    <cellStyle name="Currency 4 8 2 4" xfId="3267" xr:uid="{02CDA55F-6CEE-4556-B88D-45BF1D8F6330}"/>
    <cellStyle name="Currency 4 8 3" xfId="987" xr:uid="{3B9ECBA2-D208-4E87-A3E4-7170FF8BB5EF}"/>
    <cellStyle name="Currency 4 8 4" xfId="1779" xr:uid="{593E2E6C-2A41-488C-B59E-8E1CC574125D}"/>
    <cellStyle name="Currency 4 8 4 2" xfId="4189" xr:uid="{FD3D98E3-BC90-4E8F-8A29-22728BD2C5E0}"/>
    <cellStyle name="Currency 4 9" xfId="412" xr:uid="{00000000-0005-0000-0000-00009B010000}"/>
    <cellStyle name="Currency 4 9 2" xfId="2320" xr:uid="{7C7ED99D-A2F5-44EF-96FE-964A2778281F}"/>
    <cellStyle name="Currency 4 9 2 2" xfId="4699" xr:uid="{6613A3C1-29A0-404D-9EB4-9D1EBFE3D0A5}"/>
    <cellStyle name="Currency 4 9 3" xfId="1766" xr:uid="{0434A8F3-57B1-4EBA-A3F9-D069AB60B78A}"/>
    <cellStyle name="Currency 4 9 3 2" xfId="4176" xr:uid="{C48D82D8-F0C6-4045-92BD-CA016EDBE7FF}"/>
    <cellStyle name="Currency 4 9 4" xfId="2964" xr:uid="{DE4A7836-1CB8-4613-B029-7548FBEE82DB}"/>
    <cellStyle name="Currency 4 9 5" xfId="3268" xr:uid="{BCFBD215-B8BF-47C8-BDFA-23B0F4C291DA}"/>
    <cellStyle name="Currency 5" xfId="413" xr:uid="{00000000-0005-0000-0000-00009C010000}"/>
    <cellStyle name="Currency 5 2" xfId="414" xr:uid="{00000000-0005-0000-0000-00009D010000}"/>
    <cellStyle name="Currency 5 2 2" xfId="415" xr:uid="{00000000-0005-0000-0000-00009E010000}"/>
    <cellStyle name="Currency 5 2 2 2" xfId="1180" xr:uid="{B71D2A9C-B0C0-4CCE-BB75-8D58AD1C30F2}"/>
    <cellStyle name="Currency 5 2 2 2 2" xfId="2322" xr:uid="{74BC4CBC-728D-4D42-979F-A804D2C8FD6C}"/>
    <cellStyle name="Currency 5 2 2 2 2 2" xfId="4701" xr:uid="{8904E9CA-8007-4E89-9842-EFFCD524EC8D}"/>
    <cellStyle name="Currency 5 2 2 2 3" xfId="1782" xr:uid="{38483946-FA90-4083-9A06-FC54734C29BE}"/>
    <cellStyle name="Currency 5 2 2 2 3 2" xfId="4192" xr:uid="{6C3DB87D-8CAB-43FD-89A6-885657F9A6BE}"/>
    <cellStyle name="Currency 5 2 2 2 4" xfId="3693" xr:uid="{A8DE7C2D-FB25-4444-ADAF-497F42857BAA}"/>
    <cellStyle name="Currency 5 2 2 3" xfId="2323" xr:uid="{CC57DC41-DBA9-41D3-968D-43CF6441C051}"/>
    <cellStyle name="Currency 5 2 2 3 2" xfId="4702" xr:uid="{722E423D-9C53-468A-99BF-4985E79AA6B3}"/>
    <cellStyle name="Currency 5 2 2 4" xfId="2321" xr:uid="{237307E3-0472-44FB-9225-E85AD0D64ACF}"/>
    <cellStyle name="Currency 5 2 2 4 2" xfId="4700" xr:uid="{510F063A-1369-45A4-A2FA-1F495663ECAF}"/>
    <cellStyle name="Currency 5 2 2 5" xfId="1695" xr:uid="{349B7F0F-7596-46ED-A051-74B1953BE4D8}"/>
    <cellStyle name="Currency 5 2 2 5 2" xfId="4105" xr:uid="{8F064CB1-E66F-47E6-BA2B-C97DE98AC5F0}"/>
    <cellStyle name="Currency 5 2 2 6" xfId="2965" xr:uid="{BD848788-5F14-42C6-BD4B-B49938E5117F}"/>
    <cellStyle name="Currency 5 2 2 7" xfId="3269" xr:uid="{988F2BAD-DD43-4931-8930-8D5D146AEEB8}"/>
    <cellStyle name="Currency 5 2 3" xfId="989" xr:uid="{7D0281F6-DDBA-43D9-A8F1-7A2B32E7B504}"/>
    <cellStyle name="Currency 5 2 3 2" xfId="1179" xr:uid="{07C96559-A4E6-4F0F-BEB8-0BB3A3F2071C}"/>
    <cellStyle name="Currency 5 2 3 2 2" xfId="2324" xr:uid="{1C1D3168-8181-4969-BC7F-90FADEE27C50}"/>
    <cellStyle name="Currency 5 2 3 2 2 2" xfId="4703" xr:uid="{3AC4746D-4E46-4897-B799-2E56CCF77025}"/>
    <cellStyle name="Currency 5 2 3 2 3" xfId="3692" xr:uid="{25329379-7B3A-4372-93E9-AF474CFF8359}"/>
    <cellStyle name="Currency 5 2 3 3" xfId="1781" xr:uid="{300CED0A-A2A1-48B5-8CAE-166CA9136AA5}"/>
    <cellStyle name="Currency 5 2 3 3 2" xfId="4191" xr:uid="{F4D6D108-9168-4EC2-9105-01D3FEDF8E2E}"/>
    <cellStyle name="Currency 5 2 4" xfId="2325" xr:uid="{262D8846-24C7-4C9C-B4C5-5E94FEF67D88}"/>
    <cellStyle name="Currency 5 2 4 2" xfId="4704" xr:uid="{566BFE1E-7612-4063-BD2E-77A9F670BC74}"/>
    <cellStyle name="Currency 5 2 5" xfId="2053" xr:uid="{31901A85-1361-496C-85D8-A957410FD54A}"/>
    <cellStyle name="Currency 5 2 5 2" xfId="4463" xr:uid="{BF31550D-D8FC-4845-9B9D-20F1492A85CE}"/>
    <cellStyle name="Currency 5 2 6" xfId="1592" xr:uid="{A4F068F1-587E-4D66-AB82-1EE00DE241A4}"/>
    <cellStyle name="Currency 5 2 6 2" xfId="4002" xr:uid="{DD3816EE-9D11-4897-92C5-04F4D1371748}"/>
    <cellStyle name="Currency 5 3" xfId="416" xr:uid="{00000000-0005-0000-0000-00009F010000}"/>
    <cellStyle name="Currency 5 3 2" xfId="1181" xr:uid="{836F8E64-AA59-4312-920C-EF7946FCAA40}"/>
    <cellStyle name="Currency 5 3 2 2" xfId="2327" xr:uid="{60822AAC-6813-401D-BE46-7E4903D17E1C}"/>
    <cellStyle name="Currency 5 3 2 2 2" xfId="4706" xr:uid="{EC5D6F97-90C1-4223-8D69-39C0A314F70A}"/>
    <cellStyle name="Currency 5 3 2 3" xfId="1783" xr:uid="{B263783A-2D28-4640-9FB7-3DD0A6DBD758}"/>
    <cellStyle name="Currency 5 3 2 3 2" xfId="4193" xr:uid="{728F257C-96D8-4219-8905-A9964FCDA76C}"/>
    <cellStyle name="Currency 5 3 2 4" xfId="3694" xr:uid="{84578572-CC95-48F3-A7A5-E64321EA8E7C}"/>
    <cellStyle name="Currency 5 3 3" xfId="2328" xr:uid="{287E5855-369F-4DC9-820D-6D587E729298}"/>
    <cellStyle name="Currency 5 3 3 2" xfId="4707" xr:uid="{60EE9B4C-F576-4C09-BB8E-D48BBBB676D4}"/>
    <cellStyle name="Currency 5 3 4" xfId="2326" xr:uid="{3C017DBC-EB27-4217-B9E0-812B600D822A}"/>
    <cellStyle name="Currency 5 3 4 2" xfId="4705" xr:uid="{CBDA11BE-1A9D-417F-949B-0555D0EB15B7}"/>
    <cellStyle name="Currency 5 3 5" xfId="1635" xr:uid="{F953297E-CA57-45E3-A00C-A24F79FD584A}"/>
    <cellStyle name="Currency 5 3 5 2" xfId="4045" xr:uid="{20D9F384-3C45-4502-9FE5-079A705D749D}"/>
    <cellStyle name="Currency 5 3 6" xfId="2966" xr:uid="{880C0606-9B7C-4B41-ACA6-E106A5567ADF}"/>
    <cellStyle name="Currency 5 3 7" xfId="3270" xr:uid="{5A6523D9-A130-44B3-8156-0A4907BD1966}"/>
    <cellStyle name="Currency 5 4" xfId="988" xr:uid="{6568D738-009B-4AD2-95E1-A9BE09798790}"/>
    <cellStyle name="Currency 5 4 2" xfId="1178" xr:uid="{70566AA1-0AA8-42D9-9D3A-79DEA4FB7C1B}"/>
    <cellStyle name="Currency 5 4 2 2" xfId="2329" xr:uid="{319CD5DB-B28B-4411-8572-D1398A504880}"/>
    <cellStyle name="Currency 5 4 2 2 2" xfId="4708" xr:uid="{F09910BD-4DC4-4A92-81B1-016AEB0A59E0}"/>
    <cellStyle name="Currency 5 4 2 3" xfId="3691" xr:uid="{71B2550D-BD58-40B0-A99D-EC565A822928}"/>
    <cellStyle name="Currency 5 4 3" xfId="1780" xr:uid="{4EFECCD2-128A-4737-B964-E1C4C1C5E7F5}"/>
    <cellStyle name="Currency 5 4 3 2" xfId="4190" xr:uid="{B0F75074-DA1B-4DE6-B61C-0167BE53CC06}"/>
    <cellStyle name="Currency 5 5" xfId="2330" xr:uid="{6490E5A0-F470-41B2-B33D-E5CFA290ECCB}"/>
    <cellStyle name="Currency 5 5 2" xfId="4709" xr:uid="{B44161CF-25EA-426B-8DFD-7E09BA6097F4}"/>
    <cellStyle name="Currency 5 6" xfId="2052" xr:uid="{F1C9F89B-A5EF-4F4D-B5A7-F2A9568E2174}"/>
    <cellStyle name="Currency 5 6 2" xfId="4462" xr:uid="{53A8ADA7-727B-434B-A30C-75CCBEDD43AC}"/>
    <cellStyle name="Currency 5 7" xfId="1532" xr:uid="{64C620B8-4127-414D-BF7C-33B8B3459E62}"/>
    <cellStyle name="Currency 5 7 2" xfId="3942" xr:uid="{FAF950DC-BDF4-4442-A4F8-E1E83C69E3AF}"/>
    <cellStyle name="Currency 6" xfId="417" xr:uid="{00000000-0005-0000-0000-0000A0010000}"/>
    <cellStyle name="Currency 6 2" xfId="1182" xr:uid="{142A174F-93E2-4859-BA96-C2D15E346628}"/>
    <cellStyle name="Currency 6 2 2" xfId="2332" xr:uid="{13213E97-6101-43B1-82F1-341A7FF15B5D}"/>
    <cellStyle name="Currency 6 2 2 2" xfId="4711" xr:uid="{C34904C3-E8AA-4665-8000-D4C0782B55FA}"/>
    <cellStyle name="Currency 6 2 3" xfId="1784" xr:uid="{1B17E17A-D003-4052-B0AF-B79F75BC5AA4}"/>
    <cellStyle name="Currency 6 2 3 2" xfId="4194" xr:uid="{6576AA5A-18C6-4BAD-B5A0-BF50308D3DF8}"/>
    <cellStyle name="Currency 6 2 4" xfId="3695" xr:uid="{B1A70A92-FE57-43A2-B1F7-A1E4D88340C9}"/>
    <cellStyle name="Currency 6 3" xfId="2333" xr:uid="{8A8E1AE1-9CF7-4CC9-8967-2DF5D8C786F4}"/>
    <cellStyle name="Currency 6 3 2" xfId="4712" xr:uid="{6C976A31-60D3-470B-8947-279767675843}"/>
    <cellStyle name="Currency 6 4" xfId="2331" xr:uid="{1EC3A92B-7925-4498-9DDF-51038846835F}"/>
    <cellStyle name="Currency 6 4 2" xfId="4710" xr:uid="{047984D4-1706-4CA7-8E97-01DC0FC80FC6}"/>
    <cellStyle name="Currency 6 5" xfId="1720" xr:uid="{23F36D8E-9BA3-41FA-90D0-14D32CD1EB9E}"/>
    <cellStyle name="Currency 6 5 2" xfId="4130" xr:uid="{8A52BB72-3079-448A-9275-ED4D88EAC576}"/>
    <cellStyle name="Currency 6 6" xfId="2967" xr:uid="{5D5BF773-A1A1-4C33-8D76-05AD6149CFD2}"/>
    <cellStyle name="Currency 6 7" xfId="3271" xr:uid="{5D8461C6-EC00-4811-8377-0A11331FA216}"/>
    <cellStyle name="Currency 7" xfId="1168" xr:uid="{FD1D278E-0608-43FA-B544-F8B13D9FE4D1}"/>
    <cellStyle name="Currency 7 2" xfId="2334" xr:uid="{AEECD896-69E0-4EA0-AE9C-754157E1C01E}"/>
    <cellStyle name="Currency 7 2 2" xfId="4713" xr:uid="{2A7407C6-F865-496E-99F3-38F23813750D}"/>
    <cellStyle name="Currency 7 3" xfId="1765" xr:uid="{4C4F8D3C-834E-4D4C-8602-3EF2F11E21F6}"/>
    <cellStyle name="Currency 7 3 2" xfId="4175" xr:uid="{78F8C239-3C73-4D22-BF1E-261AEF3314B2}"/>
    <cellStyle name="Currency 7 4" xfId="3681" xr:uid="{B82CEA25-8C04-40E7-880A-608F30B376E0}"/>
    <cellStyle name="Emphasis 1" xfId="418" xr:uid="{00000000-0005-0000-0000-0000A1010000}"/>
    <cellStyle name="Emphasis 2" xfId="419" xr:uid="{00000000-0005-0000-0000-0000A2010000}"/>
    <cellStyle name="Emphasis 3" xfId="420" xr:uid="{00000000-0005-0000-0000-0000A3010000}"/>
    <cellStyle name="FundHeaderRowCol.*" xfId="3170" xr:uid="{6BBB585F-5128-49BC-A045-EEC30F3E979D}"/>
    <cellStyle name="FundHeaderRowCol.1" xfId="3171" xr:uid="{286ECFBE-C14D-41B6-9527-08093D0F90DB}"/>
    <cellStyle name="FundHeaderRowCol.2" xfId="3172" xr:uid="{8DED73B5-3D92-4502-B678-545FD3DA344E}"/>
    <cellStyle name="FundSectionHeaderRowDescCol" xfId="3173" xr:uid="{9AEC3B63-4C03-4213-A7C0-99748BF2E267}"/>
    <cellStyle name="FundSectionHeaderRowJERefCol" xfId="3174" xr:uid="{FC90A29B-DCFF-4C17-82D5-AC93C4BCA183}"/>
    <cellStyle name="FundSectionHeaderRowNameCol" xfId="3175" xr:uid="{7EDDDC40-FD50-4CA8-9E60-CCB341DDF135}"/>
    <cellStyle name="Good" xfId="2847" builtinId="26" customBuiltin="1"/>
    <cellStyle name="Good 2" xfId="421" xr:uid="{00000000-0005-0000-0000-0000A4010000}"/>
    <cellStyle name="Good 3" xfId="422" xr:uid="{00000000-0005-0000-0000-0000A5010000}"/>
    <cellStyle name="GroupSectionHeaderRowBalance" xfId="3176" xr:uid="{A7BEC458-F9D9-4ADD-BB6A-2EE21E849D90}"/>
    <cellStyle name="GroupSectionHeaderRowDescCol" xfId="3177" xr:uid="{6D5FBAA8-319F-4DD6-93FE-8E9811540243}"/>
    <cellStyle name="GroupSectionHeaderRowNameCol" xfId="3178" xr:uid="{46D964D8-1C92-4C7B-8B06-9FFB74D740E9}"/>
    <cellStyle name="GroupSelectionHeaderRowJERefCol" xfId="3179" xr:uid="{51648C0F-64CA-4453-B44C-EDA81EACE95E}"/>
    <cellStyle name="Heading 1" xfId="2843" builtinId="16" customBuiltin="1"/>
    <cellStyle name="Heading 1 2" xfId="423" xr:uid="{00000000-0005-0000-0000-0000A6010000}"/>
    <cellStyle name="Heading 1 3" xfId="424" xr:uid="{00000000-0005-0000-0000-0000A7010000}"/>
    <cellStyle name="Heading 2" xfId="2844" builtinId="17" customBuiltin="1"/>
    <cellStyle name="Heading 2 2" xfId="425" xr:uid="{00000000-0005-0000-0000-0000A8010000}"/>
    <cellStyle name="Heading 2 3" xfId="426" xr:uid="{00000000-0005-0000-0000-0000A9010000}"/>
    <cellStyle name="Heading 3" xfId="2845" builtinId="18" customBuiltin="1"/>
    <cellStyle name="Heading 3 2" xfId="427" xr:uid="{00000000-0005-0000-0000-0000AA010000}"/>
    <cellStyle name="Heading 3 3" xfId="428" xr:uid="{00000000-0005-0000-0000-0000AB010000}"/>
    <cellStyle name="Heading 4" xfId="2846" builtinId="19" customBuiltin="1"/>
    <cellStyle name="Heading 4 2" xfId="429" xr:uid="{00000000-0005-0000-0000-0000AC010000}"/>
    <cellStyle name="Heading 4 3" xfId="430" xr:uid="{00000000-0005-0000-0000-0000AD010000}"/>
    <cellStyle name="Hyperlink" xfId="431" builtinId="8"/>
    <cellStyle name="Hyperlink 2" xfId="432" xr:uid="{00000000-0005-0000-0000-0000AF010000}"/>
    <cellStyle name="Hyperlink 3" xfId="433" xr:uid="{00000000-0005-0000-0000-0000B0010000}"/>
    <cellStyle name="Hyperlink 4" xfId="434" xr:uid="{00000000-0005-0000-0000-0000B1010000}"/>
    <cellStyle name="Input" xfId="2849" builtinId="20" customBuiltin="1"/>
    <cellStyle name="Input 2" xfId="435" xr:uid="{00000000-0005-0000-0000-0000B2010000}"/>
    <cellStyle name="Input 3" xfId="436" xr:uid="{00000000-0005-0000-0000-0000B3010000}"/>
    <cellStyle name="JEDescriptionRowNameCol" xfId="3180" xr:uid="{CBCFD3A7-71A0-49D0-85B5-B34D06312D98}"/>
    <cellStyle name="JEDetailRowCreditCol" xfId="3181" xr:uid="{271209F2-3344-48D4-A1A2-6527E35A048C}"/>
    <cellStyle name="JEDetailRowDebitCol" xfId="3182" xr:uid="{34CB16C9-4BF6-4AB8-A43C-3BBA412DE296}"/>
    <cellStyle name="JEDetailRowDescCol" xfId="3183" xr:uid="{72995C75-02EB-4D46-8FF8-37BAC57BB216}"/>
    <cellStyle name="JEDetailRowNameCol" xfId="3184" xr:uid="{D009B329-E57F-4AA8-AD09-F5F0F4440D59}"/>
    <cellStyle name="JEDetailRowWPRefCol" xfId="3185" xr:uid="{CFC2F411-23A6-4EDB-BB7C-F01DB75D929E}"/>
    <cellStyle name="JEIdentityRowDescCol" xfId="3186" xr:uid="{1205F6D6-EFA1-47D2-93B9-D779C53B9C45}"/>
    <cellStyle name="JEIdentityRowNameCol" xfId="3187" xr:uid="{70F5F272-944F-46BB-9420-4F6EBDC29351}"/>
    <cellStyle name="JEIdentityRowWPRefCol" xfId="3188" xr:uid="{512EF777-1D56-49BB-83A0-4DB24731ABCC}"/>
    <cellStyle name="JETotalRowCreditCol" xfId="3189" xr:uid="{907D327A-E332-486F-9634-12089E6829E3}"/>
    <cellStyle name="JETotalRowDebitCol" xfId="3190" xr:uid="{2DD7DAC1-824F-4E0A-A9F9-F58C5D75358F}"/>
    <cellStyle name="JETotalRowDescCol" xfId="3191" xr:uid="{DB771367-9A94-428C-A579-4DBC5FA2D526}"/>
    <cellStyle name="JETotalRowNameCol" xfId="3192" xr:uid="{E133C510-20F7-4BCB-9CCD-07C4AB5F7020}"/>
    <cellStyle name="JETotalRowWPRefCol" xfId="3193" xr:uid="{357818A8-6B13-4ED5-9179-E1237D907D9E}"/>
    <cellStyle name="JETypeDescriptionRowDescCol" xfId="3194" xr:uid="{06955E6F-8607-47C0-A532-6236050C3F9D}"/>
    <cellStyle name="JETypeDescriptionRowNameCol" xfId="3195" xr:uid="{E4831C8C-9259-43CD-B777-72128A3B433D}"/>
    <cellStyle name="Linked Cell" xfId="2852" builtinId="24" customBuiltin="1"/>
    <cellStyle name="Linked Cell 2" xfId="437" xr:uid="{00000000-0005-0000-0000-0000B4010000}"/>
    <cellStyle name="Linked Cell 3" xfId="438" xr:uid="{00000000-0005-0000-0000-0000B5010000}"/>
    <cellStyle name="NetIncomeLossRowBalance" xfId="3196" xr:uid="{3B4C8478-62C6-485E-A73A-FBD2A329463E}"/>
    <cellStyle name="NetIncomeLossRowDescCol" xfId="3197" xr:uid="{AAC4A27C-2370-479E-B8A1-C954C6AAE4D0}"/>
    <cellStyle name="NetIncomeLossRowJERefCol" xfId="3198" xr:uid="{B2508FCA-790D-48C2-A898-7BD332E4B55E}"/>
    <cellStyle name="NetIncomeLossRowNameCol" xfId="3199" xr:uid="{48119D37-568E-4996-9535-6875C8DC3BEE}"/>
    <cellStyle name="NetIncomeLossRowVarPectCol" xfId="3200" xr:uid="{9C3D8313-22CC-4E34-AA81-63B038CD9352}"/>
    <cellStyle name="NetIncomeLossRowWPRefCol" xfId="3201" xr:uid="{F7651F68-A6A9-46E9-A28C-E6A3A61DADE1}"/>
    <cellStyle name="Neutral 2" xfId="439" xr:uid="{00000000-0005-0000-0000-0000B6010000}"/>
    <cellStyle name="Neutral 3" xfId="440" xr:uid="{00000000-0005-0000-0000-0000B7010000}"/>
    <cellStyle name="Neutral 4" xfId="3110" xr:uid="{E748E2E5-26DE-45E1-A169-D10934523047}"/>
    <cellStyle name="Normal" xfId="0" builtinId="0"/>
    <cellStyle name="Normal 10" xfId="441" xr:uid="{00000000-0005-0000-0000-0000B9010000}"/>
    <cellStyle name="Normal 10 10" xfId="1418" xr:uid="{A5869DC6-0641-4EFD-B99C-AB26735C9093}"/>
    <cellStyle name="Normal 10 10 2" xfId="2335" xr:uid="{530AABCB-CBE7-4A14-AAF4-1904E59DA873}"/>
    <cellStyle name="Normal 10 10 2 2" xfId="4714" xr:uid="{543A6102-94E0-4833-81DE-31C57F313BCC}"/>
    <cellStyle name="Normal 10 10 3" xfId="2011" xr:uid="{892A10FE-419E-4C6A-9E05-0DB549CE8A14}"/>
    <cellStyle name="Normal 10 10 3 2" xfId="4421" xr:uid="{2A450EFF-1E3E-4D1B-807E-2A8F5E4D4221}"/>
    <cellStyle name="Normal 10 10 4" xfId="3884" xr:uid="{3E316AB1-1DF7-4C7A-949B-14EAF2B0BDBC}"/>
    <cellStyle name="Normal 10 11" xfId="2054" xr:uid="{46CC065E-292C-4CE1-9849-51A2A810BD83}"/>
    <cellStyle name="Normal 10 11 2" xfId="4464" xr:uid="{67AB8612-7E03-4D5B-A1D4-7B56F1C33940}"/>
    <cellStyle name="Normal 10 12" xfId="1493" xr:uid="{50EC0731-CAC2-4101-932E-EE0D29CD290D}"/>
    <cellStyle name="Normal 10 12 2" xfId="3903" xr:uid="{3BFC2F60-C4AF-4836-A570-B0EE25A9533A}"/>
    <cellStyle name="Normal 10 13" xfId="2968" xr:uid="{35C024F3-8724-4E63-A74A-0FAFF9BCB3FA}"/>
    <cellStyle name="Normal 10 14" xfId="3272" xr:uid="{76EAA2B1-F161-4931-A1D8-F4DDCFDD1829}"/>
    <cellStyle name="Normal 10 2" xfId="442" xr:uid="{00000000-0005-0000-0000-0000BA010000}"/>
    <cellStyle name="Normal 10 2 2" xfId="1011" xr:uid="{21B4B8E5-FDBA-4AD8-A125-A9E48DA1A124}"/>
    <cellStyle name="Normal 10 2 2 2" xfId="1077" xr:uid="{F71AD873-1828-4905-B77E-64CBA4D14915}"/>
    <cellStyle name="Normal 10 2 2 2 2" xfId="1186" xr:uid="{D6545269-0690-49DC-A31F-75550F088EAF}"/>
    <cellStyle name="Normal 10 2 2 2 2 2" xfId="2338" xr:uid="{1F660862-FD17-437E-B005-18EA01C04AC8}"/>
    <cellStyle name="Normal 10 2 2 2 2 2 2" xfId="4717" xr:uid="{1C59CE32-A2DA-4952-9420-3076F5F7AA19}"/>
    <cellStyle name="Normal 10 2 2 2 2 3" xfId="1788" xr:uid="{FAF4995C-F5A6-42A6-8F87-5D2460312B9C}"/>
    <cellStyle name="Normal 10 2 2 2 2 3 2" xfId="4198" xr:uid="{7639E7AA-1BC3-446C-A86A-7F4CAA5AA038}"/>
    <cellStyle name="Normal 10 2 2 2 2 4" xfId="3698" xr:uid="{ACD50794-3AC3-4F60-82F3-F3E58F342CD7}"/>
    <cellStyle name="Normal 10 2 2 2 3" xfId="2339" xr:uid="{1C23E9CB-394F-429B-8B42-91362662E498}"/>
    <cellStyle name="Normal 10 2 2 2 3 2" xfId="4718" xr:uid="{9AAAA332-B0CE-432D-BC70-055F9A48826A}"/>
    <cellStyle name="Normal 10 2 2 2 4" xfId="2337" xr:uid="{35B47F7B-FE35-4F50-8701-9EAFCD2FED5E}"/>
    <cellStyle name="Normal 10 2 2 2 4 2" xfId="4716" xr:uid="{7D6329FF-710B-446F-8CA5-4F55661C60FA}"/>
    <cellStyle name="Normal 10 2 2 2 5" xfId="1716" xr:uid="{F31B49F2-64AF-444C-96CD-AADB52768A12}"/>
    <cellStyle name="Normal 10 2 2 2 5 2" xfId="4126" xr:uid="{9F46BFB7-C7DF-4B9B-A924-88745ED8FD4F}"/>
    <cellStyle name="Normal 10 2 2 2 6" xfId="3596" xr:uid="{35AAE0C3-D910-4A32-8A52-B5E042866759}"/>
    <cellStyle name="Normal 10 2 2 3" xfId="1185" xr:uid="{76081B8A-156C-4133-89E2-64561D105A44}"/>
    <cellStyle name="Normal 10 2 2 3 2" xfId="2340" xr:uid="{34BB1E42-486C-47E2-8692-17B033304882}"/>
    <cellStyle name="Normal 10 2 2 3 2 2" xfId="4719" xr:uid="{60F785EA-E926-4E30-B7E4-609BE881985B}"/>
    <cellStyle name="Normal 10 2 2 3 3" xfId="1787" xr:uid="{96ACCFA4-779C-4342-B5DD-C0C973D9CA57}"/>
    <cellStyle name="Normal 10 2 2 3 3 2" xfId="4197" xr:uid="{1A2A4F6C-FD03-4D6A-A640-01D3CD130945}"/>
    <cellStyle name="Normal 10 2 2 3 4" xfId="3697" xr:uid="{A785AD64-BE55-497C-949E-CEA0AF008968}"/>
    <cellStyle name="Normal 10 2 2 4" xfId="2341" xr:uid="{5992227A-7007-4499-B67A-2BAD2CAF0806}"/>
    <cellStyle name="Normal 10 2 2 4 2" xfId="4720" xr:uid="{6063D84E-762F-43B3-9940-59BCDE1EF796}"/>
    <cellStyle name="Normal 10 2 2 5" xfId="2336" xr:uid="{9398A542-946F-41B5-8720-86BC3F8879D6}"/>
    <cellStyle name="Normal 10 2 2 5 2" xfId="4715" xr:uid="{CC462CCC-C752-4076-8D40-9C52407280C3}"/>
    <cellStyle name="Normal 10 2 2 6" xfId="1613" xr:uid="{9C8EBDEF-34EA-4F28-BBB7-58743C9CF988}"/>
    <cellStyle name="Normal 10 2 2 6 2" xfId="4023" xr:uid="{CFAA9F85-CBFE-4577-9715-445278D45D47}"/>
    <cellStyle name="Normal 10 2 2 7" xfId="3531" xr:uid="{68138531-3844-4DC0-9E51-B451A17F5212}"/>
    <cellStyle name="Normal 10 2 3" xfId="949" xr:uid="{C593AFF9-4378-46FE-844B-78EA5675626A}"/>
    <cellStyle name="Normal 10 2 3 2" xfId="1187" xr:uid="{65FCFA4A-39E7-49E3-80D8-7AE1878F80EF}"/>
    <cellStyle name="Normal 10 2 3 2 2" xfId="2343" xr:uid="{B5C47A8F-E234-4D57-91EE-CC138224A9A2}"/>
    <cellStyle name="Normal 10 2 3 2 2 2" xfId="4722" xr:uid="{46944BC8-0104-41D6-A266-AA5DA438FE89}"/>
    <cellStyle name="Normal 10 2 3 2 3" xfId="1789" xr:uid="{7F82CC02-BF8B-44C7-8C01-418E65BD02A4}"/>
    <cellStyle name="Normal 10 2 3 2 3 2" xfId="4199" xr:uid="{70D35EC1-92D8-4663-B21F-91207887970B}"/>
    <cellStyle name="Normal 10 2 3 2 4" xfId="3699" xr:uid="{8A4F0CF1-0A54-4735-9B91-0AB56D55D5DB}"/>
    <cellStyle name="Normal 10 2 3 3" xfId="2344" xr:uid="{DBD43E92-8912-4968-A6D0-C30ED735CED8}"/>
    <cellStyle name="Normal 10 2 3 3 2" xfId="4723" xr:uid="{11FBD536-D571-4119-B29C-B6746C4B020B}"/>
    <cellStyle name="Normal 10 2 3 4" xfId="2342" xr:uid="{4495F2B1-4C40-46F3-ABDF-30A9F2447079}"/>
    <cellStyle name="Normal 10 2 3 4 2" xfId="4721" xr:uid="{60517622-FFDF-41BA-B2FB-EF4BD5163B7F}"/>
    <cellStyle name="Normal 10 2 3 5" xfId="1656" xr:uid="{67A5D1E7-F430-4AA9-95A0-9398FA2D3690}"/>
    <cellStyle name="Normal 10 2 3 5 2" xfId="4066" xr:uid="{550B9DFD-BED4-4D57-9AC2-B6D5E20108B6}"/>
    <cellStyle name="Normal 10 2 3 6" xfId="3509" xr:uid="{388F93EF-F508-48BE-B1F6-B7C5001E4643}"/>
    <cellStyle name="Normal 10 2 4" xfId="1184" xr:uid="{81D3E8C6-C9A1-45EE-9687-6A1E77E7AF89}"/>
    <cellStyle name="Normal 10 2 4 2" xfId="2345" xr:uid="{81EDC95B-D7CC-4975-9A77-00409357C253}"/>
    <cellStyle name="Normal 10 2 4 2 2" xfId="4724" xr:uid="{D91C7A08-62C4-4A02-B999-F8D7DFAB4933}"/>
    <cellStyle name="Normal 10 2 4 3" xfId="1786" xr:uid="{699004AF-6B2C-4952-89D7-9135EB74E9D0}"/>
    <cellStyle name="Normal 10 2 4 3 2" xfId="4196" xr:uid="{4D07C27F-4C64-4F70-A466-2C94ADCDB850}"/>
    <cellStyle name="Normal 10 2 4 4" xfId="3696" xr:uid="{CA7D18D7-E59D-4B6B-B5D2-C6A20A30A664}"/>
    <cellStyle name="Normal 10 2 5" xfId="2346" xr:uid="{FACB8D80-258B-48C7-A332-6B2F96CEC5F5}"/>
    <cellStyle name="Normal 10 2 5 2" xfId="4725" xr:uid="{30197D64-4ECB-40E0-9D43-3160D90669AA}"/>
    <cellStyle name="Normal 10 2 6" xfId="2055" xr:uid="{56927548-24D1-4DA7-833E-51F3BF4702B9}"/>
    <cellStyle name="Normal 10 2 6 2" xfId="4465" xr:uid="{5558F774-DA72-4DE0-8CC8-BACE6CA41C54}"/>
    <cellStyle name="Normal 10 2 7" xfId="1553" xr:uid="{6E07C517-758F-4F09-B5A6-26F5B0C2685E}"/>
    <cellStyle name="Normal 10 2 7 2" xfId="3963" xr:uid="{C9C1992B-74D0-480F-A688-20B86FB57529}"/>
    <cellStyle name="Normal 10 2 8" xfId="2969" xr:uid="{7E818593-49B3-4529-AEB5-A6ACDFF7C6BD}"/>
    <cellStyle name="Normal 10 2 9" xfId="3273" xr:uid="{C8664F71-5C62-4B4E-AA0D-5EE83D28059C}"/>
    <cellStyle name="Normal 10 3" xfId="443" xr:uid="{00000000-0005-0000-0000-0000BB010000}"/>
    <cellStyle name="Normal 10 3 2" xfId="1012" xr:uid="{1FCD76FE-64A5-40B0-8552-30CBD90110E6}"/>
    <cellStyle name="Normal 10 3 2 2" xfId="1189" xr:uid="{45305E25-E623-43B8-952E-BDCB127AA992}"/>
    <cellStyle name="Normal 10 3 2 2 2" xfId="2348" xr:uid="{921D5CBD-BECB-461B-937E-9391CFBA3B43}"/>
    <cellStyle name="Normal 10 3 2 2 2 2" xfId="4727" xr:uid="{94D2665F-DC38-47D7-A0C9-00BA0B4DBB39}"/>
    <cellStyle name="Normal 10 3 2 2 3" xfId="1791" xr:uid="{BE59E313-FE7D-4029-ADA5-8870F50160D9}"/>
    <cellStyle name="Normal 10 3 2 2 3 2" xfId="4201" xr:uid="{CF33C10B-BFB9-4195-9404-33CEF058C356}"/>
    <cellStyle name="Normal 10 3 2 2 4" xfId="3701" xr:uid="{90F0022A-DB4A-42EA-8836-0B8319C63039}"/>
    <cellStyle name="Normal 10 3 2 3" xfId="2349" xr:uid="{F473FBE0-8AFD-4FEF-AC80-5EA6A4D2E72C}"/>
    <cellStyle name="Normal 10 3 2 3 2" xfId="4728" xr:uid="{059036F9-0C6F-4A44-8CF7-4DAE496AFCE1}"/>
    <cellStyle name="Normal 10 3 2 4" xfId="2347" xr:uid="{12F0A5F3-75F0-4E53-BF14-E51081BBB024}"/>
    <cellStyle name="Normal 10 3 2 4 2" xfId="4726" xr:uid="{BA71BE6A-8B75-4809-B610-E7ED82528BC5}"/>
    <cellStyle name="Normal 10 3 2 5" xfId="1590" xr:uid="{203B5193-9E75-41B9-AB3F-4E8A4F26F7AE}"/>
    <cellStyle name="Normal 10 3 2 5 2" xfId="4000" xr:uid="{71A901EB-A27B-4C22-A55B-58FB817B9113}"/>
    <cellStyle name="Normal 10 3 2 6" xfId="3532" xr:uid="{919457F0-7A37-4358-B86C-3223F91A22B9}"/>
    <cellStyle name="Normal 10 3 3" xfId="1009" xr:uid="{54C3F0BE-FC7D-4849-B285-51EA7D90875A}"/>
    <cellStyle name="Normal 10 3 3 2" xfId="1190" xr:uid="{3D541EB8-1BBF-4A5E-9A78-E019B0F94084}"/>
    <cellStyle name="Normal 10 3 3 2 2" xfId="2351" xr:uid="{D794BE32-B6E5-48F0-BE01-4AD89BA53BDF}"/>
    <cellStyle name="Normal 10 3 3 2 2 2" xfId="4730" xr:uid="{53E27097-FA1C-4C21-996F-6D28FDE392B5}"/>
    <cellStyle name="Normal 10 3 3 2 3" xfId="1792" xr:uid="{43525D8D-6006-4D44-A42E-24C7F42C68C4}"/>
    <cellStyle name="Normal 10 3 3 2 3 2" xfId="4202" xr:uid="{95CCB41F-DA8D-4D81-B9FD-C17B4EE4C323}"/>
    <cellStyle name="Normal 10 3 3 2 4" xfId="3702" xr:uid="{EE97515B-E3AE-4F2E-A276-3CF58FCFD392}"/>
    <cellStyle name="Normal 10 3 3 3" xfId="2352" xr:uid="{7AFB9425-D55D-43DA-970B-E3E682BC744E}"/>
    <cellStyle name="Normal 10 3 3 3 2" xfId="4731" xr:uid="{FF4034E1-D533-40B0-811B-1472E69237CE}"/>
    <cellStyle name="Normal 10 3 3 4" xfId="2350" xr:uid="{1C6E49A6-BAA6-4A37-89A6-F762A4E3DBCA}"/>
    <cellStyle name="Normal 10 3 3 4 2" xfId="4729" xr:uid="{50BE6F73-A4F3-4DE0-B7A4-054C25B56BA7}"/>
    <cellStyle name="Normal 10 3 3 5" xfId="1693" xr:uid="{4E38D015-825C-4CDF-8083-0A72BA59A6DF}"/>
    <cellStyle name="Normal 10 3 3 5 2" xfId="4103" xr:uid="{DDF209B5-89EC-479E-8C68-338EA723FEA5}"/>
    <cellStyle name="Normal 10 3 3 6" xfId="3529" xr:uid="{BB3B0CFC-808D-4BEB-91BD-DE251FD1EEAE}"/>
    <cellStyle name="Normal 10 3 4" xfId="1188" xr:uid="{FACFA196-382B-4C8C-AC0D-C0D813C1D126}"/>
    <cellStyle name="Normal 10 3 4 2" xfId="2353" xr:uid="{C46E2FC9-FE69-42B6-B041-AB663294BBAD}"/>
    <cellStyle name="Normal 10 3 4 2 2" xfId="4732" xr:uid="{08D6AF43-320A-46B3-9B06-C830C139E33C}"/>
    <cellStyle name="Normal 10 3 4 3" xfId="1790" xr:uid="{FF15BB17-7847-4E2C-97F5-D70A0639FBDF}"/>
    <cellStyle name="Normal 10 3 4 3 2" xfId="4200" xr:uid="{EA9CC29F-13E5-488D-A8D5-3AD0825EE395}"/>
    <cellStyle name="Normal 10 3 4 4" xfId="3700" xr:uid="{2D832FF3-EDFB-4891-A846-67E5E33A97C0}"/>
    <cellStyle name="Normal 10 3 5" xfId="2354" xr:uid="{2222B9D8-0395-4DAC-984D-D2D4A504DB31}"/>
    <cellStyle name="Normal 10 3 5 2" xfId="4733" xr:uid="{EF26D8A3-FF73-4C32-9867-A834802472D4}"/>
    <cellStyle name="Normal 10 3 6" xfId="2056" xr:uid="{2022AE9C-905E-4D35-9312-0AAB19316129}"/>
    <cellStyle name="Normal 10 3 6 2" xfId="4466" xr:uid="{561D3867-AC45-4C38-9FBB-BEE9ABB697ED}"/>
    <cellStyle name="Normal 10 3 7" xfId="1530" xr:uid="{060E40B1-A206-4C4E-9282-9F1F1ABFFB96}"/>
    <cellStyle name="Normal 10 3 7 2" xfId="3940" xr:uid="{1779C390-C813-43EE-B986-F911ED273D5A}"/>
    <cellStyle name="Normal 10 3 8" xfId="2970" xr:uid="{585FDD98-DE0B-4697-B73D-52CA612C9EAA}"/>
    <cellStyle name="Normal 10 3 9" xfId="3274" xr:uid="{B4E141F6-9708-4EA1-A41C-108561C3C1D9}"/>
    <cellStyle name="Normal 10 4" xfId="444" xr:uid="{00000000-0005-0000-0000-0000BC010000}"/>
    <cellStyle name="Normal 10 4 2" xfId="1013" xr:uid="{67FBD1F0-0BD1-44AC-BD0C-057B10D85327}"/>
    <cellStyle name="Normal 10 4 2 2" xfId="1196" xr:uid="{26262EB0-2E22-4E33-9436-F41A83B8D307}"/>
    <cellStyle name="Normal 10 4 2 2 2" xfId="2356" xr:uid="{B9426D45-82AE-4102-ADC7-9D583DC7EA96}"/>
    <cellStyle name="Normal 10 4 2 2 2 2" xfId="4735" xr:uid="{B5949AB0-C4F3-4DEE-BE2A-1EC939597499}"/>
    <cellStyle name="Normal 10 4 2 2 3" xfId="1794" xr:uid="{55F77AA1-027A-4621-91C7-9AD886E6304A}"/>
    <cellStyle name="Normal 10 4 2 2 3 2" xfId="4204" xr:uid="{46CD2228-FA3D-4DA6-A922-810566EC32B5}"/>
    <cellStyle name="Normal 10 4 2 2 4" xfId="3708" xr:uid="{F715AD70-8266-4468-A55A-22A72A613E2A}"/>
    <cellStyle name="Normal 10 4 2 3" xfId="2357" xr:uid="{F5EE14F0-2362-4AFC-91AC-3BB9B26E52D9}"/>
    <cellStyle name="Normal 10 4 2 3 2" xfId="4736" xr:uid="{0FD0C8BD-CD3A-4DCE-A9F5-F41672FAD036}"/>
    <cellStyle name="Normal 10 4 2 4" xfId="2355" xr:uid="{C047A70A-F571-43A8-B43F-074B7239DD99}"/>
    <cellStyle name="Normal 10 4 2 4 2" xfId="4734" xr:uid="{EDB0B468-7D61-40B2-9A5E-8E0C9C9BE751}"/>
    <cellStyle name="Normal 10 4 2 5" xfId="1673" xr:uid="{27A0D425-F714-49C5-B9EC-B3C4FC80A780}"/>
    <cellStyle name="Normal 10 4 2 5 2" xfId="4083" xr:uid="{E1102B43-212F-4A96-A6A3-A0BB6052B364}"/>
    <cellStyle name="Normal 10 4 2 6" xfId="3533" xr:uid="{72558C98-43B8-480A-BB3C-F2209ED1707F}"/>
    <cellStyle name="Normal 10 4 3" xfId="1195" xr:uid="{CBAF9A4D-F581-4C5E-8C50-F0D010DB6421}"/>
    <cellStyle name="Normal 10 4 3 2" xfId="2358" xr:uid="{6F8B4E19-63C5-4BB0-B1DB-AD3BDE0FF257}"/>
    <cellStyle name="Normal 10 4 3 2 2" xfId="4737" xr:uid="{902EB62A-9BF6-41ED-90A6-C509DEE0DBEC}"/>
    <cellStyle name="Normal 10 4 3 3" xfId="1793" xr:uid="{4BE7FBB7-0ABD-447B-BEF6-7A7724261AD9}"/>
    <cellStyle name="Normal 10 4 3 3 2" xfId="4203" xr:uid="{8255FB05-0AB8-4485-B4A7-CB9DFBCC3063}"/>
    <cellStyle name="Normal 10 4 3 4" xfId="3707" xr:uid="{2FC36134-4974-4BAE-BD5C-6256CD850B35}"/>
    <cellStyle name="Normal 10 4 4" xfId="2359" xr:uid="{F03B59B5-8B4A-4071-84CE-9BA8F52DD5D5}"/>
    <cellStyle name="Normal 10 4 4 2" xfId="4738" xr:uid="{8789ECA6-F447-45A8-A46D-3439C9301FA2}"/>
    <cellStyle name="Normal 10 4 5" xfId="2057" xr:uid="{5179C19B-3F7F-4B60-BABE-7E1A644D91B8}"/>
    <cellStyle name="Normal 10 4 5 2" xfId="4467" xr:uid="{E99C3CD1-F838-46C7-9A76-5ADB019845C8}"/>
    <cellStyle name="Normal 10 4 6" xfId="1510" xr:uid="{C5936CF3-7511-4182-9232-86F3B5407542}"/>
    <cellStyle name="Normal 10 4 6 2" xfId="3920" xr:uid="{3719CBEC-89F9-4333-B346-88C28AC3D65E}"/>
    <cellStyle name="Normal 10 4 7" xfId="2971" xr:uid="{918A25ED-41EC-4C1F-BD20-258BEC4AC6A3}"/>
    <cellStyle name="Normal 10 4 8" xfId="3275" xr:uid="{45FA5E55-6957-413D-8FBA-5CBBF8C41B5E}"/>
    <cellStyle name="Normal 10 5" xfId="445" xr:uid="{00000000-0005-0000-0000-0000BD010000}"/>
    <cellStyle name="Normal 10 5 2" xfId="1014" xr:uid="{37587811-AD27-4D40-83D7-BD55299375D0}"/>
    <cellStyle name="Normal 10 5 2 2" xfId="2360" xr:uid="{70E85B77-BD9F-414C-9B19-0962D3A3972D}"/>
    <cellStyle name="Normal 10 5 2 2 2" xfId="4739" xr:uid="{858F9F56-CF30-4DF2-ADAD-BD7A389DE485}"/>
    <cellStyle name="Normal 10 5 2 3" xfId="1795" xr:uid="{E6557D58-9522-4C79-9A48-CF2E72469A63}"/>
    <cellStyle name="Normal 10 5 2 3 2" xfId="4205" xr:uid="{E0F8B2BF-F391-402B-8D60-E6A4D7A24E98}"/>
    <cellStyle name="Normal 10 5 2 4" xfId="3534" xr:uid="{28B3B43D-BEE2-4377-AD3D-9A16F16EFFD3}"/>
    <cellStyle name="Normal 10 5 3" xfId="2361" xr:uid="{CBB38DA3-2EB1-410E-BAC3-0C054D0C0115}"/>
    <cellStyle name="Normal 10 5 3 2" xfId="4740" xr:uid="{72DBFCBB-BF44-4793-82E5-589540347549}"/>
    <cellStyle name="Normal 10 5 4" xfId="2058" xr:uid="{E1AF91D5-17F9-4A17-8103-55503915D166}"/>
    <cellStyle name="Normal 10 5 4 2" xfId="4468" xr:uid="{46872BA8-D814-48C7-A742-D31260BF7A14}"/>
    <cellStyle name="Normal 10 5 5" xfId="1570" xr:uid="{1EFC05E4-515F-47D4-B62A-C5E585470E43}"/>
    <cellStyle name="Normal 10 5 5 2" xfId="3980" xr:uid="{1EC99591-FBA6-4EA9-86FE-C910BCD4C3BC}"/>
    <cellStyle name="Normal 10 5 6" xfId="2972" xr:uid="{3704FE97-E762-439B-B729-E6B8FDC9F950}"/>
    <cellStyle name="Normal 10 5 7" xfId="3276" xr:uid="{7F052BA8-8BCF-4BE3-BE14-06FA992EAC7C}"/>
    <cellStyle name="Normal 10 6" xfId="446" xr:uid="{00000000-0005-0000-0000-0000BE010000}"/>
    <cellStyle name="Normal 10 6 2" xfId="1015" xr:uid="{E56163FC-593B-4A44-8931-56CA934A080C}"/>
    <cellStyle name="Normal 10 6 2 2" xfId="2362" xr:uid="{2B0A70A1-DF4C-40B9-9CF9-D1DFF49DF934}"/>
    <cellStyle name="Normal 10 6 2 2 2" xfId="4741" xr:uid="{9B989C85-A252-4F4A-BEAA-5F913D5F99F8}"/>
    <cellStyle name="Normal 10 6 2 3" xfId="1796" xr:uid="{2DBE5A2D-ABE0-412C-AB8A-CD2DC5D52937}"/>
    <cellStyle name="Normal 10 6 2 3 2" xfId="4206" xr:uid="{ED6B9BB3-2544-4E3B-BC5C-8B1584FBFC2F}"/>
    <cellStyle name="Normal 10 6 2 4" xfId="3535" xr:uid="{D40FD485-8024-43CB-9974-A7FEF80B80C2}"/>
    <cellStyle name="Normal 10 6 3" xfId="2363" xr:uid="{4AC2C575-BBC6-47FF-8BC0-F871BE5F2FB7}"/>
    <cellStyle name="Normal 10 6 3 2" xfId="4742" xr:uid="{854DD43D-D551-413E-9E6E-37CF6D2911A5}"/>
    <cellStyle name="Normal 10 6 4" xfId="2059" xr:uid="{A800E7A0-94F6-40DE-96A7-88263E63CCB1}"/>
    <cellStyle name="Normal 10 6 4 2" xfId="4469" xr:uid="{C583B946-9DDE-478C-AF84-D9165DE67E74}"/>
    <cellStyle name="Normal 10 6 5" xfId="1633" xr:uid="{94812D7B-1364-4A8F-93C6-9FDED2A0CA0F}"/>
    <cellStyle name="Normal 10 6 5 2" xfId="4043" xr:uid="{857AE85F-D333-4BB3-8317-D2C3C38074F9}"/>
    <cellStyle name="Normal 10 6 6" xfId="2973" xr:uid="{A233EA87-95FE-4B22-8AA9-2884B6F050F4}"/>
    <cellStyle name="Normal 10 6 7" xfId="3277" xr:uid="{4F244A77-56D2-458E-83DC-64DB2CD0DA08}"/>
    <cellStyle name="Normal 10 7" xfId="447" xr:uid="{00000000-0005-0000-0000-0000BF010000}"/>
    <cellStyle name="Normal 10 7 2" xfId="1016" xr:uid="{9DAC7638-F464-437E-A0AE-9C0658FBA80D}"/>
    <cellStyle name="Normal 10 7 2 2" xfId="2060" xr:uid="{206C91BD-082B-4265-BCC4-C756BA4F2108}"/>
    <cellStyle name="Normal 10 7 2 2 2" xfId="4470" xr:uid="{04F3C880-E191-4249-BCE8-158A43EAE797}"/>
    <cellStyle name="Normal 10 7 2 3" xfId="3536" xr:uid="{14DE9090-D4C8-442C-A2A4-17915411D2FE}"/>
    <cellStyle name="Normal 10 7 3" xfId="1797" xr:uid="{DDEC8FCB-9866-4DDE-9E22-A8C6DFA9FD1E}"/>
    <cellStyle name="Normal 10 7 3 2" xfId="4207" xr:uid="{CD05A942-7A57-4D0D-9DDA-6D89F5B38A4D}"/>
    <cellStyle name="Normal 10 7 4" xfId="2974" xr:uid="{8B9CEB00-B8F3-4D51-BF16-014B97272438}"/>
    <cellStyle name="Normal 10 7 5" xfId="3278" xr:uid="{2E394729-429B-46AE-BD6A-8E49B590C013}"/>
    <cellStyle name="Normal 10 8" xfId="448" xr:uid="{00000000-0005-0000-0000-0000C0010000}"/>
    <cellStyle name="Normal 10 8 2" xfId="1017" xr:uid="{A5773F7D-06AB-4B0D-A5E2-C6C87F72EAB9}"/>
    <cellStyle name="Normal 10 8 2 2" xfId="2061" xr:uid="{6970E76A-3BFB-4925-B8E5-DE33B4710A39}"/>
    <cellStyle name="Normal 10 8 2 2 2" xfId="4471" xr:uid="{45863F62-A261-42B2-8501-3E84A86B0D2F}"/>
    <cellStyle name="Normal 10 8 2 3" xfId="3537" xr:uid="{19C9135D-71E5-4D54-AE98-DE0DAD250F2E}"/>
    <cellStyle name="Normal 10 8 3" xfId="1798" xr:uid="{FC0E45DE-7025-4E72-BDDA-706CC6238BD9}"/>
    <cellStyle name="Normal 10 8 3 2" xfId="4208" xr:uid="{CF995891-0083-42BD-932D-3106F917BA8B}"/>
    <cellStyle name="Normal 10 8 4" xfId="2975" xr:uid="{7A51FFA3-0AAC-496B-81F1-7F7F0B7F2316}"/>
    <cellStyle name="Normal 10 8 5" xfId="3279" xr:uid="{9A52A520-EC43-42FB-B617-0B543CCA2D4A}"/>
    <cellStyle name="Normal 10 9" xfId="1010" xr:uid="{A709EA40-1665-4493-9FF5-6CE082EE8E03}"/>
    <cellStyle name="Normal 10 9 2" xfId="2364" xr:uid="{1E75E0CB-4661-4880-B999-0300EAC98420}"/>
    <cellStyle name="Normal 10 9 2 2" xfId="4743" xr:uid="{F89C8CF2-1B74-4E8C-9EF6-11BBB064E76F}"/>
    <cellStyle name="Normal 10 9 3" xfId="1785" xr:uid="{A04DDCA2-35FB-4624-AD7E-A0DC6442CFEC}"/>
    <cellStyle name="Normal 10 9 3 2" xfId="4195" xr:uid="{FB8B7188-002F-4C92-A27E-3BC5BBE4521C}"/>
    <cellStyle name="Normal 10 9 4" xfId="3530" xr:uid="{23EA3BD2-8728-4108-AF0A-8AD5F05CEDA4}"/>
    <cellStyle name="Normal 11" xfId="449" xr:uid="{00000000-0005-0000-0000-0000C1010000}"/>
    <cellStyle name="Normal 11 10" xfId="3280" xr:uid="{1E30DEE7-23CA-44DB-831E-BFAEBE50A3D9}"/>
    <cellStyle name="Normal 11 2" xfId="450" xr:uid="{00000000-0005-0000-0000-0000C2010000}"/>
    <cellStyle name="Normal 11 2 2" xfId="1019" xr:uid="{C4F47A75-010F-4BB5-9B7B-4281785AA57D}"/>
    <cellStyle name="Normal 11 2 2 2" xfId="2063" xr:uid="{50FF4989-B3E5-4A99-B863-EB4C6C9175E3}"/>
    <cellStyle name="Normal 11 2 2 2 2" xfId="4473" xr:uid="{AB5ECE35-5B9A-4A4D-96EA-BA933AAC06AD}"/>
    <cellStyle name="Normal 11 2 2 3" xfId="3539" xr:uid="{57076DC7-495A-41E0-BAA5-38C0120EBFB2}"/>
    <cellStyle name="Normal 11 2 3" xfId="1800" xr:uid="{E5D8A7CD-D301-4B97-9783-384F6E19FCCD}"/>
    <cellStyle name="Normal 11 2 3 2" xfId="4210" xr:uid="{A5AAB62F-DB79-4CCB-B2FF-B06E18BFC263}"/>
    <cellStyle name="Normal 11 2 4" xfId="2977" xr:uid="{53912FB4-718D-4F29-88E5-9B2DB0562DC1}"/>
    <cellStyle name="Normal 11 2 5" xfId="3281" xr:uid="{4EABA2B5-FBB2-43F6-BAD9-673EC8DCAFD1}"/>
    <cellStyle name="Normal 11 3" xfId="451" xr:uid="{00000000-0005-0000-0000-0000C3010000}"/>
    <cellStyle name="Normal 11 3 2" xfId="1020" xr:uid="{EDBA88BF-6F24-4AAF-9BD7-4C778B5F308D}"/>
    <cellStyle name="Normal 11 3 2 2" xfId="2064" xr:uid="{08E59677-D61F-4B42-9E8A-66BF67C45243}"/>
    <cellStyle name="Normal 11 3 2 2 2" xfId="4474" xr:uid="{F35BE9B7-E1F0-4006-8546-06585A0348C1}"/>
    <cellStyle name="Normal 11 3 2 3" xfId="3540" xr:uid="{0713BA2C-0F5A-4EEB-85A5-6E77F0D46E02}"/>
    <cellStyle name="Normal 11 3 3" xfId="1801" xr:uid="{57AA2020-9359-404E-A64D-AF28E3EACC0C}"/>
    <cellStyle name="Normal 11 3 3 2" xfId="4211" xr:uid="{2B8CF13F-22FF-4711-9CC3-28AA7DA54D06}"/>
    <cellStyle name="Normal 11 3 4" xfId="2978" xr:uid="{522AFEE5-5461-4494-95D5-54F195CDA66A}"/>
    <cellStyle name="Normal 11 3 5" xfId="3282" xr:uid="{82AD2E4B-F30C-4B48-A077-4104F964FB3E}"/>
    <cellStyle name="Normal 11 4" xfId="452" xr:uid="{00000000-0005-0000-0000-0000C4010000}"/>
    <cellStyle name="Normal 11 4 2" xfId="1021" xr:uid="{C4C36FF1-331E-4277-888A-1FFF60DBE380}"/>
    <cellStyle name="Normal 11 4 2 2" xfId="2065" xr:uid="{DB9393E7-67BB-4B19-9094-E04639ABE804}"/>
    <cellStyle name="Normal 11 4 2 2 2" xfId="4475" xr:uid="{8222F4D8-5617-4437-90EE-52F19C320AC2}"/>
    <cellStyle name="Normal 11 4 2 3" xfId="3541" xr:uid="{F478FCD2-4382-4AF6-B73C-F1CFDFC6D66F}"/>
    <cellStyle name="Normal 11 4 3" xfId="1802" xr:uid="{15C68778-265E-41A6-9919-DFD9593EF6D9}"/>
    <cellStyle name="Normal 11 4 3 2" xfId="4212" xr:uid="{E8CC365A-82CB-4061-AE8A-F6550FDBDBD9}"/>
    <cellStyle name="Normal 11 4 4" xfId="2979" xr:uid="{00FDC959-11AC-42C1-9CA2-88FF9377601E}"/>
    <cellStyle name="Normal 11 4 5" xfId="3283" xr:uid="{3E16ED76-9057-4F87-AC90-CED0E187F897}"/>
    <cellStyle name="Normal 11 5" xfId="1018" xr:uid="{7849C8B9-59D4-479A-B0F5-E7EDA7B0B89F}"/>
    <cellStyle name="Normal 11 5 2" xfId="2365" xr:uid="{7FF2599D-164D-4801-9D00-DB291E3A103F}"/>
    <cellStyle name="Normal 11 5 2 2" xfId="4744" xr:uid="{AD0D290D-3261-4BC1-A710-CF4B09858405}"/>
    <cellStyle name="Normal 11 5 3" xfId="1799" xr:uid="{DE8F3CED-4B4A-4202-B763-A9AE94C8D995}"/>
    <cellStyle name="Normal 11 5 3 2" xfId="4209" xr:uid="{E01597BD-2085-4F1E-9F4B-992FE27749F5}"/>
    <cellStyle name="Normal 11 5 4" xfId="3538" xr:uid="{5A2B4EE3-50C3-4701-AA5B-2151F8F9ED53}"/>
    <cellStyle name="Normal 11 6" xfId="1419" xr:uid="{F4C55927-AA6E-4396-BDB7-55FA0CE84C4A}"/>
    <cellStyle name="Normal 11 6 2" xfId="2366" xr:uid="{F9CC45D2-D2E4-47AB-9424-1401B7DB8ACC}"/>
    <cellStyle name="Normal 11 6 2 2" xfId="4745" xr:uid="{CE1FAFBC-7302-4A2C-ABD4-47ABC0F9784B}"/>
    <cellStyle name="Normal 11 6 3" xfId="2012" xr:uid="{F92DB760-6113-4772-94D6-E6E694655179}"/>
    <cellStyle name="Normal 11 6 3 2" xfId="4422" xr:uid="{21B76808-9273-4FF6-AD9F-2EA311A132FD}"/>
    <cellStyle name="Normal 11 6 4" xfId="3885" xr:uid="{38025282-139F-4559-8420-173924EBD7B1}"/>
    <cellStyle name="Normal 11 7" xfId="2062" xr:uid="{8C7C4604-9543-400D-B244-A08D8799849E}"/>
    <cellStyle name="Normal 11 7 2" xfId="4472" xr:uid="{36FAB9E5-00E3-4A2B-A20D-BD9CDE9A89DF}"/>
    <cellStyle name="Normal 11 8" xfId="1717" xr:uid="{5CE18A1A-3A06-4E11-AE05-06C674B84323}"/>
    <cellStyle name="Normal 11 8 2" xfId="4127" xr:uid="{3B2D3079-E947-4348-8F38-3F8880FF7E07}"/>
    <cellStyle name="Normal 11 9" xfId="2976" xr:uid="{DF0F3142-2C27-4715-A064-5C88A6F34139}"/>
    <cellStyle name="Normal 12" xfId="453" xr:uid="{00000000-0005-0000-0000-0000C5010000}"/>
    <cellStyle name="Normal 12 2" xfId="1022" xr:uid="{BC115F87-3B07-413A-93C0-FB97FD43B602}"/>
    <cellStyle name="Normal 12 2 2" xfId="2013" xr:uid="{1A6E6168-B178-43F5-B6FC-6265D1AD8AA8}"/>
    <cellStyle name="Normal 12 2 2 2" xfId="4423" xr:uid="{229BE5E4-5223-4E8B-9633-9959695329BB}"/>
    <cellStyle name="Normal 12 2 3" xfId="3542" xr:uid="{0236A4B8-8A09-4272-B201-1CB5225820E9}"/>
    <cellStyle name="Normal 12 3" xfId="2367" xr:uid="{CE091517-44D2-4ACA-9B44-90924027C7B8}"/>
    <cellStyle name="Normal 12 3 2" xfId="4746" xr:uid="{F6B2FE6B-7B20-454C-9DB6-85D17B599E98}"/>
    <cellStyle name="Normal 12 4" xfId="1725" xr:uid="{8743BFB1-F5F8-491D-9530-94A5F34CED48}"/>
    <cellStyle name="Normal 12 4 2" xfId="4135" xr:uid="{8C7E68A7-A9EB-49FB-88FB-3F8D0FC4DD99}"/>
    <cellStyle name="Normal 12 5" xfId="2980" xr:uid="{8B29123D-6846-4EA9-8B49-C51D5D3EA0E0}"/>
    <cellStyle name="Normal 12 6" xfId="3284" xr:uid="{7EE58F75-6525-4DFC-9887-C3612EF91A27}"/>
    <cellStyle name="Normal 13" xfId="454" xr:uid="{00000000-0005-0000-0000-0000C6010000}"/>
    <cellStyle name="Normal 13 2" xfId="1023" xr:uid="{07189078-CCEC-4BBC-83F0-D673B6A0E049}"/>
    <cellStyle name="Normal 13 2 2" xfId="3543" xr:uid="{4E29B8D3-191C-4989-A1C3-90CAF3782C42}"/>
    <cellStyle name="Normal 13 3" xfId="2010" xr:uid="{B0FA34F4-CE8B-4F6D-84DF-4227299AE263}"/>
    <cellStyle name="Normal 13 3 2" xfId="4420" xr:uid="{F67354B0-32FF-4BEF-B328-31668C12E584}"/>
    <cellStyle name="Normal 13 4" xfId="2981" xr:uid="{CF4CE51E-0158-492C-AD6B-EA555AC8A5F1}"/>
    <cellStyle name="Normal 13 5" xfId="3285" xr:uid="{0183C6F1-73F4-4BE7-B099-872F13571542}"/>
    <cellStyle name="Normal 14" xfId="927" xr:uid="{CA46F36E-B50B-4FAA-A6D3-38B8681C975D}"/>
    <cellStyle name="Normal 14 2" xfId="2016" xr:uid="{9970CC30-204F-4B9E-89E6-210010E3DB82}"/>
    <cellStyle name="Normal 14 2 2" xfId="4426" xr:uid="{3FFB6741-71AA-43B4-A826-EA582EC403D5}"/>
    <cellStyle name="Normal 14 3" xfId="3491" xr:uid="{CD364333-F2D2-4B49-A365-D65BAD2AD2BF}"/>
    <cellStyle name="Normal 15" xfId="1475" xr:uid="{B2A04E42-481D-48B9-B48C-3947D72F7E9E}"/>
    <cellStyle name="Normal 16" xfId="1474" xr:uid="{C04EFDCD-BBFA-4944-A823-BEDF6E60AFDF}"/>
    <cellStyle name="Normal 16 2" xfId="3886" xr:uid="{8C515511-D85C-4834-9547-E97AAC13C40D}"/>
    <cellStyle name="Normal 17" xfId="2842" xr:uid="{9777C885-A1A0-47D7-8C32-07AC7206B6D2}"/>
    <cellStyle name="Normal 17 2" xfId="5207" xr:uid="{C090343C-6137-463D-BF6D-74CAB18374D1}"/>
    <cellStyle name="Normal 18" xfId="3109" xr:uid="{08328C93-1330-4309-9051-2B9FF7E46DE5}"/>
    <cellStyle name="Normal 19" xfId="3238" xr:uid="{CBB00956-9F16-49A5-8CB5-8786143279D4}"/>
    <cellStyle name="Normal 2" xfId="455" xr:uid="{00000000-0005-0000-0000-0000C7010000}"/>
    <cellStyle name="Normal 2 10" xfId="456" xr:uid="{00000000-0005-0000-0000-0000C8010000}"/>
    <cellStyle name="Normal 2 10 2" xfId="1024" xr:uid="{FE7F3F8F-0708-414D-8480-9E8AF957ECC4}"/>
    <cellStyle name="Normal 2 10 2 2" xfId="2368" xr:uid="{A8808532-DA47-4C83-AF61-5642E7EC55FA}"/>
    <cellStyle name="Normal 2 10 2 2 2" xfId="4747" xr:uid="{916831F7-FB53-457D-90A3-FBD32392578B}"/>
    <cellStyle name="Normal 2 10 2 3" xfId="1803" xr:uid="{85972EFF-80DB-427F-9D35-869BF11CD5D3}"/>
    <cellStyle name="Normal 2 10 2 3 2" xfId="4213" xr:uid="{A13063EB-067F-4368-8CFA-AF038E3F7EC4}"/>
    <cellStyle name="Normal 2 10 2 4" xfId="3544" xr:uid="{EA6F69D2-FEF3-4E4F-B0DF-B564E5F0080F}"/>
    <cellStyle name="Normal 2 10 3" xfId="2369" xr:uid="{888E935E-5A26-4D7F-BB71-BACC5D2F59A4}"/>
    <cellStyle name="Normal 2 10 3 2" xfId="4748" xr:uid="{0468B8F0-F8E7-4367-B72B-14853FA7BB4B}"/>
    <cellStyle name="Normal 2 10 4" xfId="2066" xr:uid="{021BC604-B4DE-4767-9E1E-46FBA1CDEB32}"/>
    <cellStyle name="Normal 2 10 4 2" xfId="4476" xr:uid="{FDCF3235-154A-4DDF-8541-1BC609C6B32D}"/>
    <cellStyle name="Normal 2 10 5" xfId="1555" xr:uid="{35E3996E-BF76-40F3-ACBD-9CA8D49A1962}"/>
    <cellStyle name="Normal 2 10 5 2" xfId="3965" xr:uid="{1B3B97B7-FC3D-466B-AEEE-AD39CC73501D}"/>
    <cellStyle name="Normal 2 10 6" xfId="2982" xr:uid="{C86CE356-5B17-4215-AF7B-5309FE9FBF92}"/>
    <cellStyle name="Normal 2 10 7" xfId="3286" xr:uid="{FD0DC574-8B6F-4E0B-8E85-A6C5D8AB853E}"/>
    <cellStyle name="Normal 2 11" xfId="457" xr:uid="{00000000-0005-0000-0000-0000C9010000}"/>
    <cellStyle name="Normal 2 11 2" xfId="1025" xr:uid="{BA6FE804-95EE-46CC-B40C-FB9929025BBB}"/>
    <cellStyle name="Normal 2 11 2 2" xfId="2370" xr:uid="{36C79691-5F01-46E9-B7AF-678A4E02C5A5}"/>
    <cellStyle name="Normal 2 11 2 2 2" xfId="4749" xr:uid="{0CB816F9-8C2E-41B7-93FB-ADCA46CF74D6}"/>
    <cellStyle name="Normal 2 11 2 3" xfId="1804" xr:uid="{DB9C720C-85B3-41DC-8ABF-3B49AD29DCF0}"/>
    <cellStyle name="Normal 2 11 2 3 2" xfId="4214" xr:uid="{4F23EF38-69CD-465D-B241-3584D9FD90C9}"/>
    <cellStyle name="Normal 2 11 2 4" xfId="3545" xr:uid="{9154199C-62A7-4AA7-8DC2-CF541FB9B5C0}"/>
    <cellStyle name="Normal 2 11 3" xfId="2371" xr:uid="{BB61575E-8518-4FE7-95BD-4ED87DA2AA2F}"/>
    <cellStyle name="Normal 2 11 3 2" xfId="4750" xr:uid="{625E069D-D941-49F9-AE00-C985F1C7B7E9}"/>
    <cellStyle name="Normal 2 11 4" xfId="2067" xr:uid="{F62D8AC9-C5D4-416A-8012-430129847E59}"/>
    <cellStyle name="Normal 2 11 4 2" xfId="4477" xr:uid="{59D1E11D-ABBF-4AFA-93A3-B7D9FA1332FB}"/>
    <cellStyle name="Normal 2 11 5" xfId="1615" xr:uid="{DF177C6F-E2FA-4BAC-9FEE-76847858CBD5}"/>
    <cellStyle name="Normal 2 11 5 2" xfId="4025" xr:uid="{165B786F-EE24-49AB-8669-F1D0F6767AAE}"/>
    <cellStyle name="Normal 2 11 6" xfId="2983" xr:uid="{39A7EB01-D8A4-4E6B-BD3A-C719AA536CFC}"/>
    <cellStyle name="Normal 2 11 7" xfId="3287" xr:uid="{03908D96-A672-407D-9F16-1EB5FCAC875E}"/>
    <cellStyle name="Normal 2 12" xfId="458" xr:uid="{00000000-0005-0000-0000-0000CA010000}"/>
    <cellStyle name="Normal 2 12 2" xfId="1026" xr:uid="{FAAB174C-738A-4EB6-ABC9-0F7F591CF2F3}"/>
    <cellStyle name="Normal 2 12 2 2" xfId="2372" xr:uid="{6CE65F2E-DAE8-40A1-99B4-AB8B8934C193}"/>
    <cellStyle name="Normal 2 12 2 2 2" xfId="4751" xr:uid="{2000ADCF-0396-4CD7-837E-4C9132680F3C}"/>
    <cellStyle name="Normal 2 12 2 3" xfId="3546" xr:uid="{B0AE3E07-630E-4834-AA1E-B62BA657461E}"/>
    <cellStyle name="Normal 2 12 3" xfId="2068" xr:uid="{4E23F0DF-7A92-4E5A-9327-1F98A2FED64E}"/>
    <cellStyle name="Normal 2 12 3 2" xfId="4478" xr:uid="{7C6DF610-9269-44B5-95C6-B6D1CB21675D}"/>
    <cellStyle name="Normal 2 12 4" xfId="1805" xr:uid="{F6F1AF26-22B1-4C2B-B82D-3A887920E446}"/>
    <cellStyle name="Normal 2 12 4 2" xfId="4215" xr:uid="{6ACB9938-953F-4DA2-822C-1554AAF33D52}"/>
    <cellStyle name="Normal 2 12 5" xfId="2984" xr:uid="{6039B864-5B5B-4865-8F13-406A0C142204}"/>
    <cellStyle name="Normal 2 12 6" xfId="3288" xr:uid="{4EF625E2-6328-4CFE-BF4A-044CB581C610}"/>
    <cellStyle name="Normal 2 13" xfId="459" xr:uid="{00000000-0005-0000-0000-0000CB010000}"/>
    <cellStyle name="Normal 2 13 2" xfId="1027" xr:uid="{4F9B2B0E-249D-4C45-ABD3-75EF12912826}"/>
    <cellStyle name="Normal 2 13 2 2" xfId="2069" xr:uid="{2E130444-B53F-43D7-B717-5455843038A8}"/>
    <cellStyle name="Normal 2 13 2 2 2" xfId="4479" xr:uid="{63C6476D-E1E1-4FCA-84A7-D2AFFC1BE516}"/>
    <cellStyle name="Normal 2 13 2 3" xfId="3547" xr:uid="{64515CE2-93C5-4C57-BACB-B4C6F6F7B6CC}"/>
    <cellStyle name="Normal 2 13 3" xfId="1806" xr:uid="{68456D77-5F8E-4F8C-AC6C-3E4628F583B1}"/>
    <cellStyle name="Normal 2 13 3 2" xfId="4216" xr:uid="{C7B60252-13B8-46ED-95DC-0E5F2F5BC360}"/>
    <cellStyle name="Normal 2 13 4" xfId="2985" xr:uid="{FFBBE7A4-5B14-47A4-AD4A-0AA73E41F96D}"/>
    <cellStyle name="Normal 2 13 5" xfId="3289" xr:uid="{15E652DB-7997-4E44-9DDF-14E047B13FCF}"/>
    <cellStyle name="Normal 2 14" xfId="460" xr:uid="{00000000-0005-0000-0000-0000CC010000}"/>
    <cellStyle name="Normal 2 14 2" xfId="1028" xr:uid="{C08D8934-C387-4483-803D-6A8F597E4D4F}"/>
    <cellStyle name="Normal 2 14 2 2" xfId="2373" xr:uid="{194406B7-3487-405E-AB18-A9DBE88C9B92}"/>
    <cellStyle name="Normal 2 14 2 2 2" xfId="4752" xr:uid="{05D2C932-26C9-4CC0-B77B-AB334AD8FD76}"/>
    <cellStyle name="Normal 2 14 2 3" xfId="3548" xr:uid="{C0ED7E34-5676-4177-8767-52630E4C77B9}"/>
    <cellStyle name="Normal 2 14 3" xfId="2014" xr:uid="{F40E747E-8531-4ADB-BF0D-C7319F0842F5}"/>
    <cellStyle name="Normal 2 14 3 2" xfId="4424" xr:uid="{A7ED48F6-A244-4A65-ADD4-AB5AB2193304}"/>
    <cellStyle name="Normal 2 14 4" xfId="2986" xr:uid="{DBE60EBB-E0DF-479F-89F0-02616513B090}"/>
    <cellStyle name="Normal 2 14 5" xfId="3290" xr:uid="{1EB4799A-D037-43B7-9C1C-E1DC1268D7D7}"/>
    <cellStyle name="Normal 2 15" xfId="2017" xr:uid="{1749D89C-FC2A-4A1C-A535-D73F709E3A67}"/>
    <cellStyle name="Normal 2 15 2" xfId="4427" xr:uid="{68DDE5F6-08C5-4768-A271-1660046AAA73}"/>
    <cellStyle name="Normal 2 16" xfId="1478" xr:uid="{C9C1ADE8-F9B9-4EFA-861A-0799C1484372}"/>
    <cellStyle name="Normal 2 16 2" xfId="3888" xr:uid="{2C3F5188-BAC3-4D09-86A7-51613AAA6F6F}"/>
    <cellStyle name="Normal 2 2" xfId="461" xr:uid="{00000000-0005-0000-0000-0000CD010000}"/>
    <cellStyle name="Normal 2 2 10" xfId="462" xr:uid="{00000000-0005-0000-0000-0000CE010000}"/>
    <cellStyle name="Normal 2 2 10 2" xfId="1030" xr:uid="{489A0C75-6DEE-40DC-9C89-E08770D71891}"/>
    <cellStyle name="Normal 2 2 10 2 2" xfId="2374" xr:uid="{7717FE96-E86F-496F-8CD3-0075F1BFF896}"/>
    <cellStyle name="Normal 2 2 10 2 2 2" xfId="4753" xr:uid="{917E0EF5-38DB-42A1-B91F-E9489F5506D7}"/>
    <cellStyle name="Normal 2 2 10 2 3" xfId="1808" xr:uid="{498BA029-82BC-4EFA-A510-0428C2282D4C}"/>
    <cellStyle name="Normal 2 2 10 2 3 2" xfId="4218" xr:uid="{2B34B5DC-7993-4EAE-BB95-22C26AB127DD}"/>
    <cellStyle name="Normal 2 2 10 2 4" xfId="3550" xr:uid="{BEDA35E9-8025-4EBC-8376-BC84753A0845}"/>
    <cellStyle name="Normal 2 2 10 3" xfId="2375" xr:uid="{761713C1-DCFB-41A5-98FF-96BB85F23963}"/>
    <cellStyle name="Normal 2 2 10 3 2" xfId="4754" xr:uid="{8DE56B38-5EE6-4611-A38D-C80F89A535C6}"/>
    <cellStyle name="Normal 2 2 10 4" xfId="2070" xr:uid="{B02B4DA6-82A3-4A69-B797-4DA5B192C200}"/>
    <cellStyle name="Normal 2 2 10 4 2" xfId="4480" xr:uid="{37716F18-2C55-407C-94E2-A1E897F69C8F}"/>
    <cellStyle name="Normal 2 2 10 5" xfId="1616" xr:uid="{A51AE764-5874-4DEA-A4F0-98853DC5045B}"/>
    <cellStyle name="Normal 2 2 10 5 2" xfId="4026" xr:uid="{7DD3D788-47C9-43C4-A2CF-E7CD00B4847B}"/>
    <cellStyle name="Normal 2 2 10 6" xfId="2988" xr:uid="{0ADC0EB4-20ED-484F-8B4A-D365AD24B001}"/>
    <cellStyle name="Normal 2 2 10 7" xfId="3292" xr:uid="{25B3B98E-3042-48A2-80B2-F79EE2121158}"/>
    <cellStyle name="Normal 2 2 11" xfId="463" xr:uid="{00000000-0005-0000-0000-0000CF010000}"/>
    <cellStyle name="Normal 2 2 11 2" xfId="1031" xr:uid="{E9724FE5-61ED-4A00-A8AC-43E55229F9A0}"/>
    <cellStyle name="Normal 2 2 11 2 2" xfId="2376" xr:uid="{C8214C96-8642-4F6D-8530-4013D3460854}"/>
    <cellStyle name="Normal 2 2 11 2 2 2" xfId="4755" xr:uid="{FD77F3F3-F359-4DEC-B3C8-EE00287BCA57}"/>
    <cellStyle name="Normal 2 2 11 2 3" xfId="3551" xr:uid="{809D70CA-516A-47E3-93D0-497FC459BC6E}"/>
    <cellStyle name="Normal 2 2 11 3" xfId="2071" xr:uid="{CAAAF7C4-4657-4085-B0A4-5B60556C171A}"/>
    <cellStyle name="Normal 2 2 11 3 2" xfId="4481" xr:uid="{03A3E854-7D3D-461D-9C22-F7221F4CBA14}"/>
    <cellStyle name="Normal 2 2 11 4" xfId="1809" xr:uid="{30928555-ABC2-4CC6-A43A-33979439AA39}"/>
    <cellStyle name="Normal 2 2 11 4 2" xfId="4219" xr:uid="{E930CC4A-9665-457A-A470-9314F4DB03AD}"/>
    <cellStyle name="Normal 2 2 11 5" xfId="2989" xr:uid="{C428B95A-1068-4D48-BEE6-43A99FF514F5}"/>
    <cellStyle name="Normal 2 2 11 6" xfId="3293" xr:uid="{BE89CAAC-755E-42DD-ADAA-EE5B31142827}"/>
    <cellStyle name="Normal 2 2 12" xfId="464" xr:uid="{00000000-0005-0000-0000-0000D0010000}"/>
    <cellStyle name="Normal 2 2 12 2" xfId="1032" xr:uid="{431C3529-DFD8-4A1F-A28A-3E23FE6096B9}"/>
    <cellStyle name="Normal 2 2 12 2 2" xfId="2072" xr:uid="{853F9A94-63B7-445E-85F7-F93EE9830652}"/>
    <cellStyle name="Normal 2 2 12 2 2 2" xfId="4482" xr:uid="{E2DC3AF9-5FE7-4326-A2C1-0446F59DFBF3}"/>
    <cellStyle name="Normal 2 2 12 2 3" xfId="3552" xr:uid="{AE85E635-1536-495D-B1D2-07E51FAF7D48}"/>
    <cellStyle name="Normal 2 2 12 3" xfId="1810" xr:uid="{A109965B-FB56-4D25-85A4-BC91EF84A06C}"/>
    <cellStyle name="Normal 2 2 12 3 2" xfId="4220" xr:uid="{9E522ABB-EFDB-45EC-840B-3F7BD72C522F}"/>
    <cellStyle name="Normal 2 2 12 4" xfId="2990" xr:uid="{08F159FC-E8A2-48D5-9A71-65C0A12696A9}"/>
    <cellStyle name="Normal 2 2 12 5" xfId="3294" xr:uid="{59BA4127-302D-4891-A0EF-FA5E0255764C}"/>
    <cellStyle name="Normal 2 2 13" xfId="465" xr:uid="{00000000-0005-0000-0000-0000D1010000}"/>
    <cellStyle name="Normal 2 2 13 2" xfId="1033" xr:uid="{BB8D410D-B6CD-4E21-B96C-5DCB0FC0F56B}"/>
    <cellStyle name="Normal 2 2 13 2 2" xfId="2377" xr:uid="{05C980D4-8925-4F3C-9E9C-2723FF268D27}"/>
    <cellStyle name="Normal 2 2 13 2 2 2" xfId="4756" xr:uid="{A9D43842-2925-4E09-B8B4-9702B26D326D}"/>
    <cellStyle name="Normal 2 2 13 2 3" xfId="3553" xr:uid="{42E2AA75-31B3-45F1-8190-BD40AA7B823F}"/>
    <cellStyle name="Normal 2 2 13 3" xfId="1807" xr:uid="{94DFE864-37B3-4FD6-A57E-085033ED1C49}"/>
    <cellStyle name="Normal 2 2 13 3 2" xfId="4217" xr:uid="{4761A36D-C582-494C-AAC3-BDF22D9D1BFD}"/>
    <cellStyle name="Normal 2 2 13 4" xfId="2991" xr:uid="{80FD98F9-EA1F-4565-8097-F61F8A33935E}"/>
    <cellStyle name="Normal 2 2 13 5" xfId="3295" xr:uid="{B6E8F84A-219C-4CA4-BF26-5C678DB10907}"/>
    <cellStyle name="Normal 2 2 14" xfId="466" xr:uid="{00000000-0005-0000-0000-0000D2010000}"/>
    <cellStyle name="Normal 2 2 14 2" xfId="1034" xr:uid="{D8113D34-A4EB-4800-8051-75E22F23DFB7}"/>
    <cellStyle name="Normal 2 2 14 2 2" xfId="3554" xr:uid="{94203079-0ED5-4113-84A9-17319041DB6F}"/>
    <cellStyle name="Normal 2 2 14 3" xfId="2378" xr:uid="{77B16407-32BD-4E2F-9125-250C2D01752B}"/>
    <cellStyle name="Normal 2 2 14 3 2" xfId="4757" xr:uid="{7DADDB66-39A3-453F-B15E-3BBBD9DBC53A}"/>
    <cellStyle name="Normal 2 2 14 4" xfId="2992" xr:uid="{CFD0BD58-12FE-414E-8ED5-C6266AA9A150}"/>
    <cellStyle name="Normal 2 2 14 5" xfId="3296" xr:uid="{1839B70D-68DA-4D1B-B0C4-BD6EBB60CB0D}"/>
    <cellStyle name="Normal 2 2 15" xfId="1029" xr:uid="{40FA4929-8A0D-4CAA-86A1-3D4E2C43B280}"/>
    <cellStyle name="Normal 2 2 15 2" xfId="2018" xr:uid="{D0037672-D3B5-4A23-89FA-C16AFAD542D4}"/>
    <cellStyle name="Normal 2 2 15 2 2" xfId="4428" xr:uid="{67992267-90C8-4E89-966D-6017FA9C27EB}"/>
    <cellStyle name="Normal 2 2 15 3" xfId="3549" xr:uid="{DA232ABD-EFC5-4846-B0A9-1FE3F5A5014A}"/>
    <cellStyle name="Normal 2 2 16" xfId="1479" xr:uid="{FCCF8EF0-4EBC-462B-94A7-29A43AD73AEB}"/>
    <cellStyle name="Normal 2 2 16 2" xfId="3889" xr:uid="{60839209-5C7F-4C1E-AA66-3CEE2BD8ACB9}"/>
    <cellStyle name="Normal 2 2 17" xfId="2987" xr:uid="{452AC9C3-0354-400F-8E1F-D6D2A88378E6}"/>
    <cellStyle name="Normal 2 2 18" xfId="3291" xr:uid="{F414AB97-4EAA-4961-B173-87C935C272E0}"/>
    <cellStyle name="Normal 2 2 2" xfId="467" xr:uid="{00000000-0005-0000-0000-0000D3010000}"/>
    <cellStyle name="Normal 2 2 3" xfId="468" xr:uid="{00000000-0005-0000-0000-0000D4010000}"/>
    <cellStyle name="Normal 2 2 4" xfId="469" xr:uid="{00000000-0005-0000-0000-0000D5010000}"/>
    <cellStyle name="Normal 2 2 4 10" xfId="470" xr:uid="{00000000-0005-0000-0000-0000D6010000}"/>
    <cellStyle name="Normal 2 2 4 10 2" xfId="2379" xr:uid="{43ED3B5A-392F-4ABE-9563-6ADA0E17C0EA}"/>
    <cellStyle name="Normal 2 2 4 10 2 2" xfId="4758" xr:uid="{CC51F5A9-0F1E-48CA-9C86-12E35789FCF8}"/>
    <cellStyle name="Normal 2 2 4 11" xfId="1035" xr:uid="{98E3A4B3-A133-4E75-8F84-FC6FFF086DC9}"/>
    <cellStyle name="Normal 2 2 4 11 2" xfId="2073" xr:uid="{C393C4C6-C7AE-4396-9DF2-FEFA7A169949}"/>
    <cellStyle name="Normal 2 2 4 11 2 2" xfId="4483" xr:uid="{393DDFB1-8E35-43FF-BD4B-B077204BD4BA}"/>
    <cellStyle name="Normal 2 2 4 11 3" xfId="3555" xr:uid="{DE744442-326F-4F52-8083-7F1B8FA190C7}"/>
    <cellStyle name="Normal 2 2 4 12" xfId="1487" xr:uid="{08C377DC-E9F2-4E58-BE72-A8DC108A7B31}"/>
    <cellStyle name="Normal 2 2 4 12 2" xfId="3897" xr:uid="{5D4D4BDC-2043-4589-AB72-14249D6D930E}"/>
    <cellStyle name="Normal 2 2 4 13" xfId="2993" xr:uid="{DB5305AD-22C4-471A-A963-E178F58B4806}"/>
    <cellStyle name="Normal 2 2 4 14" xfId="3297" xr:uid="{AE14FA3C-CEB7-4E86-86F0-E19394E6D4BA}"/>
    <cellStyle name="Normal 2 2 4 2" xfId="471" xr:uid="{00000000-0005-0000-0000-0000D7010000}"/>
    <cellStyle name="Normal 2 2 4 2 2" xfId="1036" xr:uid="{49872E15-2DD0-48C2-BE59-859555214618}"/>
    <cellStyle name="Normal 2 2 4 2 2 2" xfId="1072" xr:uid="{7716671B-FC44-453C-AAB7-536A3B20DB36}"/>
    <cellStyle name="Normal 2 2 4 2 2 2 2" xfId="1227" xr:uid="{214CFE47-DFA0-42DF-AF86-7A696E04468C}"/>
    <cellStyle name="Normal 2 2 4 2 2 2 2 2" xfId="2382" xr:uid="{8FB11AA6-DDAC-4728-83DA-1CC8305AA02A}"/>
    <cellStyle name="Normal 2 2 4 2 2 2 2 2 2" xfId="4761" xr:uid="{315C17E2-D800-4CDE-8211-A4E25016AC34}"/>
    <cellStyle name="Normal 2 2 4 2 2 2 2 3" xfId="1814" xr:uid="{FF2A6D2F-F6B5-4BA9-AB6B-CFC25964FF00}"/>
    <cellStyle name="Normal 2 2 4 2 2 2 2 3 2" xfId="4224" xr:uid="{E7DA5A84-9C79-4E15-AADF-0FD803996D47}"/>
    <cellStyle name="Normal 2 2 4 2 2 2 2 4" xfId="3739" xr:uid="{232E3CDB-4130-45E4-B8DC-DB5E7B1978BD}"/>
    <cellStyle name="Normal 2 2 4 2 2 2 3" xfId="2383" xr:uid="{5C7C1213-16D9-4F4A-8000-E1265E425DE2}"/>
    <cellStyle name="Normal 2 2 4 2 2 2 3 2" xfId="4762" xr:uid="{148A9DB0-462C-4891-AA09-137587355F96}"/>
    <cellStyle name="Normal 2 2 4 2 2 2 4" xfId="2381" xr:uid="{4EDB926F-EE56-4300-89E1-DCBA4853FC42}"/>
    <cellStyle name="Normal 2 2 4 2 2 2 4 2" xfId="4760" xr:uid="{1BB638B1-D2B5-48CC-B97F-63AF379750E6}"/>
    <cellStyle name="Normal 2 2 4 2 2 2 5" xfId="1710" xr:uid="{4FE979E8-18A8-4A6B-BDCE-1B6EB5EF926A}"/>
    <cellStyle name="Normal 2 2 4 2 2 2 5 2" xfId="4120" xr:uid="{19A66E83-B0C3-4E10-B9A4-5A2CD79BCA2C}"/>
    <cellStyle name="Normal 2 2 4 2 2 2 6" xfId="3591" xr:uid="{C84CD276-69F8-4377-ABEF-6DB78EB2C8F8}"/>
    <cellStyle name="Normal 2 2 4 2 2 3" xfId="1219" xr:uid="{A740CB1B-9F26-4791-921C-387996394C0C}"/>
    <cellStyle name="Normal 2 2 4 2 2 3 2" xfId="2384" xr:uid="{78DE95F3-EE5D-4988-94FE-0B93E8171719}"/>
    <cellStyle name="Normal 2 2 4 2 2 3 2 2" xfId="4763" xr:uid="{946378E6-026D-411C-94D8-8F72C38EF459}"/>
    <cellStyle name="Normal 2 2 4 2 2 3 3" xfId="1813" xr:uid="{C4F1F99E-ED81-465D-B60D-4AC3B58065A0}"/>
    <cellStyle name="Normal 2 2 4 2 2 3 3 2" xfId="4223" xr:uid="{71308927-5223-4383-B9B4-F283EAC37F06}"/>
    <cellStyle name="Normal 2 2 4 2 2 3 4" xfId="3731" xr:uid="{5EAAB0A6-883B-4231-899C-177F35D20B38}"/>
    <cellStyle name="Normal 2 2 4 2 2 4" xfId="2385" xr:uid="{C0889C19-2083-4B9E-9918-B14DF2D40C5C}"/>
    <cellStyle name="Normal 2 2 4 2 2 4 2" xfId="4764" xr:uid="{E73BD412-52DF-4935-B71F-3DC2BF6BEBF1}"/>
    <cellStyle name="Normal 2 2 4 2 2 5" xfId="2380" xr:uid="{40F6086F-4845-4D97-932E-A6D724BFCF1A}"/>
    <cellStyle name="Normal 2 2 4 2 2 5 2" xfId="4759" xr:uid="{79EEAB81-1F8A-4C71-9B7C-D413E10C2C37}"/>
    <cellStyle name="Normal 2 2 4 2 2 6" xfId="1607" xr:uid="{89A3738B-9EC6-45FB-8905-A2E09A83C5C0}"/>
    <cellStyle name="Normal 2 2 4 2 2 6 2" xfId="4017" xr:uid="{F7D83A3F-2450-4771-A00A-C128EAC5A8D7}"/>
    <cellStyle name="Normal 2 2 4 2 2 7" xfId="3556" xr:uid="{C463EC5F-F831-4F63-8645-0B55B3B4ECB9}"/>
    <cellStyle name="Normal 2 2 4 2 3" xfId="942" xr:uid="{2BF68883-6885-4B41-A141-8856B67E5D35}"/>
    <cellStyle name="Normal 2 2 4 2 3 2" xfId="1231" xr:uid="{F3A25612-E488-4F4A-A7F1-C5FF656BBF8A}"/>
    <cellStyle name="Normal 2 2 4 2 3 2 2" xfId="2387" xr:uid="{D4EFB85C-A4CF-48E5-B184-54D1D61A92B0}"/>
    <cellStyle name="Normal 2 2 4 2 3 2 2 2" xfId="4766" xr:uid="{C7278FAC-39DD-4EDD-A81A-7C88CC140C98}"/>
    <cellStyle name="Normal 2 2 4 2 3 2 3" xfId="1815" xr:uid="{6C18D3A8-8D56-4E2B-AA59-72D7B9AA9D83}"/>
    <cellStyle name="Normal 2 2 4 2 3 2 3 2" xfId="4225" xr:uid="{0B8E9A3D-A7AA-4544-99AD-5F53573D0D0C}"/>
    <cellStyle name="Normal 2 2 4 2 3 2 4" xfId="3743" xr:uid="{BAA40C14-9674-47C2-A341-60EFAABF0D1C}"/>
    <cellStyle name="Normal 2 2 4 2 3 3" xfId="2388" xr:uid="{8EC44899-24E0-41AF-B504-FEA500A05463}"/>
    <cellStyle name="Normal 2 2 4 2 3 3 2" xfId="4767" xr:uid="{6783310A-8C24-4477-A706-FC051AD12F90}"/>
    <cellStyle name="Normal 2 2 4 2 3 4" xfId="2386" xr:uid="{CAC4C0A3-DFE8-4410-A1A9-48F363DDF3C3}"/>
    <cellStyle name="Normal 2 2 4 2 3 4 2" xfId="4765" xr:uid="{9F8ADEDA-9997-422D-A61F-4C3BA50FA95D}"/>
    <cellStyle name="Normal 2 2 4 2 3 5" xfId="1650" xr:uid="{D7E87F4E-055B-4C43-B975-82339429EA17}"/>
    <cellStyle name="Normal 2 2 4 2 3 5 2" xfId="4060" xr:uid="{03B4222E-E3A7-4DB2-8353-E66333611AB1}"/>
    <cellStyle name="Normal 2 2 4 2 3 6" xfId="3504" xr:uid="{327C4A10-45FA-44F3-8661-2FBC36C5F33F}"/>
    <cellStyle name="Normal 2 2 4 2 4" xfId="1218" xr:uid="{FBD48720-8006-45B0-86BC-C5E9FF5E5CFA}"/>
    <cellStyle name="Normal 2 2 4 2 4 2" xfId="2389" xr:uid="{85F835DA-287C-476B-AFE9-FFF3B766E24F}"/>
    <cellStyle name="Normal 2 2 4 2 4 2 2" xfId="4768" xr:uid="{72E65488-A9F1-4AF5-80EB-DDF45A945A7E}"/>
    <cellStyle name="Normal 2 2 4 2 4 3" xfId="1812" xr:uid="{BB18C24A-65CC-48A8-B5C0-1435FAA12380}"/>
    <cellStyle name="Normal 2 2 4 2 4 3 2" xfId="4222" xr:uid="{08506E35-906A-49B1-9C0F-112DC6E83CFA}"/>
    <cellStyle name="Normal 2 2 4 2 4 4" xfId="3730" xr:uid="{7565B65A-77F5-4AC8-9298-48E884193FF6}"/>
    <cellStyle name="Normal 2 2 4 2 5" xfId="2390" xr:uid="{0B1883CD-53D1-4EC8-9ABE-759F9B870930}"/>
    <cellStyle name="Normal 2 2 4 2 5 2" xfId="4769" xr:uid="{5E630A18-01D0-4107-9BF1-88B0C6637A79}"/>
    <cellStyle name="Normal 2 2 4 2 6" xfId="2074" xr:uid="{3A558E46-13D4-4107-A62A-9CF1F2C1620F}"/>
    <cellStyle name="Normal 2 2 4 2 6 2" xfId="4484" xr:uid="{5526C36D-47AA-434E-964C-59BBAE2AACC5}"/>
    <cellStyle name="Normal 2 2 4 2 7" xfId="1547" xr:uid="{DF88FD39-02B5-415E-9250-93B17FDE76DF}"/>
    <cellStyle name="Normal 2 2 4 2 7 2" xfId="3957" xr:uid="{29869782-99D0-4BE2-AB37-96D0A543D6E5}"/>
    <cellStyle name="Normal 2 2 4 2 8" xfId="2994" xr:uid="{2B29C4DD-8F43-45F0-892B-45B0585A4EC7}"/>
    <cellStyle name="Normal 2 2 4 2 9" xfId="3298" xr:uid="{97B9B089-70F8-4FD4-A31E-B12E53014408}"/>
    <cellStyle name="Normal 2 2 4 3" xfId="472" xr:uid="{00000000-0005-0000-0000-0000D8010000}"/>
    <cellStyle name="Normal 2 2 4 3 2" xfId="1037" xr:uid="{2198D086-5EB3-464B-9E55-8039C08A5D37}"/>
    <cellStyle name="Normal 2 2 4 3 2 2" xfId="1233" xr:uid="{6DDDA838-C799-4125-9097-AECE70AD1F1E}"/>
    <cellStyle name="Normal 2 2 4 3 2 2 2" xfId="2392" xr:uid="{C8213AEB-C7AC-4E61-8820-21FD24C636EE}"/>
    <cellStyle name="Normal 2 2 4 3 2 2 2 2" xfId="4771" xr:uid="{7F913ED9-091B-4307-AA17-82B6B8FBF7B3}"/>
    <cellStyle name="Normal 2 2 4 3 2 2 3" xfId="1817" xr:uid="{69611709-8ECA-4E68-9143-3F021FF5836A}"/>
    <cellStyle name="Normal 2 2 4 3 2 2 3 2" xfId="4227" xr:uid="{472D45F9-5A97-427A-A310-ADEFB5CDE9BD}"/>
    <cellStyle name="Normal 2 2 4 3 2 2 4" xfId="3745" xr:uid="{931D70B6-C382-43D0-9F10-20F072F761A5}"/>
    <cellStyle name="Normal 2 2 4 3 2 3" xfId="2393" xr:uid="{D15CE1AB-00E3-43F9-AD70-AA2FF81BD038}"/>
    <cellStyle name="Normal 2 2 4 3 2 3 2" xfId="4772" xr:uid="{4392C0A6-F4FA-466C-9B00-40E2215EB401}"/>
    <cellStyle name="Normal 2 2 4 3 2 4" xfId="2391" xr:uid="{73C1540E-D2A5-4E52-A796-D13327879877}"/>
    <cellStyle name="Normal 2 2 4 3 2 4 2" xfId="4770" xr:uid="{69B8C7C3-F70D-4056-9541-111CADCD3160}"/>
    <cellStyle name="Normal 2 2 4 3 2 5" xfId="1584" xr:uid="{41BC6F27-4019-4B20-97D7-2C6A51E30B82}"/>
    <cellStyle name="Normal 2 2 4 3 2 5 2" xfId="3994" xr:uid="{BB93ECDF-C269-425E-BEEC-0DBFB532740C}"/>
    <cellStyle name="Normal 2 2 4 3 2 6" xfId="3557" xr:uid="{91775CAB-293B-485D-B8E3-CE066518292C}"/>
    <cellStyle name="Normal 2 2 4 3 3" xfId="1003" xr:uid="{C7936148-52D6-4458-B489-34540534061F}"/>
    <cellStyle name="Normal 2 2 4 3 3 2" xfId="1235" xr:uid="{8BEBD68F-28B4-4D1D-9F8D-693387CB43FA}"/>
    <cellStyle name="Normal 2 2 4 3 3 2 2" xfId="2395" xr:uid="{51585FE1-B83F-49BB-B401-3F4576F41C5C}"/>
    <cellStyle name="Normal 2 2 4 3 3 2 2 2" xfId="4774" xr:uid="{CB1DEB4B-B3E2-4986-B02D-2AB021BF538E}"/>
    <cellStyle name="Normal 2 2 4 3 3 2 3" xfId="1818" xr:uid="{7A64DA47-4918-4E96-83C3-8032B10346EC}"/>
    <cellStyle name="Normal 2 2 4 3 3 2 3 2" xfId="4228" xr:uid="{99B27A28-BC01-483E-91BA-4E7D80A897F4}"/>
    <cellStyle name="Normal 2 2 4 3 3 2 4" xfId="3747" xr:uid="{85B00C7B-9B00-48C0-8EE0-D891F0A03DF0}"/>
    <cellStyle name="Normal 2 2 4 3 3 3" xfId="2396" xr:uid="{B25497D9-F636-4A73-BED0-484664B08119}"/>
    <cellStyle name="Normal 2 2 4 3 3 3 2" xfId="4775" xr:uid="{41DFEB53-3D89-430C-8D02-78C5DFEEC25F}"/>
    <cellStyle name="Normal 2 2 4 3 3 4" xfId="2394" xr:uid="{E6FA5663-B5D3-4099-9A94-3EFC0E801C07}"/>
    <cellStyle name="Normal 2 2 4 3 3 4 2" xfId="4773" xr:uid="{9F8D6205-EF99-4CC8-83B0-573200841E83}"/>
    <cellStyle name="Normal 2 2 4 3 3 5" xfId="1687" xr:uid="{C3AC2C68-1550-431E-BF8F-D1030BF1C377}"/>
    <cellStyle name="Normal 2 2 4 3 3 5 2" xfId="4097" xr:uid="{DB51AB4A-BB46-4BFF-8661-D1194AD4361B}"/>
    <cellStyle name="Normal 2 2 4 3 3 6" xfId="3523" xr:uid="{6E9B6342-45D9-4D33-84BC-0E99FE487CD2}"/>
    <cellStyle name="Normal 2 2 4 3 4" xfId="1232" xr:uid="{95F19540-D64E-46DD-83DB-6A7DA924E6DA}"/>
    <cellStyle name="Normal 2 2 4 3 4 2" xfId="2397" xr:uid="{A9880699-36F5-409F-A58C-7C60B8D4E25B}"/>
    <cellStyle name="Normal 2 2 4 3 4 2 2" xfId="4776" xr:uid="{381F489A-319F-461A-8BB2-01E8B5ACCF27}"/>
    <cellStyle name="Normal 2 2 4 3 4 3" xfId="1816" xr:uid="{4D63715A-5457-4971-B992-6D6744D7D68E}"/>
    <cellStyle name="Normal 2 2 4 3 4 3 2" xfId="4226" xr:uid="{3D5FBAD8-6AB9-41CC-9A55-4C89F3FA28C6}"/>
    <cellStyle name="Normal 2 2 4 3 4 4" xfId="3744" xr:uid="{4CE990B4-749D-40F7-91DA-85C40A9B98ED}"/>
    <cellStyle name="Normal 2 2 4 3 5" xfId="2398" xr:uid="{93BAB612-2D64-4EF8-9777-C7746B2D505E}"/>
    <cellStyle name="Normal 2 2 4 3 5 2" xfId="4777" xr:uid="{78B2D82E-1A3A-4DEC-9A6C-239F72A7F003}"/>
    <cellStyle name="Normal 2 2 4 3 6" xfId="2075" xr:uid="{8B52B458-33D9-4ADE-B75A-85FBD0D50062}"/>
    <cellStyle name="Normal 2 2 4 3 6 2" xfId="4485" xr:uid="{11B47217-6797-449E-9C02-B05E32E81868}"/>
    <cellStyle name="Normal 2 2 4 3 7" xfId="1524" xr:uid="{E95255F2-A201-4D43-9A20-F2F3C9ADFB84}"/>
    <cellStyle name="Normal 2 2 4 3 7 2" xfId="3934" xr:uid="{7960872C-E6D3-46FD-80FD-05059A092AE7}"/>
    <cellStyle name="Normal 2 2 4 3 8" xfId="2995" xr:uid="{AD9B2883-1BA1-40C7-ACBF-87381D1055A8}"/>
    <cellStyle name="Normal 2 2 4 3 9" xfId="3299" xr:uid="{1256E4CE-8620-4BB3-8AB4-A895224BCF6B}"/>
    <cellStyle name="Normal 2 2 4 4" xfId="473" xr:uid="{00000000-0005-0000-0000-0000D9010000}"/>
    <cellStyle name="Normal 2 2 4 4 2" xfId="1038" xr:uid="{3066C694-025C-42E8-A378-2C196A69F294}"/>
    <cellStyle name="Normal 2 2 4 4 2 2" xfId="1237" xr:uid="{1C847637-33D6-4FDF-A05A-79C6CDE7E4E7}"/>
    <cellStyle name="Normal 2 2 4 4 2 2 2" xfId="2400" xr:uid="{EE68228D-7D45-4652-8A34-BB3D3C534D96}"/>
    <cellStyle name="Normal 2 2 4 4 2 2 2 2" xfId="4779" xr:uid="{B5934B0E-D485-432F-A043-E7A256612A5E}"/>
    <cellStyle name="Normal 2 2 4 4 2 2 3" xfId="1820" xr:uid="{EF922344-856F-4FD3-8568-3CA1BC20768D}"/>
    <cellStyle name="Normal 2 2 4 4 2 2 3 2" xfId="4230" xr:uid="{10272B94-00AB-4656-BF81-C7F96588EBF2}"/>
    <cellStyle name="Normal 2 2 4 4 2 2 4" xfId="3749" xr:uid="{FDA695D5-70E9-41F9-8C63-3E3A44853616}"/>
    <cellStyle name="Normal 2 2 4 4 2 3" xfId="2401" xr:uid="{77CFC98C-8AC6-4562-8DFE-3FBB4EA8C9FB}"/>
    <cellStyle name="Normal 2 2 4 4 2 3 2" xfId="4780" xr:uid="{B429C6C8-9FAC-480B-80F7-36FA6F7A9B2F}"/>
    <cellStyle name="Normal 2 2 4 4 2 4" xfId="2399" xr:uid="{79F41DBA-9773-461D-84F7-43AF4AF1BB00}"/>
    <cellStyle name="Normal 2 2 4 4 2 4 2" xfId="4778" xr:uid="{E333A65E-0D4C-401E-8964-DC9CE7B77507}"/>
    <cellStyle name="Normal 2 2 4 4 2 5" xfId="1667" xr:uid="{CB5D0984-0F53-4F86-BF09-11EE7E3EAA56}"/>
    <cellStyle name="Normal 2 2 4 4 2 5 2" xfId="4077" xr:uid="{9D7E4DD8-ADF2-4415-BEF8-01BD8652932F}"/>
    <cellStyle name="Normal 2 2 4 4 2 6" xfId="3558" xr:uid="{155AD5D5-5922-4B12-9632-8D9805E3EDA0}"/>
    <cellStyle name="Normal 2 2 4 4 3" xfId="1236" xr:uid="{CEC2F034-B987-4845-A359-9926399921BB}"/>
    <cellStyle name="Normal 2 2 4 4 3 2" xfId="2402" xr:uid="{F049B357-CE9C-4B4F-A9BB-BC99E13919F2}"/>
    <cellStyle name="Normal 2 2 4 4 3 2 2" xfId="4781" xr:uid="{E720D166-621C-459C-A369-6DE3D445F135}"/>
    <cellStyle name="Normal 2 2 4 4 3 3" xfId="1819" xr:uid="{8A32FF11-0394-4188-8A73-8A789085532F}"/>
    <cellStyle name="Normal 2 2 4 4 3 3 2" xfId="4229" xr:uid="{E9BB299C-AF32-4B56-815D-BFC1D8685FF9}"/>
    <cellStyle name="Normal 2 2 4 4 3 4" xfId="3748" xr:uid="{3C826E56-E057-4351-B7FF-1CD69D2DDEB7}"/>
    <cellStyle name="Normal 2 2 4 4 4" xfId="2403" xr:uid="{FB0E23F8-479A-47B6-B83D-AD99BAB0BEB9}"/>
    <cellStyle name="Normal 2 2 4 4 4 2" xfId="4782" xr:uid="{E826B7D8-8865-45FC-86DB-748AE11379C9}"/>
    <cellStyle name="Normal 2 2 4 4 5" xfId="2076" xr:uid="{64B3465D-F00F-428C-873F-27CA4FFB8C52}"/>
    <cellStyle name="Normal 2 2 4 4 5 2" xfId="4486" xr:uid="{D16E59B6-F0BD-49F4-B9B9-F4544EA9814C}"/>
    <cellStyle name="Normal 2 2 4 4 6" xfId="1504" xr:uid="{4D3BA9CE-87D1-4DC3-8325-661EB867C5CB}"/>
    <cellStyle name="Normal 2 2 4 4 6 2" xfId="3914" xr:uid="{78CE8CAD-6A3D-47E2-A917-A752B411BBEA}"/>
    <cellStyle name="Normal 2 2 4 4 7" xfId="2996" xr:uid="{4C977E4D-8D5D-4A3B-85F2-812F2F337692}"/>
    <cellStyle name="Normal 2 2 4 4 8" xfId="3300" xr:uid="{1B69E395-7F84-432C-953D-EFD0DA9ABDBC}"/>
    <cellStyle name="Normal 2 2 4 5" xfId="474" xr:uid="{00000000-0005-0000-0000-0000DA010000}"/>
    <cellStyle name="Normal 2 2 4 5 2" xfId="1039" xr:uid="{28536E37-27F7-4751-936D-BC943D9F28BA}"/>
    <cellStyle name="Normal 2 2 4 5 2 2" xfId="2404" xr:uid="{27EF47E0-A688-4EC6-A784-DB6DABEFBE4F}"/>
    <cellStyle name="Normal 2 2 4 5 2 2 2" xfId="4783" xr:uid="{2780F3FA-CE2C-4AC6-B909-D4AC8482ACEB}"/>
    <cellStyle name="Normal 2 2 4 5 2 3" xfId="1821" xr:uid="{8E0DDD02-4DC4-47AB-B63D-82DACDC8E105}"/>
    <cellStyle name="Normal 2 2 4 5 2 3 2" xfId="4231" xr:uid="{11B95561-8056-4AAA-BB30-204DF16A6BD0}"/>
    <cellStyle name="Normal 2 2 4 5 2 4" xfId="3559" xr:uid="{4D930A7A-CC1F-4CBB-88F1-35FCD77BF1DF}"/>
    <cellStyle name="Normal 2 2 4 5 3" xfId="2405" xr:uid="{E4D7761A-C0D2-437D-9E38-6BE717D5E262}"/>
    <cellStyle name="Normal 2 2 4 5 3 2" xfId="4784" xr:uid="{F688E2D7-6332-41ED-A011-0034C56EBDC9}"/>
    <cellStyle name="Normal 2 2 4 5 4" xfId="2077" xr:uid="{A544F1F6-3F04-4C78-B062-EF4527B0E3ED}"/>
    <cellStyle name="Normal 2 2 4 5 4 2" xfId="4487" xr:uid="{82FD461C-762B-49D4-9E43-B9E3CB9FA2B4}"/>
    <cellStyle name="Normal 2 2 4 5 5" xfId="1564" xr:uid="{7E77C9C8-AD8B-4C01-8166-56434437FB56}"/>
    <cellStyle name="Normal 2 2 4 5 5 2" xfId="3974" xr:uid="{6DE6D015-1CF3-4CF5-BAB8-EB03C1EE93D8}"/>
    <cellStyle name="Normal 2 2 4 5 6" xfId="2997" xr:uid="{2DA680B2-5027-4F93-88CE-14B9288CE2D4}"/>
    <cellStyle name="Normal 2 2 4 5 7" xfId="3301" xr:uid="{FE98B276-1EB4-403B-9978-E7DD62C7267A}"/>
    <cellStyle name="Normal 2 2 4 6" xfId="475" xr:uid="{00000000-0005-0000-0000-0000DB010000}"/>
    <cellStyle name="Normal 2 2 4 6 2" xfId="1040" xr:uid="{41E5C152-408A-43C1-BF6A-0C6AAB999111}"/>
    <cellStyle name="Normal 2 2 4 6 2 2" xfId="2406" xr:uid="{A8A757B1-439E-48BD-AF46-A205CF600CFF}"/>
    <cellStyle name="Normal 2 2 4 6 2 2 2" xfId="4785" xr:uid="{B4B9C5AC-7E33-4B29-A2AB-AF5E9C44F353}"/>
    <cellStyle name="Normal 2 2 4 6 2 3" xfId="1822" xr:uid="{7A3389F2-9F16-4B0F-8C26-667C2FFA5F07}"/>
    <cellStyle name="Normal 2 2 4 6 2 3 2" xfId="4232" xr:uid="{512E09DA-8C2C-4C28-95DC-AF14F7260322}"/>
    <cellStyle name="Normal 2 2 4 6 2 4" xfId="3560" xr:uid="{49B348B9-09A3-4183-B6BA-92244AF00C9D}"/>
    <cellStyle name="Normal 2 2 4 6 3" xfId="2407" xr:uid="{601A4BE0-9E7E-425A-BD9D-2BB4EA2B4A3C}"/>
    <cellStyle name="Normal 2 2 4 6 3 2" xfId="4786" xr:uid="{2DD22A9D-E0F3-45B4-B60C-A82C062BFC19}"/>
    <cellStyle name="Normal 2 2 4 6 4" xfId="2078" xr:uid="{1844C902-F9F1-4044-99EB-BB1DBF92E6FA}"/>
    <cellStyle name="Normal 2 2 4 6 4 2" xfId="4488" xr:uid="{3CC47FB5-3F3A-40D9-A942-95B75B3830BD}"/>
    <cellStyle name="Normal 2 2 4 6 5" xfId="1627" xr:uid="{D7452194-47A9-469B-8938-86B48A972FB2}"/>
    <cellStyle name="Normal 2 2 4 6 5 2" xfId="4037" xr:uid="{36D4B691-1440-40FC-BCA3-373D73BEAB3D}"/>
    <cellStyle name="Normal 2 2 4 6 6" xfId="2998" xr:uid="{8D14411F-03E3-4C66-86CF-817E33CFE939}"/>
    <cellStyle name="Normal 2 2 4 6 7" xfId="3302" xr:uid="{2F9D8F48-C14A-40AB-96DD-6C0BAE9BE531}"/>
    <cellStyle name="Normal 2 2 4 7" xfId="476" xr:uid="{00000000-0005-0000-0000-0000DC010000}"/>
    <cellStyle name="Normal 2 2 4 7 2" xfId="1041" xr:uid="{611F737D-10BB-42F2-82B9-7534FFC14F7E}"/>
    <cellStyle name="Normal 2 2 4 7 2 2" xfId="2079" xr:uid="{27030A0B-FBF7-4A6B-9771-0EE19458CA54}"/>
    <cellStyle name="Normal 2 2 4 7 2 2 2" xfId="4489" xr:uid="{75F7B46B-E84F-44F1-B439-E6BCC3F4E3D6}"/>
    <cellStyle name="Normal 2 2 4 7 2 3" xfId="3561" xr:uid="{EF789448-E8AC-4C6A-B14E-FEEB013277BE}"/>
    <cellStyle name="Normal 2 2 4 7 3" xfId="1823" xr:uid="{1F3777F6-E0A4-42C8-AB3E-E59E6149A3F3}"/>
    <cellStyle name="Normal 2 2 4 7 3 2" xfId="4233" xr:uid="{3A659FDD-CD93-49B7-A221-F41B9AFD8159}"/>
    <cellStyle name="Normal 2 2 4 7 4" xfId="2999" xr:uid="{F4D64EC7-3F8C-4115-A367-56342AE1D640}"/>
    <cellStyle name="Normal 2 2 4 7 5" xfId="3303" xr:uid="{3782EFC0-B016-4852-94AE-4C2B29874179}"/>
    <cellStyle name="Normal 2 2 4 8" xfId="477" xr:uid="{00000000-0005-0000-0000-0000DD010000}"/>
    <cellStyle name="Normal 2 2 4 8 2" xfId="1042" xr:uid="{D9403E09-DBCA-4C03-A3C4-9EA9DFC7B851}"/>
    <cellStyle name="Normal 2 2 4 8 2 2" xfId="2080" xr:uid="{D699E843-6830-4CD1-B436-95455577255A}"/>
    <cellStyle name="Normal 2 2 4 8 2 2 2" xfId="4490" xr:uid="{365E14D2-9C99-4578-9082-457F5A5C1E10}"/>
    <cellStyle name="Normal 2 2 4 8 2 3" xfId="3562" xr:uid="{B6C581C7-A782-4C44-B3D4-08E1C682B861}"/>
    <cellStyle name="Normal 2 2 4 8 3" xfId="1824" xr:uid="{66A6487C-DFCC-4207-80E5-1B559E6D88BF}"/>
    <cellStyle name="Normal 2 2 4 8 3 2" xfId="4234" xr:uid="{3A09C687-31FE-408B-80B8-78B107D69D99}"/>
    <cellStyle name="Normal 2 2 4 8 4" xfId="3000" xr:uid="{A9EE88ED-06B5-448F-88D0-679CB159B3D8}"/>
    <cellStyle name="Normal 2 2 4 8 5" xfId="3304" xr:uid="{3E2ADD79-919D-4BB4-BB4D-9351B04D9123}"/>
    <cellStyle name="Normal 2 2 4 9" xfId="478" xr:uid="{00000000-0005-0000-0000-0000DE010000}"/>
    <cellStyle name="Normal 2 2 4 9 2" xfId="2408" xr:uid="{166DC031-66E9-4333-BCCA-AB8E8DC0D07A}"/>
    <cellStyle name="Normal 2 2 4 9 2 2" xfId="4787" xr:uid="{EAF35FBC-32D8-4E9A-84AC-2F8F71A009C3}"/>
    <cellStyle name="Normal 2 2 4 9 3" xfId="1811" xr:uid="{4CDAAF58-C4FA-47A8-8F8F-0E1BC5646A58}"/>
    <cellStyle name="Normal 2 2 4 9 3 2" xfId="4221" xr:uid="{7F0DBD67-2722-4C09-8A08-D0E853E32025}"/>
    <cellStyle name="Normal 2 2 4 9 4" xfId="3001" xr:uid="{ED95D548-4F88-4CF8-AD3B-90A0534C7486}"/>
    <cellStyle name="Normal 2 2 4 9 5" xfId="3305" xr:uid="{7CE5C7F4-D83A-4F1D-B54A-0467AF7BBBB1}"/>
    <cellStyle name="Normal 2 2 5" xfId="479" xr:uid="{00000000-0005-0000-0000-0000DF010000}"/>
    <cellStyle name="Normal 2 2 5 2" xfId="480" xr:uid="{00000000-0005-0000-0000-0000E0010000}"/>
    <cellStyle name="Normal 2 2 5 2 2" xfId="1044" xr:uid="{4CEBD254-3E00-4CE1-805D-C97090DBBE2E}"/>
    <cellStyle name="Normal 2 2 5 2 2 2" xfId="1243" xr:uid="{8429E0A6-083A-439B-B77F-4A7FE1523CDC}"/>
    <cellStyle name="Normal 2 2 5 2 2 2 2" xfId="2410" xr:uid="{EE4309D3-8284-49C9-A00E-FE585A0BFB20}"/>
    <cellStyle name="Normal 2 2 5 2 2 2 2 2" xfId="4789" xr:uid="{F763D124-B93A-40F5-B2C1-469E4E529173}"/>
    <cellStyle name="Normal 2 2 5 2 2 2 3" xfId="1827" xr:uid="{CBC08ECC-B3CF-4E9F-8C60-FDA76B8A9AD8}"/>
    <cellStyle name="Normal 2 2 5 2 2 2 3 2" xfId="4237" xr:uid="{6751AFDA-3C99-4B29-82C6-27E409318E95}"/>
    <cellStyle name="Normal 2 2 5 2 2 2 4" xfId="3752" xr:uid="{3F0D7F83-E06A-4437-B529-D8C8036CACD9}"/>
    <cellStyle name="Normal 2 2 5 2 2 3" xfId="2411" xr:uid="{95478B25-7488-4B80-A612-0C6BF9665B2E}"/>
    <cellStyle name="Normal 2 2 5 2 2 3 2" xfId="4790" xr:uid="{A0891859-845E-4FFA-A2B8-442BA356F574}"/>
    <cellStyle name="Normal 2 2 5 2 2 4" xfId="2409" xr:uid="{98D96F56-65F8-4CB0-A2B8-21D89F82FF59}"/>
    <cellStyle name="Normal 2 2 5 2 2 4 2" xfId="4788" xr:uid="{BF98D57A-8D90-46A4-9EF6-30AE02E689E2}"/>
    <cellStyle name="Normal 2 2 5 2 2 5" xfId="1696" xr:uid="{91ABA788-3D2D-4CF4-819A-845915ABC755}"/>
    <cellStyle name="Normal 2 2 5 2 2 5 2" xfId="4106" xr:uid="{AAE5D959-99B4-4CDD-AFF5-77BB2FF6DA2C}"/>
    <cellStyle name="Normal 2 2 5 2 2 6" xfId="3564" xr:uid="{AFEFB1DB-59A1-4336-A2BB-31393E0BCB54}"/>
    <cellStyle name="Normal 2 2 5 2 3" xfId="1241" xr:uid="{DF87B2CB-F525-4D4E-9FD0-32F275C89D45}"/>
    <cellStyle name="Normal 2 2 5 2 3 2" xfId="2412" xr:uid="{D0001A42-C1FA-4877-9598-B53001C4B27F}"/>
    <cellStyle name="Normal 2 2 5 2 3 2 2" xfId="4791" xr:uid="{33B56B9A-0788-42CA-89CC-9E15624BB7C8}"/>
    <cellStyle name="Normal 2 2 5 2 3 3" xfId="1826" xr:uid="{4C721A2A-3347-4759-BE26-36393F171D18}"/>
    <cellStyle name="Normal 2 2 5 2 3 3 2" xfId="4236" xr:uid="{E7C09EEB-26BB-4FBF-A3F9-CF1A911CFD1C}"/>
    <cellStyle name="Normal 2 2 5 2 3 4" xfId="3751" xr:uid="{825E3501-8281-4299-BB4F-39110CED6C6A}"/>
    <cellStyle name="Normal 2 2 5 2 4" xfId="2413" xr:uid="{87BB1850-8DC2-4F10-AC09-1641475D7FE1}"/>
    <cellStyle name="Normal 2 2 5 2 4 2" xfId="4792" xr:uid="{3220988F-6A13-4521-82B1-48648A230298}"/>
    <cellStyle name="Normal 2 2 5 2 5" xfId="2082" xr:uid="{FE33D5D9-D7EB-4CF3-9C07-0C3C9CADB214}"/>
    <cellStyle name="Normal 2 2 5 2 5 2" xfId="4492" xr:uid="{74CA79E0-4F9C-4D32-92A0-9C95737895F4}"/>
    <cellStyle name="Normal 2 2 5 2 6" xfId="1593" xr:uid="{25438750-19E2-47F1-994A-D6590DBABA1B}"/>
    <cellStyle name="Normal 2 2 5 2 6 2" xfId="4003" xr:uid="{52495487-4D11-47A7-801E-384D581BBBD3}"/>
    <cellStyle name="Normal 2 2 5 2 7" xfId="3003" xr:uid="{CB06B478-A2C7-43C9-A8E9-8E523B9CD8D3}"/>
    <cellStyle name="Normal 2 2 5 2 8" xfId="3307" xr:uid="{297A9342-7600-4FFE-86C7-F3F4F4250CD1}"/>
    <cellStyle name="Normal 2 2 5 3" xfId="1043" xr:uid="{E5A3A83F-3C7D-45EE-970D-2D7224B417AD}"/>
    <cellStyle name="Normal 2 2 5 3 2" xfId="1244" xr:uid="{38D67B35-FBE6-4FD3-AC39-F41A1BE401DA}"/>
    <cellStyle name="Normal 2 2 5 3 2 2" xfId="2415" xr:uid="{E55603EC-0F97-4F13-8E89-12285CAD2181}"/>
    <cellStyle name="Normal 2 2 5 3 2 2 2" xfId="4794" xr:uid="{8F8BBB85-2340-42AB-9038-BB4C55F37809}"/>
    <cellStyle name="Normal 2 2 5 3 2 3" xfId="1828" xr:uid="{A695C12D-272E-4F66-855C-FCA9BC1576DD}"/>
    <cellStyle name="Normal 2 2 5 3 2 3 2" xfId="4238" xr:uid="{40B2167E-C036-431C-BBFA-512EBC01A0B9}"/>
    <cellStyle name="Normal 2 2 5 3 2 4" xfId="3753" xr:uid="{98535228-F189-4D98-8BF5-A2C1692C781C}"/>
    <cellStyle name="Normal 2 2 5 3 3" xfId="2416" xr:uid="{36B94C3D-ACDA-4365-B30A-B7847ED918A2}"/>
    <cellStyle name="Normal 2 2 5 3 3 2" xfId="4795" xr:uid="{DEDEFAAB-D65D-4BF7-AB66-791162E6E095}"/>
    <cellStyle name="Normal 2 2 5 3 4" xfId="2414" xr:uid="{07A8EA67-A578-4A21-871E-8EC21158D63D}"/>
    <cellStyle name="Normal 2 2 5 3 4 2" xfId="4793" xr:uid="{A18E0C83-9BDC-48D3-ADC8-F7E4AFAB58BA}"/>
    <cellStyle name="Normal 2 2 5 3 5" xfId="1636" xr:uid="{78377073-D490-4E59-9624-9E4FC5F86C78}"/>
    <cellStyle name="Normal 2 2 5 3 5 2" xfId="4046" xr:uid="{BFF344C9-B6A9-460B-9CC5-1A55727228F1}"/>
    <cellStyle name="Normal 2 2 5 3 6" xfId="3563" xr:uid="{9C40E9E8-D381-464D-8AAB-4E963CF23FAC}"/>
    <cellStyle name="Normal 2 2 5 4" xfId="1240" xr:uid="{24207B6D-B0D0-4CCD-9EF0-C6E48C62698F}"/>
    <cellStyle name="Normal 2 2 5 4 2" xfId="2417" xr:uid="{0029FCC5-981C-41FD-8990-0F4F2BE1CFFC}"/>
    <cellStyle name="Normal 2 2 5 4 2 2" xfId="4796" xr:uid="{B5B6A791-8F83-487A-9E6C-B8EF822F2C8A}"/>
    <cellStyle name="Normal 2 2 5 4 3" xfId="1825" xr:uid="{95F3DADA-6BB2-4E49-B322-85CE7B779684}"/>
    <cellStyle name="Normal 2 2 5 4 3 2" xfId="4235" xr:uid="{A5A6E8AB-1D34-4F58-B6A9-43082CA07BFD}"/>
    <cellStyle name="Normal 2 2 5 4 4" xfId="3750" xr:uid="{91FF733B-5F40-4891-9965-ECEB332DD986}"/>
    <cellStyle name="Normal 2 2 5 5" xfId="2418" xr:uid="{9AE64232-A171-45D3-84F1-FFFAF3DE853C}"/>
    <cellStyle name="Normal 2 2 5 5 2" xfId="4797" xr:uid="{BF97B14C-8AD1-4DE6-ACE5-4167A6165134}"/>
    <cellStyle name="Normal 2 2 5 6" xfId="2081" xr:uid="{40A2B437-FB46-4F77-8BA9-CF96330C8529}"/>
    <cellStyle name="Normal 2 2 5 6 2" xfId="4491" xr:uid="{824B0F49-3A9A-4FB4-B678-0B12D08B86B3}"/>
    <cellStyle name="Normal 2 2 5 7" xfId="1533" xr:uid="{58BF17CA-DAAF-40F9-B619-860C2BF4A8EE}"/>
    <cellStyle name="Normal 2 2 5 7 2" xfId="3943" xr:uid="{56316175-1037-4330-9867-469CDB189858}"/>
    <cellStyle name="Normal 2 2 5 8" xfId="3002" xr:uid="{EA66EA18-5363-4B90-880C-1C399921618F}"/>
    <cellStyle name="Normal 2 2 5 9" xfId="3306" xr:uid="{FC644746-16CB-4572-9941-8B14C5A35D3F}"/>
    <cellStyle name="Normal 2 2 6" xfId="481" xr:uid="{00000000-0005-0000-0000-0000E1010000}"/>
    <cellStyle name="Normal 2 2 6 2" xfId="1045" xr:uid="{DDEE04F6-A555-4F4F-A02F-FDA76934E368}"/>
    <cellStyle name="Normal 2 2 6 2 2" xfId="1065" xr:uid="{537A5128-8D8A-4BF7-B5C6-1E066F760B11}"/>
    <cellStyle name="Normal 2 2 6 2 2 2" xfId="1251" xr:uid="{E2F7B0AA-7A40-4494-A021-F68BB32EF975}"/>
    <cellStyle name="Normal 2 2 6 2 2 2 2" xfId="2421" xr:uid="{663B1536-4452-4C02-88C4-99D2B02B5C2F}"/>
    <cellStyle name="Normal 2 2 6 2 2 2 2 2" xfId="4800" xr:uid="{4A790C8F-28B7-400C-9306-00B3C0C7A946}"/>
    <cellStyle name="Normal 2 2 6 2 2 2 3" xfId="1831" xr:uid="{CAC7193B-0B5A-46C3-B102-FD10106AC6D3}"/>
    <cellStyle name="Normal 2 2 6 2 2 2 3 2" xfId="4241" xr:uid="{09D84D89-7CE3-4B05-8C85-39B672429450}"/>
    <cellStyle name="Normal 2 2 6 2 2 2 4" xfId="3756" xr:uid="{4C5FFA6C-AF07-4F8C-804C-617B0B8F4066}"/>
    <cellStyle name="Normal 2 2 6 2 2 3" xfId="2422" xr:uid="{55A3568A-7C9E-413F-97F8-154144F8E01D}"/>
    <cellStyle name="Normal 2 2 6 2 2 3 2" xfId="4801" xr:uid="{202CEAB1-153E-4F39-BD35-F4C1F54CCA21}"/>
    <cellStyle name="Normal 2 2 6 2 2 4" xfId="2420" xr:uid="{C500727D-C734-4C26-BC19-0F0C87A7632B}"/>
    <cellStyle name="Normal 2 2 6 2 2 4 2" xfId="4799" xr:uid="{485B8A09-C26A-4B12-9FA5-DB332ACB6FC1}"/>
    <cellStyle name="Normal 2 2 6 2 2 5" xfId="1702" xr:uid="{87800DE1-0BBC-4B95-8F92-31F38B70B3B2}"/>
    <cellStyle name="Normal 2 2 6 2 2 5 2" xfId="4112" xr:uid="{6DF28C7D-86C4-4D2C-8720-99D2B35EF5E4}"/>
    <cellStyle name="Normal 2 2 6 2 2 6" xfId="3585" xr:uid="{F860CFAC-21FA-47D6-B7AF-B1CF9CC5C92F}"/>
    <cellStyle name="Normal 2 2 6 2 3" xfId="1246" xr:uid="{ECCA24AF-8D22-4B48-B2EA-F3B8B848426B}"/>
    <cellStyle name="Normal 2 2 6 2 3 2" xfId="2423" xr:uid="{8D8E77AE-3390-4D13-9780-076FF6702D71}"/>
    <cellStyle name="Normal 2 2 6 2 3 2 2" xfId="4802" xr:uid="{A963D5D8-FFDC-42D4-B7B8-44F87600C2BF}"/>
    <cellStyle name="Normal 2 2 6 2 3 3" xfId="1830" xr:uid="{9F634A6D-EC23-41AB-B27A-40F8162EF7EC}"/>
    <cellStyle name="Normal 2 2 6 2 3 3 2" xfId="4240" xr:uid="{57A57F9A-BC0A-4EE5-A006-80B24EC6F0BF}"/>
    <cellStyle name="Normal 2 2 6 2 3 4" xfId="3755" xr:uid="{B97B22E9-B325-4273-A106-9F86DEA8A7FB}"/>
    <cellStyle name="Normal 2 2 6 2 4" xfId="2424" xr:uid="{3B075603-7EB5-4F0B-B98A-29E862F83899}"/>
    <cellStyle name="Normal 2 2 6 2 4 2" xfId="4803" xr:uid="{F6ED25A1-31D3-4D4F-8559-031350C18F5D}"/>
    <cellStyle name="Normal 2 2 6 2 5" xfId="2419" xr:uid="{7047243F-76BA-49D3-A5A0-4DC39CFA1E9A}"/>
    <cellStyle name="Normal 2 2 6 2 5 2" xfId="4798" xr:uid="{BB9B6973-F329-4B03-8E3A-ECF1270B7865}"/>
    <cellStyle name="Normal 2 2 6 2 6" xfId="1599" xr:uid="{5668BEE5-920A-453A-8259-3D0C1CF23B73}"/>
    <cellStyle name="Normal 2 2 6 2 6 2" xfId="4009" xr:uid="{1A388391-0A09-4017-B878-9F8AA53F1AD1}"/>
    <cellStyle name="Normal 2 2 6 2 7" xfId="3565" xr:uid="{783AB05D-CFC1-484F-BAE1-910F10C16D01}"/>
    <cellStyle name="Normal 2 2 6 3" xfId="936" xr:uid="{1880B6AF-5E94-46FB-8270-32D03B20D8CB}"/>
    <cellStyle name="Normal 2 2 6 3 2" xfId="1252" xr:uid="{56C0D372-FC51-43D8-8B90-2128CDD976ED}"/>
    <cellStyle name="Normal 2 2 6 3 2 2" xfId="2426" xr:uid="{291394EC-B843-4C6F-B850-7F1CFDD9A3D5}"/>
    <cellStyle name="Normal 2 2 6 3 2 2 2" xfId="4805" xr:uid="{6B5B6440-6E69-4426-AF60-025674E9AC32}"/>
    <cellStyle name="Normal 2 2 6 3 2 3" xfId="1832" xr:uid="{51F0048C-CD3D-4F0D-848D-C62433C0B3DA}"/>
    <cellStyle name="Normal 2 2 6 3 2 3 2" xfId="4242" xr:uid="{A663398D-E47A-4E15-9BFC-C24E40DF4DEF}"/>
    <cellStyle name="Normal 2 2 6 3 2 4" xfId="3757" xr:uid="{C2578077-9641-4B2C-A3CC-EAB567EB4226}"/>
    <cellStyle name="Normal 2 2 6 3 3" xfId="2427" xr:uid="{1FE47FAB-C902-4628-ABFC-316978650386}"/>
    <cellStyle name="Normal 2 2 6 3 3 2" xfId="4806" xr:uid="{3D956210-E5AB-46C9-B63C-D695925FEFFF}"/>
    <cellStyle name="Normal 2 2 6 3 4" xfId="2425" xr:uid="{C86087EB-C270-42AE-8486-31DCD877E1FC}"/>
    <cellStyle name="Normal 2 2 6 3 4 2" xfId="4804" xr:uid="{1F97CCDE-3347-4FCE-9B1A-E52C458CCDB1}"/>
    <cellStyle name="Normal 2 2 6 3 5" xfId="1642" xr:uid="{8F8D0AB2-360E-4EBD-BA8A-8FA9B2E8B024}"/>
    <cellStyle name="Normal 2 2 6 3 5 2" xfId="4052" xr:uid="{399C38D4-4D74-4854-A0A2-10C2CC9AE3EF}"/>
    <cellStyle name="Normal 2 2 6 3 6" xfId="3498" xr:uid="{FAA08B0F-4080-4368-A2C5-D985C31D418C}"/>
    <cellStyle name="Normal 2 2 6 4" xfId="1245" xr:uid="{65A46E20-5D6E-4373-BBAE-4B507E4F402F}"/>
    <cellStyle name="Normal 2 2 6 4 2" xfId="2428" xr:uid="{84B969EE-707B-487D-8DB5-6F0467D8C680}"/>
    <cellStyle name="Normal 2 2 6 4 2 2" xfId="4807" xr:uid="{10F18E3B-5534-4EB6-B54E-6764F2A7054C}"/>
    <cellStyle name="Normal 2 2 6 4 3" xfId="1829" xr:uid="{D36F76F8-A37F-4EB8-91F4-000D4337CB57}"/>
    <cellStyle name="Normal 2 2 6 4 3 2" xfId="4239" xr:uid="{4BD47986-0144-4322-8576-DC97B5DE729F}"/>
    <cellStyle name="Normal 2 2 6 4 4" xfId="3754" xr:uid="{7CDB3B82-8ABB-4B20-8029-F03DCA356372}"/>
    <cellStyle name="Normal 2 2 6 5" xfId="2429" xr:uid="{3A223990-0C3B-4F0B-8DD1-3DF9689C7368}"/>
    <cellStyle name="Normal 2 2 6 5 2" xfId="4808" xr:uid="{9D8787B8-FFB1-4FC0-95C5-D2DEDE14E2FE}"/>
    <cellStyle name="Normal 2 2 6 6" xfId="2083" xr:uid="{C4AAC507-A53D-4C47-A5D5-DA7CC7D9E6BA}"/>
    <cellStyle name="Normal 2 2 6 6 2" xfId="4493" xr:uid="{391588AA-DC1D-4655-BE1B-508A2E64785D}"/>
    <cellStyle name="Normal 2 2 6 7" xfId="1539" xr:uid="{6DE54082-7232-4BB9-A69E-BE9C08B65747}"/>
    <cellStyle name="Normal 2 2 6 7 2" xfId="3949" xr:uid="{B097D41B-A0AC-4702-B4D9-D2E41B1E10A3}"/>
    <cellStyle name="Normal 2 2 6 8" xfId="3004" xr:uid="{4958C3D9-AEBB-46FD-8477-0A34387B6DB3}"/>
    <cellStyle name="Normal 2 2 6 9" xfId="3308" xr:uid="{0D1E5760-17CD-4B9D-A3CD-F49F0F5D99AA}"/>
    <cellStyle name="Normal 2 2 7" xfId="482" xr:uid="{00000000-0005-0000-0000-0000E2010000}"/>
    <cellStyle name="Normal 2 2 7 2" xfId="1046" xr:uid="{D068724B-CEC1-43E8-BEEE-29610F90DB00}"/>
    <cellStyle name="Normal 2 2 7 2 2" xfId="1254" xr:uid="{F0D62CB3-9F6F-4AAE-A44D-A60A53A51973}"/>
    <cellStyle name="Normal 2 2 7 2 2 2" xfId="2431" xr:uid="{DCE4D86A-C461-4D13-896C-59C71D855368}"/>
    <cellStyle name="Normal 2 2 7 2 2 2 2" xfId="4810" xr:uid="{7570C90D-5D0C-4100-983A-28CA3C96838D}"/>
    <cellStyle name="Normal 2 2 7 2 2 3" xfId="1834" xr:uid="{303A1C80-2B39-4F14-9FC7-E37A4847A93C}"/>
    <cellStyle name="Normal 2 2 7 2 2 3 2" xfId="4244" xr:uid="{E21DB5D4-8D9F-41CE-900A-C40B7E782EF3}"/>
    <cellStyle name="Normal 2 2 7 2 2 4" xfId="3759" xr:uid="{08CEE544-7531-413C-9F03-CF9E0CB845A9}"/>
    <cellStyle name="Normal 2 2 7 2 3" xfId="2432" xr:uid="{C3957B62-6755-406C-8266-7765F65678DF}"/>
    <cellStyle name="Normal 2 2 7 2 3 2" xfId="4811" xr:uid="{9C74470B-9252-4164-9B4F-E004AAC7AA07}"/>
    <cellStyle name="Normal 2 2 7 2 4" xfId="2430" xr:uid="{7FBB10A2-4179-4902-888C-0D44C2A8E147}"/>
    <cellStyle name="Normal 2 2 7 2 4 2" xfId="4809" xr:uid="{0AF32201-7058-415B-99F0-362250ECA878}"/>
    <cellStyle name="Normal 2 2 7 2 5" xfId="1573" xr:uid="{37D50353-743B-45D9-8408-94979AD5B69D}"/>
    <cellStyle name="Normal 2 2 7 2 5 2" xfId="3983" xr:uid="{1662B652-5561-4899-829A-06299FA49187}"/>
    <cellStyle name="Normal 2 2 7 2 6" xfId="3566" xr:uid="{9B1C77DF-606D-411F-96E4-F2E43D9A5A85}"/>
    <cellStyle name="Normal 2 2 7 3" xfId="992" xr:uid="{DFEAC614-34E9-4129-B871-63A622467B08}"/>
    <cellStyle name="Normal 2 2 7 3 2" xfId="1255" xr:uid="{A2D41DB8-685B-409D-B313-1815189429C5}"/>
    <cellStyle name="Normal 2 2 7 3 2 2" xfId="2434" xr:uid="{B6993C50-8142-4336-9854-EB78DA0B6C9E}"/>
    <cellStyle name="Normal 2 2 7 3 2 2 2" xfId="4813" xr:uid="{3991A0D1-B586-4DAA-AE03-A2F61B86033A}"/>
    <cellStyle name="Normal 2 2 7 3 2 3" xfId="1835" xr:uid="{75F52B27-0A93-4277-B50A-0300F28684A4}"/>
    <cellStyle name="Normal 2 2 7 3 2 3 2" xfId="4245" xr:uid="{57F50B72-88F3-4322-ADE2-C521AE0E70EA}"/>
    <cellStyle name="Normal 2 2 7 3 2 4" xfId="3760" xr:uid="{0E0D88AF-D5CF-41D2-B7B1-D5D1EDD9975D}"/>
    <cellStyle name="Normal 2 2 7 3 3" xfId="2435" xr:uid="{5ED181D1-F23F-49C8-BAB2-E81F647B5DF5}"/>
    <cellStyle name="Normal 2 2 7 3 3 2" xfId="4814" xr:uid="{453D5CF1-3227-48AB-9AB5-F6C097DEBD79}"/>
    <cellStyle name="Normal 2 2 7 3 4" xfId="2433" xr:uid="{82AB92A3-B8BF-496A-B2A2-CE88FE6482A9}"/>
    <cellStyle name="Normal 2 2 7 3 4 2" xfId="4812" xr:uid="{C77A3C02-51FC-4120-8CA4-74AF019B4338}"/>
    <cellStyle name="Normal 2 2 7 3 5" xfId="1676" xr:uid="{8CF34E1F-EEED-420C-AF09-FC2EADD0560B}"/>
    <cellStyle name="Normal 2 2 7 3 5 2" xfId="4086" xr:uid="{53DC46F3-4830-4BF3-9435-543310C200DC}"/>
    <cellStyle name="Normal 2 2 7 3 6" xfId="3512" xr:uid="{3E5A850D-2180-42AD-BDC8-FFC35EB93B7D}"/>
    <cellStyle name="Normal 2 2 7 4" xfId="1253" xr:uid="{D9D9CF29-6859-4D90-8E05-EAEEEDED6BA9}"/>
    <cellStyle name="Normal 2 2 7 4 2" xfId="2436" xr:uid="{B15E824D-5904-40F2-8FE9-0991FA7BABB5}"/>
    <cellStyle name="Normal 2 2 7 4 2 2" xfId="4815" xr:uid="{79877CEB-78B2-4A75-9E20-90680C512D1A}"/>
    <cellStyle name="Normal 2 2 7 4 3" xfId="1833" xr:uid="{20AA6AAC-B9C5-413C-95BE-09C3B6F6214A}"/>
    <cellStyle name="Normal 2 2 7 4 3 2" xfId="4243" xr:uid="{68B075A9-BF9B-42FC-8FDE-9D319BE4DA36}"/>
    <cellStyle name="Normal 2 2 7 4 4" xfId="3758" xr:uid="{F2548C50-9A0E-44BF-BC6C-6FB051FDADCA}"/>
    <cellStyle name="Normal 2 2 7 5" xfId="2437" xr:uid="{74739832-822D-4B0B-8A0F-8A626F3D38E5}"/>
    <cellStyle name="Normal 2 2 7 5 2" xfId="4816" xr:uid="{18A8685A-F0CD-40DC-B28D-C2C832C9D06F}"/>
    <cellStyle name="Normal 2 2 7 6" xfId="2084" xr:uid="{D43B4CFC-A8BA-4CF3-9D33-44F987CAB790}"/>
    <cellStyle name="Normal 2 2 7 6 2" xfId="4494" xr:uid="{81AF345F-F279-4BF1-A012-83E07BE8ACA1}"/>
    <cellStyle name="Normal 2 2 7 7" xfId="1513" xr:uid="{E9DD04D4-68BD-43A0-B9B8-19FA6A289A5A}"/>
    <cellStyle name="Normal 2 2 7 7 2" xfId="3923" xr:uid="{B302CD23-3AC5-4A81-8C0D-BD960299DF81}"/>
    <cellStyle name="Normal 2 2 7 8" xfId="3005" xr:uid="{D715B76C-64FC-46F3-AAF9-AB22233E15F0}"/>
    <cellStyle name="Normal 2 2 7 9" xfId="3309" xr:uid="{0773F90B-2185-41EA-A442-DE7D4FCB726D}"/>
    <cellStyle name="Normal 2 2 8" xfId="483" xr:uid="{00000000-0005-0000-0000-0000E3010000}"/>
    <cellStyle name="Normal 2 2 8 2" xfId="1047" xr:uid="{5F7D1456-62A8-44DA-BC03-5D75202BF28B}"/>
    <cellStyle name="Normal 2 2 8 2 2" xfId="1257" xr:uid="{6189EAF3-E054-4561-B5C6-DD9E74A1BFDE}"/>
    <cellStyle name="Normal 2 2 8 2 2 2" xfId="2439" xr:uid="{13F48149-EC12-4986-933D-13E1D68AA328}"/>
    <cellStyle name="Normal 2 2 8 2 2 2 2" xfId="4818" xr:uid="{A731BC78-44AF-48A9-BC02-3360FFBA4DA6}"/>
    <cellStyle name="Normal 2 2 8 2 2 3" xfId="1837" xr:uid="{B0800214-11A1-4BF3-9580-334A28DDDB02}"/>
    <cellStyle name="Normal 2 2 8 2 2 3 2" xfId="4247" xr:uid="{D430B1EA-4198-44A5-BA06-044051B6D114}"/>
    <cellStyle name="Normal 2 2 8 2 2 4" xfId="3762" xr:uid="{EF36DBC5-8FC9-416B-BF37-04D8FB16670F}"/>
    <cellStyle name="Normal 2 2 8 2 3" xfId="2440" xr:uid="{8F4D6644-9AF3-46CF-B5D2-DACCF3AC087C}"/>
    <cellStyle name="Normal 2 2 8 2 3 2" xfId="4819" xr:uid="{3E7B2B47-E9BF-4CE2-B352-37B18983D03F}"/>
    <cellStyle name="Normal 2 2 8 2 4" xfId="2438" xr:uid="{DC6EBA4E-6014-40AE-9E25-EBBD5832BF29}"/>
    <cellStyle name="Normal 2 2 8 2 4 2" xfId="4817" xr:uid="{455EDFF3-33F6-4C82-AAC6-B95497BB4F24}"/>
    <cellStyle name="Normal 2 2 8 2 5" xfId="1659" xr:uid="{28F8C9D4-8B88-450B-BE75-6FB8FFB07553}"/>
    <cellStyle name="Normal 2 2 8 2 5 2" xfId="4069" xr:uid="{A396C382-2C5F-4792-8ACA-980C4CE140A7}"/>
    <cellStyle name="Normal 2 2 8 2 6" xfId="3567" xr:uid="{3BE5E9D8-9351-49E8-9B36-8FFF7839E131}"/>
    <cellStyle name="Normal 2 2 8 3" xfId="1256" xr:uid="{8A675D52-B056-4847-A105-6AD6DDB376B0}"/>
    <cellStyle name="Normal 2 2 8 3 2" xfId="2441" xr:uid="{9E8264E8-8D27-448F-942A-39CC20FFE597}"/>
    <cellStyle name="Normal 2 2 8 3 2 2" xfId="4820" xr:uid="{6D690A66-3DBC-4461-A519-8C8AB8A3A7A9}"/>
    <cellStyle name="Normal 2 2 8 3 3" xfId="1836" xr:uid="{721559BE-629E-4866-919E-F7144C0069B5}"/>
    <cellStyle name="Normal 2 2 8 3 3 2" xfId="4246" xr:uid="{01E37239-35E7-4252-97BB-6048A0FFE6D9}"/>
    <cellStyle name="Normal 2 2 8 3 4" xfId="3761" xr:uid="{1E04FED6-C7BE-4763-91CF-8C4B10C5F377}"/>
    <cellStyle name="Normal 2 2 8 4" xfId="2442" xr:uid="{02253ACA-D109-4203-935B-72AF7B490882}"/>
    <cellStyle name="Normal 2 2 8 4 2" xfId="4821" xr:uid="{2DF251FF-0D30-41DD-80F2-1468DFF48C34}"/>
    <cellStyle name="Normal 2 2 8 5" xfId="2085" xr:uid="{2EB0E647-D51A-489B-91E2-71FB28C7E884}"/>
    <cellStyle name="Normal 2 2 8 5 2" xfId="4495" xr:uid="{B77172D0-6C71-45CD-9132-978845970533}"/>
    <cellStyle name="Normal 2 2 8 6" xfId="1496" xr:uid="{BBC9C2D4-0526-4AED-80DD-B3F9D5612C52}"/>
    <cellStyle name="Normal 2 2 8 6 2" xfId="3906" xr:uid="{801C0ACF-BEA3-434C-A99E-02C45A9A5093}"/>
    <cellStyle name="Normal 2 2 8 7" xfId="3006" xr:uid="{41ED44FF-8923-4255-989D-105913A22ACC}"/>
    <cellStyle name="Normal 2 2 8 8" xfId="3310" xr:uid="{904D978C-F792-4DE1-8799-5F6C7102CD9A}"/>
    <cellStyle name="Normal 2 2 9" xfId="484" xr:uid="{00000000-0005-0000-0000-0000E4010000}"/>
    <cellStyle name="Normal 2 2 9 2" xfId="1048" xr:uid="{51CD8CF4-739A-4F40-9AC9-F175A698BDEA}"/>
    <cellStyle name="Normal 2 2 9 2 2" xfId="1259" xr:uid="{6B342281-84A1-453B-B2D2-4D3BDB17BD7D}"/>
    <cellStyle name="Normal 2 2 9 2 2 2" xfId="2444" xr:uid="{C98D29CF-3A29-4E57-BD41-4D21D3EDEAAB}"/>
    <cellStyle name="Normal 2 2 9 2 2 2 2" xfId="4823" xr:uid="{869FD8DA-BB20-49A3-A6EC-16BE9772B192}"/>
    <cellStyle name="Normal 2 2 9 2 2 3" xfId="1839" xr:uid="{F7FB1828-774B-4C4B-83C6-AD11E29AC308}"/>
    <cellStyle name="Normal 2 2 9 2 2 3 2" xfId="4249" xr:uid="{A5D33475-E8C9-4D7B-8CC4-499CD9A0F932}"/>
    <cellStyle name="Normal 2 2 9 2 2 4" xfId="3764" xr:uid="{A763D940-A646-40ED-ABD0-71BAC8DB648A}"/>
    <cellStyle name="Normal 2 2 9 2 3" xfId="2445" xr:uid="{2160D9FB-F92C-4625-9BD1-6579136DEAA8}"/>
    <cellStyle name="Normal 2 2 9 2 3 2" xfId="4824" xr:uid="{B6311987-ED46-4DC9-8DC4-DA85BB81B350}"/>
    <cellStyle name="Normal 2 2 9 2 4" xfId="2443" xr:uid="{DD3CB400-2F88-4B4E-B2E8-DBF3FA8CAE7F}"/>
    <cellStyle name="Normal 2 2 9 2 4 2" xfId="4822" xr:uid="{9F1A704B-3CEC-40DE-B92B-4C7DC4C76745}"/>
    <cellStyle name="Normal 2 2 9 2 5" xfId="1721" xr:uid="{948C6804-D879-48C1-9CCD-752FA7860622}"/>
    <cellStyle name="Normal 2 2 9 2 5 2" xfId="4131" xr:uid="{864C2012-5083-4BC7-A4A0-0495D62C0A20}"/>
    <cellStyle name="Normal 2 2 9 2 6" xfId="3568" xr:uid="{AD490E4E-0120-47D7-A0CA-CEDF42B73BAE}"/>
    <cellStyle name="Normal 2 2 9 3" xfId="1258" xr:uid="{61C120A0-3885-4B0E-840B-DECC30138E25}"/>
    <cellStyle name="Normal 2 2 9 3 2" xfId="2446" xr:uid="{0A9704A1-72B9-4311-819F-720DD674DA27}"/>
    <cellStyle name="Normal 2 2 9 3 2 2" xfId="4825" xr:uid="{63CE9D11-F8A6-4FC0-B54E-267BC8CDC179}"/>
    <cellStyle name="Normal 2 2 9 3 3" xfId="1838" xr:uid="{D59676FD-D595-48F8-826D-C3A8B8F46252}"/>
    <cellStyle name="Normal 2 2 9 3 3 2" xfId="4248" xr:uid="{75C2C228-1CB4-4438-AF69-783D4AD38300}"/>
    <cellStyle name="Normal 2 2 9 3 4" xfId="3763" xr:uid="{B28B1D99-30AB-409D-98B6-C849B17D0EC5}"/>
    <cellStyle name="Normal 2 2 9 4" xfId="2447" xr:uid="{E3CCC5FC-C856-4547-9BBD-094C6416DCBD}"/>
    <cellStyle name="Normal 2 2 9 4 2" xfId="4826" xr:uid="{09723322-BDA6-450E-8D12-5615B8E8F843}"/>
    <cellStyle name="Normal 2 2 9 5" xfId="2086" xr:uid="{5498AF77-5824-442D-AE64-708981BBFBF3}"/>
    <cellStyle name="Normal 2 2 9 5 2" xfId="4496" xr:uid="{1253CE49-C057-48B1-9029-AC0E2D2C0A5A}"/>
    <cellStyle name="Normal 2 2 9 6" xfId="1556" xr:uid="{B24B5F89-7885-4D9F-BEB1-D90FE907EE28}"/>
    <cellStyle name="Normal 2 2 9 6 2" xfId="3966" xr:uid="{620F65BC-A297-4E01-B919-5EEB0364CE35}"/>
    <cellStyle name="Normal 2 2 9 7" xfId="3007" xr:uid="{5B944682-B735-4CD2-9896-002C39D7FE40}"/>
    <cellStyle name="Normal 2 2 9 8" xfId="3311" xr:uid="{AA126F9E-E2A8-4D88-B4E1-F8ADCBA6381F}"/>
    <cellStyle name="Normal 2 3" xfId="485" xr:uid="{00000000-0005-0000-0000-0000E5010000}"/>
    <cellStyle name="Normal 2 4" xfId="486" xr:uid="{00000000-0005-0000-0000-0000E6010000}"/>
    <cellStyle name="Normal 2 5" xfId="487" xr:uid="{00000000-0005-0000-0000-0000E7010000}"/>
    <cellStyle name="Normal 2 5 10" xfId="488" xr:uid="{00000000-0005-0000-0000-0000E8010000}"/>
    <cellStyle name="Normal 2 5 10 2" xfId="1050" xr:uid="{908560D4-04CF-4C9A-BA1B-FDCF9AE7F56C}"/>
    <cellStyle name="Normal 2 5 10 2 2" xfId="3570" xr:uid="{CAC02016-A2D5-4099-8C62-688FEC5AB2A6}"/>
    <cellStyle name="Normal 2 5 10 3" xfId="2448" xr:uid="{DADC8185-901B-4E08-B209-D960F5FAC9E1}"/>
    <cellStyle name="Normal 2 5 10 3 2" xfId="4827" xr:uid="{39D274BF-DECE-402E-8838-F9A7CFDD7DE0}"/>
    <cellStyle name="Normal 2 5 10 4" xfId="3009" xr:uid="{8ACC68EE-D10D-4726-BAEE-4E2B6A60A177}"/>
    <cellStyle name="Normal 2 5 10 5" xfId="3313" xr:uid="{B4366E29-F77F-4F11-825D-ADE1D3711FDB}"/>
    <cellStyle name="Normal 2 5 11" xfId="1049" xr:uid="{2DCEAEF7-35DF-4C64-AE64-A57E5FDBC641}"/>
    <cellStyle name="Normal 2 5 11 2" xfId="2023" xr:uid="{EDDDF376-6E49-43AB-A5A6-D3C8DF129F47}"/>
    <cellStyle name="Normal 2 5 11 2 2" xfId="4433" xr:uid="{627A26F2-87D9-4516-834D-237D0FAE468A}"/>
    <cellStyle name="Normal 2 5 11 3" xfId="3569" xr:uid="{1AAED6BC-F535-4A0A-9D1E-F5FD3FD376D0}"/>
    <cellStyle name="Normal 2 5 12" xfId="1486" xr:uid="{539A6CEA-EFDC-4D6F-85CE-1B81481B68B3}"/>
    <cellStyle name="Normal 2 5 12 2" xfId="3896" xr:uid="{E56F156A-07EE-4706-8D91-B7A77BF75636}"/>
    <cellStyle name="Normal 2 5 13" xfId="3008" xr:uid="{6B673578-57B6-44FD-A097-CF867E3489D6}"/>
    <cellStyle name="Normal 2 5 14" xfId="3312" xr:uid="{428EF4EE-9958-4A29-B922-8CCB6FC3CE20}"/>
    <cellStyle name="Normal 2 5 2" xfId="489" xr:uid="{00000000-0005-0000-0000-0000E9010000}"/>
    <cellStyle name="Normal 2 5 2 2" xfId="1051" xr:uid="{F2B84BE6-2C79-48A7-A410-F92A174D86C8}"/>
    <cellStyle name="Normal 2 5 2 2 2" xfId="1071" xr:uid="{092D88FE-736D-4565-8010-2A28430BA5B9}"/>
    <cellStyle name="Normal 2 5 2 2 2 2" xfId="1262" xr:uid="{CF41CF66-7205-4E8A-A148-6F7870DF1785}"/>
    <cellStyle name="Normal 2 5 2 2 2 2 2" xfId="2451" xr:uid="{CFCD3F0B-E05D-42A7-90F4-926D06668655}"/>
    <cellStyle name="Normal 2 5 2 2 2 2 2 2" xfId="4830" xr:uid="{2CF322D7-4970-4281-8342-B0279AE4CD3D}"/>
    <cellStyle name="Normal 2 5 2 2 2 2 3" xfId="1843" xr:uid="{1B5B59B1-4E2E-4901-9526-63DECC56236D}"/>
    <cellStyle name="Normal 2 5 2 2 2 2 3 2" xfId="4253" xr:uid="{81DA2931-4AE3-4261-99A3-9D4B75862EDF}"/>
    <cellStyle name="Normal 2 5 2 2 2 2 4" xfId="3767" xr:uid="{618A6255-F5F9-442F-B11C-2FA341548901}"/>
    <cellStyle name="Normal 2 5 2 2 2 3" xfId="2452" xr:uid="{0FEEA380-A763-41AC-9F0F-B32CB544A91A}"/>
    <cellStyle name="Normal 2 5 2 2 2 3 2" xfId="4831" xr:uid="{96159E2D-891D-4F11-B464-9136DCF3533E}"/>
    <cellStyle name="Normal 2 5 2 2 2 4" xfId="2450" xr:uid="{6DA3978E-3DEB-40EE-A944-68ED31E57D52}"/>
    <cellStyle name="Normal 2 5 2 2 2 4 2" xfId="4829" xr:uid="{17FD0DDE-C18F-4219-8E60-86D708D5371F}"/>
    <cellStyle name="Normal 2 5 2 2 2 5" xfId="1709" xr:uid="{867CE949-CB1A-4DA3-9F9B-10A013E94063}"/>
    <cellStyle name="Normal 2 5 2 2 2 5 2" xfId="4119" xr:uid="{8B39D402-0C68-45E2-95BF-90B20A304C74}"/>
    <cellStyle name="Normal 2 5 2 2 2 6" xfId="3590" xr:uid="{963470E9-55FC-4C19-9F75-260D13538C6D}"/>
    <cellStyle name="Normal 2 5 2 2 3" xfId="1261" xr:uid="{D619A78F-C6F7-4FCE-81D9-A53EBAA0AD78}"/>
    <cellStyle name="Normal 2 5 2 2 3 2" xfId="2453" xr:uid="{7018EA04-9B7A-40F0-9E8D-AEBCDB68E2C4}"/>
    <cellStyle name="Normal 2 5 2 2 3 2 2" xfId="4832" xr:uid="{B0B55537-F70D-4D20-AAE9-48C295DC0960}"/>
    <cellStyle name="Normal 2 5 2 2 3 3" xfId="1842" xr:uid="{0565D6F2-8282-4CE4-ABC3-7D2BD28884B9}"/>
    <cellStyle name="Normal 2 5 2 2 3 3 2" xfId="4252" xr:uid="{29A184DF-724C-4E03-B8EB-2C23188D5E09}"/>
    <cellStyle name="Normal 2 5 2 2 3 4" xfId="3766" xr:uid="{E05329AC-645F-4A15-A61A-92588D4CA1E2}"/>
    <cellStyle name="Normal 2 5 2 2 4" xfId="2454" xr:uid="{854C30F1-46A7-4C3B-BE08-5335EBCF1970}"/>
    <cellStyle name="Normal 2 5 2 2 4 2" xfId="4833" xr:uid="{CDADE06A-C41E-4F69-83EF-7B77825AB8B0}"/>
    <cellStyle name="Normal 2 5 2 2 5" xfId="2449" xr:uid="{FBF96031-5BEC-4C92-8725-A7B8DB1CBD1D}"/>
    <cellStyle name="Normal 2 5 2 2 5 2" xfId="4828" xr:uid="{BC9686DB-74F1-40A2-BC11-C32C8C2831C4}"/>
    <cellStyle name="Normal 2 5 2 2 6" xfId="1606" xr:uid="{09275DFD-C927-44E2-876D-34DD1481D583}"/>
    <cellStyle name="Normal 2 5 2 2 6 2" xfId="4016" xr:uid="{465B1526-0CF3-4B98-AAD0-13029FF930B2}"/>
    <cellStyle name="Normal 2 5 2 2 7" xfId="3571" xr:uid="{C0FA8500-1991-48A8-BCD3-4A00AECC605A}"/>
    <cellStyle name="Normal 2 5 2 3" xfId="941" xr:uid="{9878854E-BA59-4AC3-871C-A16562FBF36A}"/>
    <cellStyle name="Normal 2 5 2 3 2" xfId="1263" xr:uid="{456BF693-637B-4A3A-8EF9-C6D4766EADBC}"/>
    <cellStyle name="Normal 2 5 2 3 2 2" xfId="2456" xr:uid="{5D5D2B18-D03F-4059-B099-F22BAF41190C}"/>
    <cellStyle name="Normal 2 5 2 3 2 2 2" xfId="4835" xr:uid="{B8D7486F-DF47-470F-B1D2-85A5A7719EBF}"/>
    <cellStyle name="Normal 2 5 2 3 2 3" xfId="1844" xr:uid="{29EA2DCD-94D6-4E95-9615-4E8518925B80}"/>
    <cellStyle name="Normal 2 5 2 3 2 3 2" xfId="4254" xr:uid="{BF1A3EAE-BEBE-4375-BD44-3987F92E3B8E}"/>
    <cellStyle name="Normal 2 5 2 3 2 4" xfId="3768" xr:uid="{ABC4B390-6BC1-47C0-96E8-14B8F37645D2}"/>
    <cellStyle name="Normal 2 5 2 3 3" xfId="2457" xr:uid="{149DD77D-D7A6-4E4B-9ACA-26BB41638255}"/>
    <cellStyle name="Normal 2 5 2 3 3 2" xfId="4836" xr:uid="{C23F87EA-16A4-4830-827B-593AA20E6A22}"/>
    <cellStyle name="Normal 2 5 2 3 4" xfId="2455" xr:uid="{472FD8F1-C39F-4F53-A94B-A12E2C972675}"/>
    <cellStyle name="Normal 2 5 2 3 4 2" xfId="4834" xr:uid="{E2FB5F55-30FE-4B39-B17A-F97D1C8A7E9F}"/>
    <cellStyle name="Normal 2 5 2 3 5" xfId="1649" xr:uid="{B8359713-6043-40F4-B9D0-AB1F67E635D3}"/>
    <cellStyle name="Normal 2 5 2 3 5 2" xfId="4059" xr:uid="{19A69D5A-86DC-4E37-9A15-60CD383F9F61}"/>
    <cellStyle name="Normal 2 5 2 3 6" xfId="3503" xr:uid="{A3075896-32F1-41D5-B040-425C28FB4A50}"/>
    <cellStyle name="Normal 2 5 2 4" xfId="1260" xr:uid="{9C542F35-DF4E-4249-8C72-4042DA14B4A3}"/>
    <cellStyle name="Normal 2 5 2 4 2" xfId="2458" xr:uid="{A9D1D747-63C4-4504-ADA4-E2F3E7CAC96C}"/>
    <cellStyle name="Normal 2 5 2 4 2 2" xfId="4837" xr:uid="{9E7AF52B-531F-44A5-AB9B-72FBFE51DDA3}"/>
    <cellStyle name="Normal 2 5 2 4 3" xfId="1841" xr:uid="{8C17CC61-8355-4240-A315-93EF831A5592}"/>
    <cellStyle name="Normal 2 5 2 4 3 2" xfId="4251" xr:uid="{4D93131C-F303-427C-9D79-B99EFD0CB572}"/>
    <cellStyle name="Normal 2 5 2 4 4" xfId="3765" xr:uid="{D1F6462F-019C-4C3E-82C1-266EE0ED036F}"/>
    <cellStyle name="Normal 2 5 2 5" xfId="2459" xr:uid="{1A095723-FB62-4D7A-BD3D-9E7DC08156B0}"/>
    <cellStyle name="Normal 2 5 2 5 2" xfId="4838" xr:uid="{58C0B8EF-DD4F-4777-9540-610B8D93CD96}"/>
    <cellStyle name="Normal 2 5 2 6" xfId="2087" xr:uid="{023DF5BA-AA70-4E71-86BC-9534CEA86B5E}"/>
    <cellStyle name="Normal 2 5 2 6 2" xfId="4497" xr:uid="{806702E1-58AD-4A1A-BD18-794E58E93023}"/>
    <cellStyle name="Normal 2 5 2 7" xfId="1546" xr:uid="{CED378FD-AAC6-48BB-AEDB-4C1D304FA81B}"/>
    <cellStyle name="Normal 2 5 2 7 2" xfId="3956" xr:uid="{02EC8266-B291-419A-B25F-CAD0E87F6932}"/>
    <cellStyle name="Normal 2 5 2 8" xfId="3010" xr:uid="{AA1D6F5A-06DF-4233-88C2-DF3DF961AEDC}"/>
    <cellStyle name="Normal 2 5 2 9" xfId="3314" xr:uid="{99AD7A03-AD4B-46C4-83C9-6F333114C1F7}"/>
    <cellStyle name="Normal 2 5 3" xfId="490" xr:uid="{00000000-0005-0000-0000-0000EA010000}"/>
    <cellStyle name="Normal 2 5 3 2" xfId="1052" xr:uid="{AA242BB1-2363-41FC-ACEF-1A894FE7FA8B}"/>
    <cellStyle name="Normal 2 5 3 2 2" xfId="1265" xr:uid="{1928FF13-F272-4F29-804C-DF8724A7B5B2}"/>
    <cellStyle name="Normal 2 5 3 2 2 2" xfId="2461" xr:uid="{98C67F5A-7A00-4893-8813-E0737702768A}"/>
    <cellStyle name="Normal 2 5 3 2 2 2 2" xfId="4840" xr:uid="{4C55353D-8425-4FE3-997F-0AB86A2593CD}"/>
    <cellStyle name="Normal 2 5 3 2 2 3" xfId="1846" xr:uid="{640C3E85-E22D-46F2-AFF8-30AAB5860C9C}"/>
    <cellStyle name="Normal 2 5 3 2 2 3 2" xfId="4256" xr:uid="{4CC28E84-E4B6-4F7C-A645-A361124BE7B6}"/>
    <cellStyle name="Normal 2 5 3 2 2 4" xfId="3770" xr:uid="{A91A5715-303E-4F6B-8968-2CE9798483B9}"/>
    <cellStyle name="Normal 2 5 3 2 3" xfId="2462" xr:uid="{E3AA0BCF-4B4F-412C-B57F-8608C08B8D91}"/>
    <cellStyle name="Normal 2 5 3 2 3 2" xfId="4841" xr:uid="{8DED1342-A896-47D5-ADA4-52B59784ED9A}"/>
    <cellStyle name="Normal 2 5 3 2 4" xfId="2460" xr:uid="{F92B9171-8FA9-462A-A3A9-126BD15E6C57}"/>
    <cellStyle name="Normal 2 5 3 2 4 2" xfId="4839" xr:uid="{DF1506ED-F569-4B5C-A18C-DA28CF0734B3}"/>
    <cellStyle name="Normal 2 5 3 2 5" xfId="1580" xr:uid="{3680B450-0449-4EB6-AAC7-7EA9F9179B03}"/>
    <cellStyle name="Normal 2 5 3 2 5 2" xfId="3990" xr:uid="{3E55E790-890D-4439-86D6-FA1E1FF94C15}"/>
    <cellStyle name="Normal 2 5 3 2 6" xfId="3572" xr:uid="{1C3B1555-D25B-47F0-9358-4769C06F9FE7}"/>
    <cellStyle name="Normal 2 5 3 3" xfId="999" xr:uid="{924DF245-6042-455F-A36C-26EB0FED5E11}"/>
    <cellStyle name="Normal 2 5 3 3 2" xfId="1266" xr:uid="{FEB55CA3-EC40-4EA7-BAD5-172F9211A5F5}"/>
    <cellStyle name="Normal 2 5 3 3 2 2" xfId="2464" xr:uid="{A1FC7C49-430A-4250-B439-65C4C1A37335}"/>
    <cellStyle name="Normal 2 5 3 3 2 2 2" xfId="4843" xr:uid="{19D4FCC8-4694-48F2-95C1-A32F7EE2EFC1}"/>
    <cellStyle name="Normal 2 5 3 3 2 3" xfId="1847" xr:uid="{20B85542-90D9-4C28-AA4A-B6CF459E6FC3}"/>
    <cellStyle name="Normal 2 5 3 3 2 3 2" xfId="4257" xr:uid="{F9770054-EE6D-442C-86D2-538888166F4E}"/>
    <cellStyle name="Normal 2 5 3 3 2 4" xfId="3771" xr:uid="{F1FBE3AC-AB41-4D53-BA18-FB5993EC27B5}"/>
    <cellStyle name="Normal 2 5 3 3 3" xfId="2465" xr:uid="{2CFAA9CE-66A3-44C2-A384-5DB3D8101D1D}"/>
    <cellStyle name="Normal 2 5 3 3 3 2" xfId="4844" xr:uid="{37648250-B0B1-4B5B-BCC3-A0C35A269BE4}"/>
    <cellStyle name="Normal 2 5 3 3 4" xfId="2463" xr:uid="{2DD7C7F8-48C5-4F88-AE65-4A91A64C066F}"/>
    <cellStyle name="Normal 2 5 3 3 4 2" xfId="4842" xr:uid="{FC9C622A-A13E-469B-BDCB-8B7CE0F73A6A}"/>
    <cellStyle name="Normal 2 5 3 3 5" xfId="1683" xr:uid="{09F64AB5-5D6E-4929-912D-CEDEF43D5143}"/>
    <cellStyle name="Normal 2 5 3 3 5 2" xfId="4093" xr:uid="{B4889B1B-4071-4170-9A3D-3ACAAF9F7547}"/>
    <cellStyle name="Normal 2 5 3 3 6" xfId="3519" xr:uid="{7AF91614-A9FF-4DF5-80A8-9E3DD134CB46}"/>
    <cellStyle name="Normal 2 5 3 4" xfId="1264" xr:uid="{B04E2745-DD85-40BD-ADD5-440233FC0A00}"/>
    <cellStyle name="Normal 2 5 3 4 2" xfId="2466" xr:uid="{E285CC2A-69DA-44BA-BCF2-F91EC2604992}"/>
    <cellStyle name="Normal 2 5 3 4 2 2" xfId="4845" xr:uid="{071CE06E-3CCA-4B18-B34B-BD98EEA6458B}"/>
    <cellStyle name="Normal 2 5 3 4 3" xfId="1845" xr:uid="{00B91A01-1B93-4FA6-80FC-03F4023CEF86}"/>
    <cellStyle name="Normal 2 5 3 4 3 2" xfId="4255" xr:uid="{1A73BC12-0A2E-4308-8B78-3004EA690B98}"/>
    <cellStyle name="Normal 2 5 3 4 4" xfId="3769" xr:uid="{F5188D78-5E10-43F2-8B59-64E630C399BE}"/>
    <cellStyle name="Normal 2 5 3 5" xfId="2467" xr:uid="{936A2D6B-A379-474B-AB4F-F07766AFA787}"/>
    <cellStyle name="Normal 2 5 3 5 2" xfId="4846" xr:uid="{629A8A0B-B9EA-4D7F-8427-2D3FC789DF9C}"/>
    <cellStyle name="Normal 2 5 3 6" xfId="2088" xr:uid="{5A429BD9-0852-4FCA-8D77-F3FC5D27C58A}"/>
    <cellStyle name="Normal 2 5 3 6 2" xfId="4498" xr:uid="{3AE7D131-203D-48D6-856E-4340FEFBAC75}"/>
    <cellStyle name="Normal 2 5 3 7" xfId="1520" xr:uid="{C9F2AD9F-B139-4E6F-A34B-82E6B2215A06}"/>
    <cellStyle name="Normal 2 5 3 7 2" xfId="3930" xr:uid="{21459BBB-1A1A-4EFA-9351-09FF330816A9}"/>
    <cellStyle name="Normal 2 5 3 8" xfId="3011" xr:uid="{1F3912F2-430D-4C97-840B-9444C868AE27}"/>
    <cellStyle name="Normal 2 5 3 9" xfId="3315" xr:uid="{F2EA444F-3DE6-4B12-A814-CAB62A0DADB4}"/>
    <cellStyle name="Normal 2 5 4" xfId="491" xr:uid="{00000000-0005-0000-0000-0000EB010000}"/>
    <cellStyle name="Normal 2 5 4 2" xfId="1053" xr:uid="{68D2F726-1973-4013-91F1-AAFC3A1B652F}"/>
    <cellStyle name="Normal 2 5 4 2 2" xfId="1268" xr:uid="{D7FF96A2-8806-45F3-AEEA-B0145AE59A02}"/>
    <cellStyle name="Normal 2 5 4 2 2 2" xfId="2469" xr:uid="{AA044E6E-957B-4134-AF71-59D0CD375F04}"/>
    <cellStyle name="Normal 2 5 4 2 2 2 2" xfId="4848" xr:uid="{1CF93DCC-46B3-4826-807C-C3827CC09CE9}"/>
    <cellStyle name="Normal 2 5 4 2 2 3" xfId="1849" xr:uid="{BF868DC7-6837-4828-99AA-DD15F233B3E2}"/>
    <cellStyle name="Normal 2 5 4 2 2 3 2" xfId="4259" xr:uid="{16F7F42B-CA3C-46EE-8CDD-32FF24FF7E35}"/>
    <cellStyle name="Normal 2 5 4 2 2 4" xfId="3773" xr:uid="{3662F457-7967-42F6-ADE6-6A0EF5BF0A2B}"/>
    <cellStyle name="Normal 2 5 4 2 3" xfId="2470" xr:uid="{C7DC28BB-A876-4D14-BAD3-B7B9A27FE1FC}"/>
    <cellStyle name="Normal 2 5 4 2 3 2" xfId="4849" xr:uid="{CC68B63B-6187-46F2-B29E-8A924CEB6216}"/>
    <cellStyle name="Normal 2 5 4 2 4" xfId="2468" xr:uid="{9EB7E216-C667-4801-87E2-A26997D79243}"/>
    <cellStyle name="Normal 2 5 4 2 4 2" xfId="4847" xr:uid="{16E830DA-3003-49A0-8752-536060EA87C0}"/>
    <cellStyle name="Normal 2 5 4 2 5" xfId="1666" xr:uid="{4924D24A-13CA-46A4-9522-F030108F8EF0}"/>
    <cellStyle name="Normal 2 5 4 2 5 2" xfId="4076" xr:uid="{3C164F76-528E-45FE-95FE-246389D402B5}"/>
    <cellStyle name="Normal 2 5 4 2 6" xfId="3573" xr:uid="{DB6FE09F-1679-4817-948D-3A8E56243E28}"/>
    <cellStyle name="Normal 2 5 4 3" xfId="1267" xr:uid="{028830F7-642E-4A97-9A84-F9D73A778A78}"/>
    <cellStyle name="Normal 2 5 4 3 2" xfId="2471" xr:uid="{F8E6E56C-8F54-49BD-8C79-5E1B64D658D6}"/>
    <cellStyle name="Normal 2 5 4 3 2 2" xfId="4850" xr:uid="{8D9399B4-2320-4980-9904-4AA4473EFCA2}"/>
    <cellStyle name="Normal 2 5 4 3 3" xfId="1848" xr:uid="{A1E70889-0AC9-4495-94D3-EEDF20C6B157}"/>
    <cellStyle name="Normal 2 5 4 3 3 2" xfId="4258" xr:uid="{8C5C0426-2C2C-4A00-B276-9CC1CD25A989}"/>
    <cellStyle name="Normal 2 5 4 3 4" xfId="3772" xr:uid="{42D2E54B-4B96-40F3-817E-169299F4B9F0}"/>
    <cellStyle name="Normal 2 5 4 4" xfId="2472" xr:uid="{71AA7A7A-543F-47A3-B1AA-D856418F5008}"/>
    <cellStyle name="Normal 2 5 4 4 2" xfId="4851" xr:uid="{A131C851-4633-4BC3-BED3-DEA20C244120}"/>
    <cellStyle name="Normal 2 5 4 5" xfId="2089" xr:uid="{077F7003-1E57-4A81-BCFB-B43795BC2ADC}"/>
    <cellStyle name="Normal 2 5 4 5 2" xfId="4499" xr:uid="{75245DB8-047C-4E6E-BAF3-6364FAEB3DC3}"/>
    <cellStyle name="Normal 2 5 4 6" xfId="1503" xr:uid="{9899CD01-9902-4377-BEA3-A7B128FA74AE}"/>
    <cellStyle name="Normal 2 5 4 6 2" xfId="3913" xr:uid="{60B97BD1-511F-4FFC-91BF-050A43575747}"/>
    <cellStyle name="Normal 2 5 4 7" xfId="3012" xr:uid="{65D8CE27-562F-4A39-9A5E-FFD569D80771}"/>
    <cellStyle name="Normal 2 5 4 8" xfId="3316" xr:uid="{81835E47-0A7C-4ECF-A309-01449FB5D396}"/>
    <cellStyle name="Normal 2 5 5" xfId="492" xr:uid="{00000000-0005-0000-0000-0000EC010000}"/>
    <cellStyle name="Normal 2 5 5 2" xfId="1054" xr:uid="{E1B01FF7-3FE3-45B3-A10C-DF2256B57094}"/>
    <cellStyle name="Normal 2 5 5 2 2" xfId="2473" xr:uid="{56771BC0-E43C-41CB-AED8-F870A3FBB074}"/>
    <cellStyle name="Normal 2 5 5 2 2 2" xfId="4852" xr:uid="{47EF7676-7FD2-4DDF-B879-41479725ADE7}"/>
    <cellStyle name="Normal 2 5 5 2 3" xfId="1850" xr:uid="{27C6EC98-A4D5-4087-AA67-D14CCE895448}"/>
    <cellStyle name="Normal 2 5 5 2 3 2" xfId="4260" xr:uid="{011FE4DC-5AC4-4621-B754-AAB0DBA99BA4}"/>
    <cellStyle name="Normal 2 5 5 2 4" xfId="3574" xr:uid="{45A7BD6C-3F77-452A-9478-FA1BA1DBBC07}"/>
    <cellStyle name="Normal 2 5 5 3" xfId="2474" xr:uid="{6019BE49-F3BB-4638-B917-6F760F486A81}"/>
    <cellStyle name="Normal 2 5 5 3 2" xfId="4853" xr:uid="{58A5F9BF-CA68-4DE1-A19A-562E705E4B03}"/>
    <cellStyle name="Normal 2 5 5 4" xfId="2090" xr:uid="{EC03501E-4BE1-4AB7-B516-3DEBD8508A35}"/>
    <cellStyle name="Normal 2 5 5 4 2" xfId="4500" xr:uid="{9A0774A5-7164-40F2-A251-BA0170887D8D}"/>
    <cellStyle name="Normal 2 5 5 5" xfId="1563" xr:uid="{04830B01-6235-4671-8AE6-0D1BE4E52856}"/>
    <cellStyle name="Normal 2 5 5 5 2" xfId="3973" xr:uid="{F64BAD14-6E96-4180-9928-2F980B7CD62A}"/>
    <cellStyle name="Normal 2 5 5 6" xfId="3013" xr:uid="{5B7704F2-C87B-4C62-969A-2E363A7364D2}"/>
    <cellStyle name="Normal 2 5 5 7" xfId="3317" xr:uid="{058BD39E-097B-4FAA-818E-A4EC3BB80DC0}"/>
    <cellStyle name="Normal 2 5 6" xfId="493" xr:uid="{00000000-0005-0000-0000-0000ED010000}"/>
    <cellStyle name="Normal 2 5 6 2" xfId="1055" xr:uid="{1BC670E0-733F-40C2-A31E-F5812F2D63EA}"/>
    <cellStyle name="Normal 2 5 6 2 2" xfId="2475" xr:uid="{61A1462E-FF39-4698-A0D9-7A57F079ADC8}"/>
    <cellStyle name="Normal 2 5 6 2 2 2" xfId="4854" xr:uid="{A6E4D315-2EEF-4779-9BFB-82D2CD4B1DF6}"/>
    <cellStyle name="Normal 2 5 6 2 3" xfId="1851" xr:uid="{F24A45B4-6ED2-4909-8CA3-015034381897}"/>
    <cellStyle name="Normal 2 5 6 2 3 2" xfId="4261" xr:uid="{BD05005A-4D64-48E1-A5B5-C1CBB2DCF826}"/>
    <cellStyle name="Normal 2 5 6 2 4" xfId="3575" xr:uid="{18DB493C-7E81-445A-9DE3-E997A7FA19B9}"/>
    <cellStyle name="Normal 2 5 6 3" xfId="2476" xr:uid="{18342684-5B21-4D4C-9133-6D110E38F244}"/>
    <cellStyle name="Normal 2 5 6 3 2" xfId="4855" xr:uid="{C334F2E9-ECA4-4F1A-8A2F-9CD7763F91B9}"/>
    <cellStyle name="Normal 2 5 6 4" xfId="2091" xr:uid="{0255C910-3A79-4D49-91A6-CC8C2886A88B}"/>
    <cellStyle name="Normal 2 5 6 4 2" xfId="4501" xr:uid="{3AC1BFE3-1F54-48B4-8E6D-9D7C945C164B}"/>
    <cellStyle name="Normal 2 5 6 5" xfId="1623" xr:uid="{8885BA77-5ACA-49E7-A4F0-EF4861EC9FD7}"/>
    <cellStyle name="Normal 2 5 6 5 2" xfId="4033" xr:uid="{A3231730-5E8F-479B-A307-C97C2845AF52}"/>
    <cellStyle name="Normal 2 5 6 6" xfId="3014" xr:uid="{81E274A5-414E-4B7B-85B5-B974A5A1CFDE}"/>
    <cellStyle name="Normal 2 5 6 7" xfId="3318" xr:uid="{E121FCF6-7099-4D80-9189-162ED47FA5BC}"/>
    <cellStyle name="Normal 2 5 7" xfId="494" xr:uid="{00000000-0005-0000-0000-0000EE010000}"/>
    <cellStyle name="Normal 2 5 7 2" xfId="1056" xr:uid="{8D531AA1-DE8C-4C52-8946-F5EF93FF3CA3}"/>
    <cellStyle name="Normal 2 5 7 2 2" xfId="2092" xr:uid="{18884848-6487-4593-886B-953DD3365669}"/>
    <cellStyle name="Normal 2 5 7 2 2 2" xfId="4502" xr:uid="{CCB8385F-662E-47ED-91B9-64C181D231EC}"/>
    <cellStyle name="Normal 2 5 7 2 3" xfId="3576" xr:uid="{18BFDE3B-C5D3-42CA-B3C4-C9FF11227E08}"/>
    <cellStyle name="Normal 2 5 7 3" xfId="1852" xr:uid="{28368E97-ECEB-4DE0-B10C-E775585BC93A}"/>
    <cellStyle name="Normal 2 5 7 3 2" xfId="4262" xr:uid="{C19BAC6B-6866-4335-8638-0863ADE670DA}"/>
    <cellStyle name="Normal 2 5 7 4" xfId="3015" xr:uid="{77320A77-CC01-41D0-B4AC-1634D22A90D8}"/>
    <cellStyle name="Normal 2 5 7 5" xfId="3319" xr:uid="{4DBF6C82-D6E9-44D7-B6E7-A060BDC5CE47}"/>
    <cellStyle name="Normal 2 5 8" xfId="495" xr:uid="{00000000-0005-0000-0000-0000EF010000}"/>
    <cellStyle name="Normal 2 5 8 2" xfId="1057" xr:uid="{266F699A-4AAC-443F-ABAC-D037A921C4CA}"/>
    <cellStyle name="Normal 2 5 8 2 2" xfId="2093" xr:uid="{8E4F93DF-CD70-4680-91DE-261107A82084}"/>
    <cellStyle name="Normal 2 5 8 2 2 2" xfId="4503" xr:uid="{FB705F84-A11E-472B-89C7-54687F8F8E48}"/>
    <cellStyle name="Normal 2 5 8 2 3" xfId="3577" xr:uid="{041FB6FE-AEC9-4496-9ED2-7B85FE0BCB1A}"/>
    <cellStyle name="Normal 2 5 8 3" xfId="1853" xr:uid="{9F908A00-2A5E-4E9F-878F-9FAB1314A2C7}"/>
    <cellStyle name="Normal 2 5 8 3 2" xfId="4263" xr:uid="{95BA6559-B31B-464D-B651-3CF3D835E244}"/>
    <cellStyle name="Normal 2 5 8 4" xfId="3016" xr:uid="{B1572C41-BF5E-432A-B3E0-D8B3014A8B7E}"/>
    <cellStyle name="Normal 2 5 8 5" xfId="3320" xr:uid="{6D9C659E-885B-4F32-AA43-36F160E2EBA9}"/>
    <cellStyle name="Normal 2 5 9" xfId="496" xr:uid="{00000000-0005-0000-0000-0000F0010000}"/>
    <cellStyle name="Normal 2 5 9 2" xfId="1058" xr:uid="{D27379F1-0273-4C13-AE38-898764FC9311}"/>
    <cellStyle name="Normal 2 5 9 2 2" xfId="2477" xr:uid="{E96C2A22-B633-4D63-9673-675FA1187CA4}"/>
    <cellStyle name="Normal 2 5 9 2 2 2" xfId="4856" xr:uid="{A1484011-4CC8-4AF1-A5F0-804A459D6639}"/>
    <cellStyle name="Normal 2 5 9 2 3" xfId="3578" xr:uid="{1625B4DB-1C37-4453-A5E6-7D5FD086D3CF}"/>
    <cellStyle name="Normal 2 5 9 3" xfId="1840" xr:uid="{B168F66B-A3B4-428B-BEB5-31FF05C4E42C}"/>
    <cellStyle name="Normal 2 5 9 3 2" xfId="4250" xr:uid="{A108D10D-FF66-4CC4-97AD-09D39F62EA4A}"/>
    <cellStyle name="Normal 2 5 9 4" xfId="3017" xr:uid="{FFC08EF1-EC1D-4955-AE52-136903540874}"/>
    <cellStyle name="Normal 2 5 9 5" xfId="3321" xr:uid="{7E1CCFFB-63EB-4635-B281-B4509BA976C3}"/>
    <cellStyle name="Normal 2 6" xfId="497" xr:uid="{00000000-0005-0000-0000-0000F1010000}"/>
    <cellStyle name="Normal 2 6 2" xfId="1059" xr:uid="{CC0075EF-4351-4570-B02C-4C8769A0F9CD}"/>
    <cellStyle name="Normal 2 6 2 2" xfId="1002" xr:uid="{C89E8DE8-FA83-4154-85CF-1F53787F6036}"/>
    <cellStyle name="Normal 2 6 2 2 2" xfId="1271" xr:uid="{E7C849D8-87A5-4A37-B1A8-3D1341D57436}"/>
    <cellStyle name="Normal 2 6 2 2 2 2" xfId="2480" xr:uid="{F9AF14DC-DDDA-4A18-8952-99BE28342200}"/>
    <cellStyle name="Normal 2 6 2 2 2 2 2" xfId="4859" xr:uid="{48AE0722-9512-4116-8AEB-F51DE38D4C05}"/>
    <cellStyle name="Normal 2 6 2 2 2 3" xfId="1856" xr:uid="{BA7645CC-0092-4B4C-984D-F6A001E35D4E}"/>
    <cellStyle name="Normal 2 6 2 2 2 3 2" xfId="4266" xr:uid="{596D521E-A01B-4313-848D-3FBA963CCAE8}"/>
    <cellStyle name="Normal 2 6 2 2 2 4" xfId="3776" xr:uid="{60C9B67B-7BAD-4C42-AEF4-E351670AC7CD}"/>
    <cellStyle name="Normal 2 6 2 2 3" xfId="2481" xr:uid="{5229AE52-43F5-4FF5-81F4-BA1D5445545F}"/>
    <cellStyle name="Normal 2 6 2 2 3 2" xfId="4860" xr:uid="{7349BBEB-9F38-48CE-9A02-3936BFE8F3E3}"/>
    <cellStyle name="Normal 2 6 2 2 4" xfId="2479" xr:uid="{39E039F7-E7A6-4DDF-97A5-46336EC1EAFF}"/>
    <cellStyle name="Normal 2 6 2 2 4 2" xfId="4858" xr:uid="{04BCC439-FEF1-43F1-AF23-BE358A73D465}"/>
    <cellStyle name="Normal 2 6 2 2 5" xfId="1686" xr:uid="{D839E157-F94D-4C33-87DB-70E42A69699C}"/>
    <cellStyle name="Normal 2 6 2 2 5 2" xfId="4096" xr:uid="{0F563E85-2855-4268-8B52-CAB3661FB942}"/>
    <cellStyle name="Normal 2 6 2 2 6" xfId="3522" xr:uid="{F288640B-222F-4821-8843-50AC4BC4234E}"/>
    <cellStyle name="Normal 2 6 2 3" xfId="1270" xr:uid="{79B9D14B-902B-4D5F-8C2A-19D7B9C04E31}"/>
    <cellStyle name="Normal 2 6 2 3 2" xfId="2482" xr:uid="{B9BF8DF0-5E44-4933-B726-8DBFB8DA3B4E}"/>
    <cellStyle name="Normal 2 6 2 3 2 2" xfId="4861" xr:uid="{3B51A99C-6703-4C81-AA8E-5CDA345248F6}"/>
    <cellStyle name="Normal 2 6 2 3 3" xfId="1855" xr:uid="{9C3A6E49-DE2D-4312-A500-0537135D0819}"/>
    <cellStyle name="Normal 2 6 2 3 3 2" xfId="4265" xr:uid="{9C28EA31-2594-4029-AFD5-F65FC5EB4E87}"/>
    <cellStyle name="Normal 2 6 2 3 4" xfId="3775" xr:uid="{ADC3616C-09C6-4B72-B4B2-9749DF493BF4}"/>
    <cellStyle name="Normal 2 6 2 4" xfId="2483" xr:uid="{244849FD-FFF5-4F43-9917-EFF74EC1C266}"/>
    <cellStyle name="Normal 2 6 2 4 2" xfId="4862" xr:uid="{FBBE2ABD-F80A-4218-901E-394C9576C974}"/>
    <cellStyle name="Normal 2 6 2 5" xfId="2478" xr:uid="{115B8EA1-A96D-4AAD-AEC8-ABC7AFDFDAD8}"/>
    <cellStyle name="Normal 2 6 2 5 2" xfId="4857" xr:uid="{3DD84CD0-9A45-452D-B1D2-7125D8DCBDE5}"/>
    <cellStyle name="Normal 2 6 2 6" xfId="1583" xr:uid="{C5D74A93-6F9E-4972-A62E-9D6C7A51CAEC}"/>
    <cellStyle name="Normal 2 6 2 6 2" xfId="3993" xr:uid="{A16DA5AB-3E16-437D-93AD-49FC17340EC4}"/>
    <cellStyle name="Normal 2 6 2 7" xfId="3579" xr:uid="{D3ACD868-BCBF-4226-93B7-EA1193DD0E76}"/>
    <cellStyle name="Normal 2 6 3" xfId="933" xr:uid="{C7E8A0B8-0699-40B9-BFDB-5AD26F36C5FD}"/>
    <cellStyle name="Normal 2 6 3 2" xfId="1272" xr:uid="{0D2F8F64-7410-4FF3-8857-D652A1297278}"/>
    <cellStyle name="Normal 2 6 3 2 2" xfId="2485" xr:uid="{8DC17C63-350B-4990-B1AE-12261D743562}"/>
    <cellStyle name="Normal 2 6 3 2 2 2" xfId="4864" xr:uid="{9C57D93A-3272-447C-9AA7-31FE3E584174}"/>
    <cellStyle name="Normal 2 6 3 2 3" xfId="1857" xr:uid="{5CB0F509-A76E-4A03-92F4-EE444CB97180}"/>
    <cellStyle name="Normal 2 6 3 2 3 2" xfId="4267" xr:uid="{76EAA7B3-98F6-4C6D-9F5E-3ACDAC0B17FA}"/>
    <cellStyle name="Normal 2 6 3 2 4" xfId="3777" xr:uid="{F9F490DC-DF38-45E9-A735-8C5C13598753}"/>
    <cellStyle name="Normal 2 6 3 3" xfId="2486" xr:uid="{4168B003-90BB-4CCD-AE12-5C4E9D2430AA}"/>
    <cellStyle name="Normal 2 6 3 3 2" xfId="4865" xr:uid="{62510092-5C21-4655-90C8-2753EAD3417D}"/>
    <cellStyle name="Normal 2 6 3 4" xfId="2484" xr:uid="{738E7D37-7CD6-43FD-B573-3773CC63DAA1}"/>
    <cellStyle name="Normal 2 6 3 4 2" xfId="4863" xr:uid="{DD702829-99A3-47C4-88BC-529810F35E59}"/>
    <cellStyle name="Normal 2 6 3 5" xfId="1626" xr:uid="{FE2BDF80-ADCB-49AD-8DF6-E0239FF93044}"/>
    <cellStyle name="Normal 2 6 3 5 2" xfId="4036" xr:uid="{354F1700-A2F7-4D0A-AA5D-0F48C1D67FE3}"/>
    <cellStyle name="Normal 2 6 3 6" xfId="3495" xr:uid="{85BBFCC9-BECF-4156-B0DA-807CA7F39EAD}"/>
    <cellStyle name="Normal 2 6 4" xfId="1269" xr:uid="{3438765D-246B-4C13-9ED5-E272C0FCC094}"/>
    <cellStyle name="Normal 2 6 4 2" xfId="2487" xr:uid="{65726FA4-C515-4E75-B0D6-8ED57209FE69}"/>
    <cellStyle name="Normal 2 6 4 2 2" xfId="4866" xr:uid="{D9E85F0D-22FD-4F27-A979-71AE205DDB53}"/>
    <cellStyle name="Normal 2 6 4 3" xfId="1854" xr:uid="{AB6D57B3-3C7F-4964-9F7A-8BA5B1BE0BCE}"/>
    <cellStyle name="Normal 2 6 4 3 2" xfId="4264" xr:uid="{EBC31C79-737F-4B44-BDF3-D4AA877971B0}"/>
    <cellStyle name="Normal 2 6 4 4" xfId="3774" xr:uid="{48281F60-403B-411E-8751-62CC4595BD0E}"/>
    <cellStyle name="Normal 2 6 5" xfId="2488" xr:uid="{AAFFBFE8-C2E1-4872-AF4C-AFF582A114FE}"/>
    <cellStyle name="Normal 2 6 5 2" xfId="4867" xr:uid="{DFB7ECBC-F245-4724-B35D-ECC6266C4DF5}"/>
    <cellStyle name="Normal 2 6 6" xfId="2094" xr:uid="{615E39A4-5514-4F92-816B-D6D8F3A0C696}"/>
    <cellStyle name="Normal 2 6 6 2" xfId="4504" xr:uid="{860893D5-5173-4E38-89CF-7673B573912A}"/>
    <cellStyle name="Normal 2 6 7" xfId="1523" xr:uid="{FB9324B1-BD70-4E17-B37B-3C4705FAF27D}"/>
    <cellStyle name="Normal 2 6 7 2" xfId="3933" xr:uid="{E98B5E65-C970-4834-A35C-D53951DD3DE2}"/>
    <cellStyle name="Normal 2 6 8" xfId="3018" xr:uid="{3A8DCBBC-5A0C-4EC1-A886-A20697C8694D}"/>
    <cellStyle name="Normal 2 6 9" xfId="3322" xr:uid="{F615EEE9-3C58-4967-A131-AD8C2685EDC8}"/>
    <cellStyle name="Normal 2 7" xfId="498" xr:uid="{00000000-0005-0000-0000-0000F2010000}"/>
    <cellStyle name="Normal 2 7 2" xfId="1060" xr:uid="{D545C166-E617-4A2F-B30D-BA5974C93D64}"/>
    <cellStyle name="Normal 2 7 2 2" xfId="1064" xr:uid="{D38A6E61-0CEA-42CC-933F-FFC58CCA000B}"/>
    <cellStyle name="Normal 2 7 2 2 2" xfId="1275" xr:uid="{0E43C835-B9E2-4C83-8D9C-3BB4E96513F6}"/>
    <cellStyle name="Normal 2 7 2 2 2 2" xfId="2491" xr:uid="{63B83185-524E-4D70-9527-68BD659D16A1}"/>
    <cellStyle name="Normal 2 7 2 2 2 2 2" xfId="4870" xr:uid="{DE320BDE-F3CE-4A21-8EDF-3B60F802F65F}"/>
    <cellStyle name="Normal 2 7 2 2 2 3" xfId="1860" xr:uid="{5E7AD5F5-3199-4D18-9867-44D6346650F5}"/>
    <cellStyle name="Normal 2 7 2 2 2 3 2" xfId="4270" xr:uid="{BB9C8264-13E2-47C9-B798-EF9B108746B8}"/>
    <cellStyle name="Normal 2 7 2 2 2 4" xfId="3780" xr:uid="{F80C5108-EE18-4C4E-831A-DBAF81FFC006}"/>
    <cellStyle name="Normal 2 7 2 2 3" xfId="2492" xr:uid="{B395E5F7-8938-43FE-A01E-5074D6F72B1B}"/>
    <cellStyle name="Normal 2 7 2 2 3 2" xfId="4871" xr:uid="{E9C50A1E-09B0-4DD6-95BA-7BC69E820D0F}"/>
    <cellStyle name="Normal 2 7 2 2 4" xfId="2490" xr:uid="{E8D35A7C-1900-4343-9AAF-700E90C97F1C}"/>
    <cellStyle name="Normal 2 7 2 2 4 2" xfId="4869" xr:uid="{D4EB35BE-8E14-4E80-B899-6899696F6277}"/>
    <cellStyle name="Normal 2 7 2 2 5" xfId="1701" xr:uid="{AF2D8F9D-4D7F-497C-8574-F8665D9F16E0}"/>
    <cellStyle name="Normal 2 7 2 2 5 2" xfId="4111" xr:uid="{B1C9B844-E99F-4B72-BB64-C4E7E7BA56EC}"/>
    <cellStyle name="Normal 2 7 2 2 6" xfId="3584" xr:uid="{B2A5A3C2-3658-4645-A5B2-0BB6A197D866}"/>
    <cellStyle name="Normal 2 7 2 3" xfId="1274" xr:uid="{F3B2592A-4725-4AC4-92BD-A5E71DDF1BEB}"/>
    <cellStyle name="Normal 2 7 2 3 2" xfId="2493" xr:uid="{A25A3E48-8110-43F6-83B9-504926083BF6}"/>
    <cellStyle name="Normal 2 7 2 3 2 2" xfId="4872" xr:uid="{7887BBE7-9D09-4A49-8727-A8A25189C2E5}"/>
    <cellStyle name="Normal 2 7 2 3 3" xfId="1859" xr:uid="{00F8C4BA-089C-467A-B34C-F65BFDA522FE}"/>
    <cellStyle name="Normal 2 7 2 3 3 2" xfId="4269" xr:uid="{C769A70A-099F-48A3-B4C6-0A7FFE4BADBD}"/>
    <cellStyle name="Normal 2 7 2 3 4" xfId="3779" xr:uid="{E30B18E8-7C3E-474D-A028-EB64EA89872E}"/>
    <cellStyle name="Normal 2 7 2 4" xfId="2494" xr:uid="{5B53EC98-50ED-4553-8860-81AA696064D4}"/>
    <cellStyle name="Normal 2 7 2 4 2" xfId="4873" xr:uid="{21B8459A-55EE-462C-BB33-22494D829CDA}"/>
    <cellStyle name="Normal 2 7 2 5" xfId="2489" xr:uid="{4FA57515-3983-4EC1-ADD7-E40CB9C801B9}"/>
    <cellStyle name="Normal 2 7 2 5 2" xfId="4868" xr:uid="{95748827-6572-4CD8-AD52-0972E62C2497}"/>
    <cellStyle name="Normal 2 7 2 6" xfId="1598" xr:uid="{980C9320-C608-418F-8BEF-BA4CF9B247F4}"/>
    <cellStyle name="Normal 2 7 2 6 2" xfId="4008" xr:uid="{FCA7829F-AFE7-4264-B5D6-B7DE6B1A6596}"/>
    <cellStyle name="Normal 2 7 2 7" xfId="3580" xr:uid="{BA0D2D4F-6638-4D6B-B975-B81F36F63006}"/>
    <cellStyle name="Normal 2 7 3" xfId="935" xr:uid="{D0AAEBF0-E30F-4923-B294-FE6B0E1F16EE}"/>
    <cellStyle name="Normal 2 7 3 2" xfId="1276" xr:uid="{27FE4E0A-F9C4-41BF-972E-A416A940C043}"/>
    <cellStyle name="Normal 2 7 3 2 2" xfId="2496" xr:uid="{517861F0-2C26-46E5-BC03-E37BF92D293C}"/>
    <cellStyle name="Normal 2 7 3 2 2 2" xfId="4875" xr:uid="{F21E6EA5-3391-4FBF-A6F9-B16393A5E54C}"/>
    <cellStyle name="Normal 2 7 3 2 3" xfId="1861" xr:uid="{AC449064-054C-4FFC-8D42-9143C4A987B0}"/>
    <cellStyle name="Normal 2 7 3 2 3 2" xfId="4271" xr:uid="{A88632A9-5F24-4FBF-A56C-4AD316BF1DBF}"/>
    <cellStyle name="Normal 2 7 3 2 4" xfId="3781" xr:uid="{D82C8B01-1026-466D-9998-B50DAF4A73D2}"/>
    <cellStyle name="Normal 2 7 3 3" xfId="2497" xr:uid="{AC2E1A7D-5406-4A36-90EB-BA0410CFC32F}"/>
    <cellStyle name="Normal 2 7 3 3 2" xfId="4876" xr:uid="{4217E637-401B-4C7B-B946-13F4E3ACA0FD}"/>
    <cellStyle name="Normal 2 7 3 4" xfId="2495" xr:uid="{F1D22AF5-4488-4C12-8618-602CBCCF8F4B}"/>
    <cellStyle name="Normal 2 7 3 4 2" xfId="4874" xr:uid="{00D1E078-4B24-4A27-8643-F38EF0BEF3FA}"/>
    <cellStyle name="Normal 2 7 3 5" xfId="1641" xr:uid="{C8677AD8-6DCC-4477-8069-A911CB78C5EC}"/>
    <cellStyle name="Normal 2 7 3 5 2" xfId="4051" xr:uid="{99B8BC94-611C-489B-BB35-12D00FE424D9}"/>
    <cellStyle name="Normal 2 7 3 6" xfId="3497" xr:uid="{2492A3A3-0D3E-4CB6-8DBF-6443A93B8BC8}"/>
    <cellStyle name="Normal 2 7 4" xfId="1273" xr:uid="{DA84580D-FA7A-4517-A988-DAABA6D52F6A}"/>
    <cellStyle name="Normal 2 7 4 2" xfId="2498" xr:uid="{940E97B6-1480-4D64-8E73-16B17F932161}"/>
    <cellStyle name="Normal 2 7 4 2 2" xfId="4877" xr:uid="{55545613-EC5A-4747-B4B8-7BB29EC473A2}"/>
    <cellStyle name="Normal 2 7 4 3" xfId="1858" xr:uid="{90B14F0E-6B4C-4D6B-BAC2-3DFC14549441}"/>
    <cellStyle name="Normal 2 7 4 3 2" xfId="4268" xr:uid="{B2B786A0-DB44-48BB-8D3F-FBC79A02902D}"/>
    <cellStyle name="Normal 2 7 4 4" xfId="3778" xr:uid="{ECD05843-36FB-47F5-B9BA-DFC78FDA9246}"/>
    <cellStyle name="Normal 2 7 5" xfId="2499" xr:uid="{2F1D972B-C367-4EAE-8B37-E7F89767CFDF}"/>
    <cellStyle name="Normal 2 7 5 2" xfId="4878" xr:uid="{781A649A-9F93-471C-AACD-01A9F152DFEA}"/>
    <cellStyle name="Normal 2 7 6" xfId="2095" xr:uid="{414B8F11-51C2-43BF-90A6-6FB359D12BC1}"/>
    <cellStyle name="Normal 2 7 6 2" xfId="4505" xr:uid="{89C4F393-FEDA-4730-BC42-EFC7F2B01171}"/>
    <cellStyle name="Normal 2 7 7" xfId="1538" xr:uid="{A55DF87C-6678-4693-988F-972EF6183BE4}"/>
    <cellStyle name="Normal 2 7 7 2" xfId="3948" xr:uid="{1AC39BF4-1378-4A70-BB7B-DD40740E65B9}"/>
    <cellStyle name="Normal 2 7 8" xfId="3019" xr:uid="{E6FACD46-55B5-4E2F-A179-270CC5145F81}"/>
    <cellStyle name="Normal 2 7 9" xfId="3323" xr:uid="{C2E638FA-75FE-4DBE-B52B-50BE907DB134}"/>
    <cellStyle name="Normal 2 8" xfId="499" xr:uid="{00000000-0005-0000-0000-0000F3010000}"/>
    <cellStyle name="Normal 2 8 2" xfId="1061" xr:uid="{8A6BF860-0D50-42CC-9649-D3E154AC8896}"/>
    <cellStyle name="Normal 2 8 2 2" xfId="1278" xr:uid="{7124D545-5A3C-45AF-A330-F0A31AC1791A}"/>
    <cellStyle name="Normal 2 8 2 2 2" xfId="2501" xr:uid="{2FBB6DFD-4CA3-4189-8FB8-1B2FFCFAD98A}"/>
    <cellStyle name="Normal 2 8 2 2 2 2" xfId="4880" xr:uid="{51CD34C8-7439-4F03-A693-C31DDC2AB3F2}"/>
    <cellStyle name="Normal 2 8 2 2 3" xfId="1863" xr:uid="{CF511DDD-8894-4FCA-8508-9C49B236B976}"/>
    <cellStyle name="Normal 2 8 2 2 3 2" xfId="4273" xr:uid="{9E020605-D41A-436A-8D3A-6121E52D31D0}"/>
    <cellStyle name="Normal 2 8 2 2 4" xfId="3783" xr:uid="{E843CC35-6A27-48DA-8829-52AEE9FF954F}"/>
    <cellStyle name="Normal 2 8 2 3" xfId="2502" xr:uid="{9B4F1229-A350-42E2-A733-E536A510BDC3}"/>
    <cellStyle name="Normal 2 8 2 3 2" xfId="4881" xr:uid="{4DF9460C-71DB-410F-921D-FD4F9B02B39E}"/>
    <cellStyle name="Normal 2 8 2 4" xfId="2500" xr:uid="{7698AC9E-E192-4077-9D09-6A0489E0617E}"/>
    <cellStyle name="Normal 2 8 2 4 2" xfId="4879" xr:uid="{04625E43-07FD-475A-8E1E-114FE9B66545}"/>
    <cellStyle name="Normal 2 8 2 5" xfId="1572" xr:uid="{F785B570-BDFA-445D-9B4C-3E2B0C6038AA}"/>
    <cellStyle name="Normal 2 8 2 5 2" xfId="3982" xr:uid="{6DC459F9-EC68-4236-9C15-83A55411501F}"/>
    <cellStyle name="Normal 2 8 2 6" xfId="3581" xr:uid="{C10E83A0-2530-4CDB-85A4-BAD028ECCBF1}"/>
    <cellStyle name="Normal 2 8 3" xfId="991" xr:uid="{C1EE550B-E9D8-4290-B409-62F989BB6685}"/>
    <cellStyle name="Normal 2 8 3 2" xfId="1279" xr:uid="{F9E5D468-9BC7-4755-9CF2-7780CD08D8C4}"/>
    <cellStyle name="Normal 2 8 3 2 2" xfId="2504" xr:uid="{4D38A97E-60F9-4260-8B60-2B2CB0AE9652}"/>
    <cellStyle name="Normal 2 8 3 2 2 2" xfId="4883" xr:uid="{D903E30C-EB20-44C7-9B42-73CF8F3412A0}"/>
    <cellStyle name="Normal 2 8 3 2 3" xfId="1864" xr:uid="{10719E07-458E-4FEC-9E6C-AAC75E3D4BD4}"/>
    <cellStyle name="Normal 2 8 3 2 3 2" xfId="4274" xr:uid="{49281CF3-04F0-43CF-B8B6-AE97E8DA654C}"/>
    <cellStyle name="Normal 2 8 3 2 4" xfId="3784" xr:uid="{7A236F7B-3511-4482-A66F-237CB8379759}"/>
    <cellStyle name="Normal 2 8 3 3" xfId="2505" xr:uid="{CBB552AA-1E9B-441F-BF28-DEB00CFA4F24}"/>
    <cellStyle name="Normal 2 8 3 3 2" xfId="4884" xr:uid="{1F60AC5A-F901-4EEC-A874-93508CDE588A}"/>
    <cellStyle name="Normal 2 8 3 4" xfId="2503" xr:uid="{B84E346C-C1DC-4D42-B84F-AC5BF8C5E30E}"/>
    <cellStyle name="Normal 2 8 3 4 2" xfId="4882" xr:uid="{1C00A168-87A3-4550-B468-295FEFC81022}"/>
    <cellStyle name="Normal 2 8 3 5" xfId="1675" xr:uid="{F219CF07-F423-4E6F-98FA-291839334B95}"/>
    <cellStyle name="Normal 2 8 3 5 2" xfId="4085" xr:uid="{3E5DD9BA-2D3B-4189-BFC1-BD0E8D318E42}"/>
    <cellStyle name="Normal 2 8 3 6" xfId="3511" xr:uid="{80F91294-98EA-4211-9CE0-A78B28BFED13}"/>
    <cellStyle name="Normal 2 8 4" xfId="1277" xr:uid="{367B0109-0BF0-438A-B1C2-55C06CC5B9C1}"/>
    <cellStyle name="Normal 2 8 4 2" xfId="2506" xr:uid="{C6E51169-1273-4CF3-8380-2F749932ED91}"/>
    <cellStyle name="Normal 2 8 4 2 2" xfId="4885" xr:uid="{83F5D2F0-4B8E-4073-BF15-8CA5E4493ABB}"/>
    <cellStyle name="Normal 2 8 4 3" xfId="1862" xr:uid="{6EF3C12C-45A9-41DB-A3FE-01516383C5A1}"/>
    <cellStyle name="Normal 2 8 4 3 2" xfId="4272" xr:uid="{193AC942-2050-4589-B708-462916137BD3}"/>
    <cellStyle name="Normal 2 8 4 4" xfId="3782" xr:uid="{976CB722-31EE-468F-87F1-2C852EB6094F}"/>
    <cellStyle name="Normal 2 8 5" xfId="2507" xr:uid="{CE376211-B4B1-4114-9400-74C8CB01D660}"/>
    <cellStyle name="Normal 2 8 5 2" xfId="4886" xr:uid="{0D2BAC2E-F797-4A2F-97E0-30BFFDD003DC}"/>
    <cellStyle name="Normal 2 8 6" xfId="2096" xr:uid="{2D6073CC-D4AE-40A3-9FBE-17EB7822E075}"/>
    <cellStyle name="Normal 2 8 6 2" xfId="4506" xr:uid="{8AB4E48E-BEEC-4012-9D2B-2DAAFF86C652}"/>
    <cellStyle name="Normal 2 8 7" xfId="1512" xr:uid="{A19BE65D-DA57-41BE-8CCB-A40ABBBABF5B}"/>
    <cellStyle name="Normal 2 8 7 2" xfId="3922" xr:uid="{412C7C3F-9D30-471D-BA6D-D1727C0FCD01}"/>
    <cellStyle name="Normal 2 8 8" xfId="3020" xr:uid="{8DE6A925-3D88-4706-BDD0-9B3A3B84BD52}"/>
    <cellStyle name="Normal 2 8 9" xfId="3324" xr:uid="{7539C178-8A54-4CE3-8230-885A71950D01}"/>
    <cellStyle name="Normal 2 9" xfId="500" xr:uid="{00000000-0005-0000-0000-0000F4010000}"/>
    <cellStyle name="Normal 2 9 2" xfId="1062" xr:uid="{E2CDE4AA-FA61-4716-A68F-2A16E45F1078}"/>
    <cellStyle name="Normal 2 9 2 2" xfId="1281" xr:uid="{9396241C-C32B-462B-91F3-F09660E4400C}"/>
    <cellStyle name="Normal 2 9 2 2 2" xfId="2509" xr:uid="{1FF6E94A-1C81-4225-9115-FD5F33542311}"/>
    <cellStyle name="Normal 2 9 2 2 2 2" xfId="4888" xr:uid="{1AD57C9A-93B8-4D38-9CA3-C5AD581D1254}"/>
    <cellStyle name="Normal 2 9 2 2 3" xfId="1866" xr:uid="{0B4DE402-826C-46CE-BFE0-F91A941A5E75}"/>
    <cellStyle name="Normal 2 9 2 2 3 2" xfId="4276" xr:uid="{F917F2CA-8EBD-49BF-9D4A-97888991A793}"/>
    <cellStyle name="Normal 2 9 2 2 4" xfId="3786" xr:uid="{277EA82E-5CCB-4CC6-8DE0-D5463B1553C4}"/>
    <cellStyle name="Normal 2 9 2 3" xfId="2510" xr:uid="{E111BC7C-EC25-41D9-AB07-E607669FB629}"/>
    <cellStyle name="Normal 2 9 2 3 2" xfId="4889" xr:uid="{753D699A-C30B-46C9-9855-A39C7803B6B1}"/>
    <cellStyle name="Normal 2 9 2 4" xfId="2508" xr:uid="{E57C67C9-0D54-4089-A88D-B74CE1366054}"/>
    <cellStyle name="Normal 2 9 2 4 2" xfId="4887" xr:uid="{3DB4AA92-6416-4A9F-8F1A-C15B2BE1D9BF}"/>
    <cellStyle name="Normal 2 9 2 5" xfId="1658" xr:uid="{A27FFCE6-3BD8-4439-BB1A-C79EE42B6404}"/>
    <cellStyle name="Normal 2 9 2 5 2" xfId="4068" xr:uid="{EC90EC93-3488-49D7-92BE-157796160B81}"/>
    <cellStyle name="Normal 2 9 2 6" xfId="3582" xr:uid="{17E71532-1702-49C1-8334-CD42B225A033}"/>
    <cellStyle name="Normal 2 9 3" xfId="1280" xr:uid="{8F275508-0F45-41F8-A96F-C5E4D376B67F}"/>
    <cellStyle name="Normal 2 9 3 2" xfId="2511" xr:uid="{34413413-BF7C-4FFC-B676-48C0C513997C}"/>
    <cellStyle name="Normal 2 9 3 2 2" xfId="4890" xr:uid="{59E10829-DB4E-4535-9FF0-2BB5E143DAD9}"/>
    <cellStyle name="Normal 2 9 3 3" xfId="1865" xr:uid="{CE7FFF0F-E1F2-4FD9-BF17-C7BBA4C7F879}"/>
    <cellStyle name="Normal 2 9 3 3 2" xfId="4275" xr:uid="{5714CB43-428C-4ED7-99E6-7935FC31BD25}"/>
    <cellStyle name="Normal 2 9 3 4" xfId="3785" xr:uid="{4EF0F279-7A04-460B-AC15-0A229DFE4951}"/>
    <cellStyle name="Normal 2 9 4" xfId="2512" xr:uid="{24906C0F-1586-42A8-9AB2-C61A2B4033E9}"/>
    <cellStyle name="Normal 2 9 4 2" xfId="4891" xr:uid="{E66490BA-FCA8-44BD-9794-6138AC150334}"/>
    <cellStyle name="Normal 2 9 5" xfId="2097" xr:uid="{79519F00-0B80-4931-BFAF-768D1EB2D849}"/>
    <cellStyle name="Normal 2 9 5 2" xfId="4507" xr:uid="{2A5EC6FE-52E3-4790-B8FB-62BFBFBA728A}"/>
    <cellStyle name="Normal 2 9 6" xfId="1495" xr:uid="{E46569AA-3033-4D49-B28C-F10844CF7767}"/>
    <cellStyle name="Normal 2 9 6 2" xfId="3905" xr:uid="{4E32ED92-66E6-40E9-99C8-AD924E162D1D}"/>
    <cellStyle name="Normal 2 9 7" xfId="3021" xr:uid="{93B39A7D-3727-47E5-9B99-D934F4744629}"/>
    <cellStyle name="Normal 2 9 8" xfId="3325" xr:uid="{32D1E2D8-1DEA-4EE6-944F-0D81945FF4E6}"/>
    <cellStyle name="Normal 3" xfId="501" xr:uid="{00000000-0005-0000-0000-0000F5010000}"/>
    <cellStyle name="Normal 3 2" xfId="502" xr:uid="{00000000-0005-0000-0000-0000F6010000}"/>
    <cellStyle name="Normal 3 2 2" xfId="503" xr:uid="{00000000-0005-0000-0000-0000F7010000}"/>
    <cellStyle name="Normal 3 2 2 2" xfId="504" xr:uid="{00000000-0005-0000-0000-0000F8010000}"/>
    <cellStyle name="Normal 3 2 2 3" xfId="505" xr:uid="{00000000-0005-0000-0000-0000F9010000}"/>
    <cellStyle name="Normal 3 2 2 4" xfId="506" xr:uid="{00000000-0005-0000-0000-0000FA010000}"/>
    <cellStyle name="Normal 3 2 2 4 2" xfId="507" xr:uid="{00000000-0005-0000-0000-0000FB010000}"/>
    <cellStyle name="Normal 3 2 2 4 3" xfId="910" xr:uid="{48111195-99D6-4649-8C42-29F2AD63F043}"/>
    <cellStyle name="Normal 3 2 2 4 3 2" xfId="3477" xr:uid="{DC802758-26BF-4FBE-9F28-FF2361647163}"/>
    <cellStyle name="Normal 3 2 2 4 4" xfId="2918" xr:uid="{BCBE194E-FB0F-4957-B889-3183D0469FCB}"/>
    <cellStyle name="Normal 3 2 3" xfId="508" xr:uid="{00000000-0005-0000-0000-0000FC010000}"/>
    <cellStyle name="Normal 3 2 3 2" xfId="509" xr:uid="{00000000-0005-0000-0000-0000FD010000}"/>
    <cellStyle name="Normal 3 2 3 3" xfId="510" xr:uid="{00000000-0005-0000-0000-0000FE010000}"/>
    <cellStyle name="Normal 3 2 3 3 2" xfId="511" xr:uid="{00000000-0005-0000-0000-0000FF010000}"/>
    <cellStyle name="Normal 3 2 3 3 2 2" xfId="512" xr:uid="{00000000-0005-0000-0000-000000020000}"/>
    <cellStyle name="Normal 3 2 3 3 2 3" xfId="513" xr:uid="{00000000-0005-0000-0000-000001020000}"/>
    <cellStyle name="Normal 3 2 3 3 2 3 2" xfId="514" xr:uid="{00000000-0005-0000-0000-000002020000}"/>
    <cellStyle name="Normal 3 2 3 3 2 3 3" xfId="1283" xr:uid="{637FAA12-36ED-4561-9533-4B7EC2A1CBDE}"/>
    <cellStyle name="Normal 3 2 3 3 2 3 4" xfId="2098" xr:uid="{3EF1422E-286F-4A0A-BC51-35A612ACDDB2}"/>
    <cellStyle name="Normal 3 2 3 3 2 3 5" xfId="857" xr:uid="{5C35856F-2CD5-4F56-BD8B-B782EA7D68F7}"/>
    <cellStyle name="Normal 3 2 3 3 2 3 5 2" xfId="3428" xr:uid="{9D65E1DF-E625-4B2B-9007-16B91956331E}"/>
    <cellStyle name="Normal 3 2 3 3 2 3 6" xfId="2870" xr:uid="{00D73469-C77A-4432-B51E-9D4096D0B46E}"/>
    <cellStyle name="Normal 3 2 3 3 2 4" xfId="515" xr:uid="{00000000-0005-0000-0000-000003020000}"/>
    <cellStyle name="Normal 3 2 3 3 2 4 2" xfId="516" xr:uid="{00000000-0005-0000-0000-000004020000}"/>
    <cellStyle name="Normal 3 2 3 3 2 4 3" xfId="856" xr:uid="{80E26C01-A55E-4F6D-AC00-65AC461C9CFF}"/>
    <cellStyle name="Normal 3 2 3 3 2 4 3 2" xfId="3427" xr:uid="{5F46922E-3530-4706-B8A0-F32AD0FF6943}"/>
    <cellStyle name="Normal 3 2 3 3 2 4 4" xfId="2869" xr:uid="{C694CA51-5858-4DE2-BCD6-D2553C1AF8CD}"/>
    <cellStyle name="Normal 3 2 3 3 3" xfId="517" xr:uid="{00000000-0005-0000-0000-000005020000}"/>
    <cellStyle name="Normal 3 2 3 3 4" xfId="518" xr:uid="{00000000-0005-0000-0000-000006020000}"/>
    <cellStyle name="Normal 3 2 3 3 4 2" xfId="519" xr:uid="{00000000-0005-0000-0000-000007020000}"/>
    <cellStyle name="Normal 3 2 3 3 4 2 2" xfId="520" xr:uid="{00000000-0005-0000-0000-000008020000}"/>
    <cellStyle name="Normal 3 2 3 3 4 2 3" xfId="521" xr:uid="{00000000-0005-0000-0000-000009020000}"/>
    <cellStyle name="Normal 3 2 3 3 4 2 3 2" xfId="2513" xr:uid="{77E063CA-E557-4BEF-8885-971DDA867610}"/>
    <cellStyle name="Normal 3 2 3 3 4 2 3 3" xfId="916" xr:uid="{21A61313-488E-4524-B1D2-6932AC2F432E}"/>
    <cellStyle name="Normal 3 2 3 3 4 2 3 3 2" xfId="3481" xr:uid="{CECCD499-ACDB-4FEA-B49F-46DC88CBBCC1}"/>
    <cellStyle name="Normal 3 2 3 3 4 2 3 4" xfId="2923" xr:uid="{74408F64-0F65-4748-8152-C465B943EEE3}"/>
    <cellStyle name="Normal 3 2 3 3 4 3" xfId="1284" xr:uid="{CE7F0691-B243-4B1F-8CAA-94111204975C}"/>
    <cellStyle name="Normal 3 2 3 3 4 4" xfId="2099" xr:uid="{309545B0-7EAA-4DD2-B768-78F496DC5438}"/>
    <cellStyle name="Normal 3 2 3 3 4 5" xfId="858" xr:uid="{881E1410-0AE2-426F-BFF3-F8508192168B}"/>
    <cellStyle name="Normal 3 2 3 3 4 5 2" xfId="3429" xr:uid="{743CEFFA-D7E2-4654-854E-D500F572176D}"/>
    <cellStyle name="Normal 3 2 3 3 4 6" xfId="2871" xr:uid="{E8B89B2B-F983-444B-80DF-AAF6886995F7}"/>
    <cellStyle name="Normal 3 2 3 4" xfId="522" xr:uid="{00000000-0005-0000-0000-00000A020000}"/>
    <cellStyle name="Normal 3 2 3 4 2" xfId="523" xr:uid="{00000000-0005-0000-0000-00000B020000}"/>
    <cellStyle name="Normal 3 2 3 4 3" xfId="524" xr:uid="{00000000-0005-0000-0000-00000C020000}"/>
    <cellStyle name="Normal 3 2 3 4 3 2" xfId="525" xr:uid="{00000000-0005-0000-0000-00000D020000}"/>
    <cellStyle name="Normal 3 2 3 4 3 3" xfId="1285" xr:uid="{1F5AC542-0081-415E-B32F-205AE6922371}"/>
    <cellStyle name="Normal 3 2 3 4 3 4" xfId="2100" xr:uid="{638877EE-531C-4856-A545-FF1FD4B56373}"/>
    <cellStyle name="Normal 3 2 3 4 3 5" xfId="860" xr:uid="{B3D63C25-C88C-4140-AC53-73EE256D0F45}"/>
    <cellStyle name="Normal 3 2 3 4 3 5 2" xfId="3431" xr:uid="{9DBFB676-05D6-4775-82BE-80E63FE7C155}"/>
    <cellStyle name="Normal 3 2 3 4 3 6" xfId="2873" xr:uid="{1A656845-44EE-427E-90B2-72779616C3F7}"/>
    <cellStyle name="Normal 3 2 3 4 4" xfId="526" xr:uid="{00000000-0005-0000-0000-00000E020000}"/>
    <cellStyle name="Normal 3 2 3 4 4 2" xfId="527" xr:uid="{00000000-0005-0000-0000-00000F020000}"/>
    <cellStyle name="Normal 3 2 3 4 4 3" xfId="859" xr:uid="{91192637-753D-4D5A-9859-71D94F9292A0}"/>
    <cellStyle name="Normal 3 2 3 4 4 3 2" xfId="3430" xr:uid="{E6F7B141-16FA-4ED5-B4BC-67C0B719B085}"/>
    <cellStyle name="Normal 3 2 3 4 4 4" xfId="2872" xr:uid="{33C4F681-323C-4E8D-BE0F-5D9539E334B1}"/>
    <cellStyle name="Normal 3 2 3 5" xfId="842" xr:uid="{BD33A669-C1EA-41DD-93A4-B4582E07A91D}"/>
    <cellStyle name="Normal 3 2 3 5 2" xfId="3414" xr:uid="{210B15A5-86FC-4F1E-AA0E-8982A80D8F50}"/>
    <cellStyle name="Normal 3 2 3 6" xfId="2862" xr:uid="{5613C85D-230E-4C52-ABE2-FB83197B2228}"/>
    <cellStyle name="Normal 3 2 4" xfId="528" xr:uid="{00000000-0005-0000-0000-000010020000}"/>
    <cellStyle name="Normal 3 2 4 2" xfId="529" xr:uid="{00000000-0005-0000-0000-000011020000}"/>
    <cellStyle name="Normal 3 2 4 3" xfId="530" xr:uid="{00000000-0005-0000-0000-000012020000}"/>
    <cellStyle name="Normal 3 2 4 3 2" xfId="531" xr:uid="{00000000-0005-0000-0000-000013020000}"/>
    <cellStyle name="Normal 3 2 4 3 3" xfId="1286" xr:uid="{42115DD3-ED0F-4C25-A4C6-76BE3D6975E2}"/>
    <cellStyle name="Normal 3 2 4 3 4" xfId="2101" xr:uid="{0724E96B-BD18-4FD4-9A6E-A0B81C91EC1F}"/>
    <cellStyle name="Normal 3 2 4 3 5" xfId="862" xr:uid="{16244EFA-0E88-4FFC-BB6D-8B73C769D6BB}"/>
    <cellStyle name="Normal 3 2 4 3 5 2" xfId="3433" xr:uid="{302EC6B0-E846-4719-A7E1-5C0823E96014}"/>
    <cellStyle name="Normal 3 2 4 3 6" xfId="2875" xr:uid="{60ACC60B-C999-4198-83FE-A255D17D3EC7}"/>
    <cellStyle name="Normal 3 2 4 4" xfId="532" xr:uid="{00000000-0005-0000-0000-000014020000}"/>
    <cellStyle name="Normal 3 2 4 4 2" xfId="533" xr:uid="{00000000-0005-0000-0000-000015020000}"/>
    <cellStyle name="Normal 3 2 4 4 3" xfId="861" xr:uid="{16419B62-02FA-4DE4-AA86-4FB312FA1919}"/>
    <cellStyle name="Normal 3 2 4 4 3 2" xfId="3432" xr:uid="{84B9082B-FED5-40F2-8A3B-79F0052229E2}"/>
    <cellStyle name="Normal 3 2 4 4 4" xfId="2874" xr:uid="{A00611BF-49A9-4FC5-AB99-42B1686734C3}"/>
    <cellStyle name="Normal 3 2 5" xfId="841" xr:uid="{1C6321D2-74A4-4338-87DA-38AB18B89753}"/>
    <cellStyle name="Normal 3 2 5 2" xfId="3413" xr:uid="{4D692DDD-1964-4D50-B35A-3C39B393A48A}"/>
    <cellStyle name="Normal 3 3" xfId="534" xr:uid="{00000000-0005-0000-0000-000016020000}"/>
    <cellStyle name="Normal 4" xfId="535" xr:uid="{00000000-0005-0000-0000-000017020000}"/>
    <cellStyle name="Normal 4 10" xfId="536" xr:uid="{00000000-0005-0000-0000-000018020000}"/>
    <cellStyle name="Normal 4 10 2" xfId="1080" xr:uid="{75AA36AC-A384-497C-8C69-81C413F54DD1}"/>
    <cellStyle name="Normal 4 10 2 2" xfId="2514" xr:uid="{D1689A52-ABCC-415F-B372-E5E70E9C9FA1}"/>
    <cellStyle name="Normal 4 10 2 2 2" xfId="4892" xr:uid="{84EA3F1D-1D1A-451C-9BDF-0F1A6BCE1C05}"/>
    <cellStyle name="Normal 4 10 2 3" xfId="1868" xr:uid="{373EED07-9705-48DF-93CF-C2048756A8EF}"/>
    <cellStyle name="Normal 4 10 2 3 2" xfId="4278" xr:uid="{B4B277A4-1D4B-4FA3-92B8-8CFEBB56DD0C}"/>
    <cellStyle name="Normal 4 10 2 4" xfId="3599" xr:uid="{448F88C9-74E0-4696-A249-C6FF800ADE5E}"/>
    <cellStyle name="Normal 4 10 3" xfId="2515" xr:uid="{62B4DDCF-F2AD-434E-8137-F662388BA6C2}"/>
    <cellStyle name="Normal 4 10 3 2" xfId="4893" xr:uid="{5EB5DDD0-0B7E-4446-B470-302CF30F60CA}"/>
    <cellStyle name="Normal 4 10 4" xfId="2102" xr:uid="{F32EC088-51BD-4493-A309-4C8B4F411EDE}"/>
    <cellStyle name="Normal 4 10 4 2" xfId="4508" xr:uid="{8F222E5A-2DEC-4F2A-BC71-282FC5F93505}"/>
    <cellStyle name="Normal 4 10 5" xfId="1617" xr:uid="{2A778D07-F58F-431E-9A66-9B57BE3A1FCC}"/>
    <cellStyle name="Normal 4 10 5 2" xfId="4027" xr:uid="{B1CDBCF5-6AAF-4E08-9CDB-4BD5118FFC32}"/>
    <cellStyle name="Normal 4 10 6" xfId="3023" xr:uid="{9F4EBF67-7FA5-460F-9C9A-02671C352E9B}"/>
    <cellStyle name="Normal 4 10 7" xfId="3327" xr:uid="{E5AA1A6C-347F-4E5B-9685-5B1E24A4CD4B}"/>
    <cellStyle name="Normal 4 11" xfId="537" xr:uid="{00000000-0005-0000-0000-000019020000}"/>
    <cellStyle name="Normal 4 11 2" xfId="1081" xr:uid="{7DC5C54E-D0E2-4C08-B47B-4D391C9F1EC3}"/>
    <cellStyle name="Normal 4 11 2 2" xfId="2516" xr:uid="{78B6AC3A-DBB9-43B6-B515-08256D49D105}"/>
    <cellStyle name="Normal 4 11 2 2 2" xfId="4894" xr:uid="{0F6987A3-257C-476F-848D-B0CC07B54B30}"/>
    <cellStyle name="Normal 4 11 2 3" xfId="3600" xr:uid="{C42934EE-6ED1-4003-AAC5-670D8523F635}"/>
    <cellStyle name="Normal 4 11 3" xfId="2103" xr:uid="{81E9245D-D8FB-44CF-8F40-E157E536BB06}"/>
    <cellStyle name="Normal 4 11 3 2" xfId="4509" xr:uid="{C5E9F152-A72D-4374-8BB8-1127C22C99AE}"/>
    <cellStyle name="Normal 4 11 4" xfId="1869" xr:uid="{8AF7BF7B-E2B3-408D-B291-3677BD5C0433}"/>
    <cellStyle name="Normal 4 11 4 2" xfId="4279" xr:uid="{BB2AEF23-A111-4E71-9F66-88C3DB3C35B7}"/>
    <cellStyle name="Normal 4 11 5" xfId="3024" xr:uid="{57A45720-3D6B-451C-9EC0-98A4259A6DFF}"/>
    <cellStyle name="Normal 4 11 6" xfId="3328" xr:uid="{B3A34207-A584-4DD9-9C65-2F4B80BDEB51}"/>
    <cellStyle name="Normal 4 12" xfId="538" xr:uid="{00000000-0005-0000-0000-00001A020000}"/>
    <cellStyle name="Normal 4 12 2" xfId="1082" xr:uid="{3C96F03B-818F-4F09-8E85-3976688E40BE}"/>
    <cellStyle name="Normal 4 12 2 2" xfId="2104" xr:uid="{584E3451-5742-4A29-9A09-890402A7FBE2}"/>
    <cellStyle name="Normal 4 12 2 2 2" xfId="4510" xr:uid="{A8799E58-BC13-44C9-B5AF-5E292E88B74A}"/>
    <cellStyle name="Normal 4 12 2 3" xfId="3601" xr:uid="{ADB20C09-7F5D-40BC-A0C0-A99779F8871A}"/>
    <cellStyle name="Normal 4 12 3" xfId="1870" xr:uid="{6C939A6A-BCD6-4DEB-9D6E-6E4E72B0057D}"/>
    <cellStyle name="Normal 4 12 3 2" xfId="4280" xr:uid="{CECC8CA8-AB73-4078-8CC8-D8C25935C2F0}"/>
    <cellStyle name="Normal 4 12 4" xfId="3025" xr:uid="{87F1C21D-D612-43A3-AA9D-014CA36FE123}"/>
    <cellStyle name="Normal 4 12 5" xfId="3329" xr:uid="{B189B1CE-9441-4D86-A1BD-FAE2D610D75A}"/>
    <cellStyle name="Normal 4 13" xfId="539" xr:uid="{00000000-0005-0000-0000-00001B020000}"/>
    <cellStyle name="Normal 4 13 2" xfId="1083" xr:uid="{684B3325-8E73-4B75-9AFF-FB31D4213033}"/>
    <cellStyle name="Normal 4 13 2 2" xfId="2517" xr:uid="{E579074E-7210-4634-BDFD-9F301445F000}"/>
    <cellStyle name="Normal 4 13 2 2 2" xfId="4895" xr:uid="{6B31D2F5-7CD2-4035-8DB9-A986F8C69227}"/>
    <cellStyle name="Normal 4 13 2 3" xfId="3602" xr:uid="{F6E403AE-8D89-41DA-B438-799D641BA734}"/>
    <cellStyle name="Normal 4 13 3" xfId="1867" xr:uid="{DAECAAD8-0223-4911-AA1A-F5D63C257014}"/>
    <cellStyle name="Normal 4 13 3 2" xfId="4277" xr:uid="{A7047B0A-2901-4039-9CFD-C1CCCBA2B841}"/>
    <cellStyle name="Normal 4 13 4" xfId="3026" xr:uid="{FA6CF2E8-12D3-46B5-BFCA-6A4DE59FB62C}"/>
    <cellStyle name="Normal 4 13 5" xfId="3330" xr:uid="{68F7D49F-F463-4947-92E7-863D0C9CD703}"/>
    <cellStyle name="Normal 4 14" xfId="540" xr:uid="{00000000-0005-0000-0000-00001C020000}"/>
    <cellStyle name="Normal 4 14 2" xfId="1084" xr:uid="{D720B8CF-19E1-460E-98B8-27D05B2004EC}"/>
    <cellStyle name="Normal 4 14 2 2" xfId="2518" xr:uid="{3FAC3E33-850E-400C-B6DE-E6879045C6D8}"/>
    <cellStyle name="Normal 4 14 2 2 2" xfId="4896" xr:uid="{EAC3D05F-0759-4672-BC55-C1FE01EE217D}"/>
    <cellStyle name="Normal 4 14 2 3" xfId="3603" xr:uid="{49797974-7090-46FD-A4B3-41BE03B2F085}"/>
    <cellStyle name="Normal 4 14 3" xfId="2015" xr:uid="{4935CACD-7EE8-45E7-80FB-32EF1E196F21}"/>
    <cellStyle name="Normal 4 14 3 2" xfId="4425" xr:uid="{16BD077F-9BCF-4F76-9F18-01F0D451D817}"/>
    <cellStyle name="Normal 4 14 4" xfId="3027" xr:uid="{0A8629E9-25AF-4265-8581-499865A2883E}"/>
    <cellStyle name="Normal 4 14 5" xfId="3331" xr:uid="{602E2F0E-2065-4E30-B21F-41C81A965D0D}"/>
    <cellStyle name="Normal 4 15" xfId="1079" xr:uid="{A6909CB8-4883-4B3F-94FC-6F59F05D3402}"/>
    <cellStyle name="Normal 4 15 2" xfId="2019" xr:uid="{DF385217-A784-4C77-8A84-75635E049D11}"/>
    <cellStyle name="Normal 4 15 2 2" xfId="4429" xr:uid="{1F6A783A-78FB-4581-9897-1BCF3B84C968}"/>
    <cellStyle name="Normal 4 15 3" xfId="3598" xr:uid="{1F212A0C-E75C-42DC-9AE0-45D36ECF00C1}"/>
    <cellStyle name="Normal 4 16" xfId="1480" xr:uid="{C3B73C21-DD5B-430A-B3BC-F6DF32C4EA20}"/>
    <cellStyle name="Normal 4 16 2" xfId="3890" xr:uid="{67E10A14-226F-4134-8D23-43802EEE6FC4}"/>
    <cellStyle name="Normal 4 17" xfId="3022" xr:uid="{A5AA05D3-973E-4435-B9AB-023BD1AAB56B}"/>
    <cellStyle name="Normal 4 18" xfId="3326" xr:uid="{AA9FC42F-B709-4745-B669-1A03E7AE1840}"/>
    <cellStyle name="Normal 4 2" xfId="541" xr:uid="{00000000-0005-0000-0000-00001D020000}"/>
    <cellStyle name="Normal 4 2 10" xfId="542" xr:uid="{00000000-0005-0000-0000-00001E020000}"/>
    <cellStyle name="Normal 4 2 10 2" xfId="1086" xr:uid="{03DF67B6-A26C-49B5-B58F-54CE10C80625}"/>
    <cellStyle name="Normal 4 2 10 2 2" xfId="2105" xr:uid="{F4C0C108-BBC1-4AE3-B9D5-2C98B68CEF5E}"/>
    <cellStyle name="Normal 4 2 10 2 2 2" xfId="4511" xr:uid="{403C9FE5-D12B-49DD-B838-4ED9847A44A2}"/>
    <cellStyle name="Normal 4 2 10 2 3" xfId="3605" xr:uid="{2DAA1CE2-ED80-46C6-95D4-55129C116D4B}"/>
    <cellStyle name="Normal 4 2 10 3" xfId="1872" xr:uid="{E1F04F36-A01D-4078-BB14-41484ADCD420}"/>
    <cellStyle name="Normal 4 2 10 3 2" xfId="4282" xr:uid="{32969E94-A0C3-48CC-B2BB-B2F7AF534B05}"/>
    <cellStyle name="Normal 4 2 10 4" xfId="3029" xr:uid="{1B98150F-49F4-48CD-B0B5-A63B8EB41D63}"/>
    <cellStyle name="Normal 4 2 10 5" xfId="3333" xr:uid="{DB07FD31-D7EE-4EA0-A05F-217D60B77C13}"/>
    <cellStyle name="Normal 4 2 11" xfId="543" xr:uid="{00000000-0005-0000-0000-00001F020000}"/>
    <cellStyle name="Normal 4 2 11 2" xfId="1087" xr:uid="{85DC68F6-ECEA-4C87-BFA3-BC2774D20F9F}"/>
    <cellStyle name="Normal 4 2 11 2 2" xfId="2519" xr:uid="{2D8C2C1F-F931-470A-AD8C-486F9878554D}"/>
    <cellStyle name="Normal 4 2 11 2 2 2" xfId="4897" xr:uid="{45C15573-395E-42C4-9D7F-EB816EA5B890}"/>
    <cellStyle name="Normal 4 2 11 2 3" xfId="3606" xr:uid="{8E11921C-97B3-44A9-8820-64C20FDE4610}"/>
    <cellStyle name="Normal 4 2 11 3" xfId="1871" xr:uid="{E7B12BFB-A004-48CE-B654-58343A3C67A6}"/>
    <cellStyle name="Normal 4 2 11 3 2" xfId="4281" xr:uid="{F4CDC875-A458-4148-84E3-736E226C7305}"/>
    <cellStyle name="Normal 4 2 11 4" xfId="3030" xr:uid="{B4935AF6-EAA8-43FF-A52E-80CFCA0B7527}"/>
    <cellStyle name="Normal 4 2 11 5" xfId="3334" xr:uid="{2794A0AF-2225-4AB7-986E-AE6ADD201A91}"/>
    <cellStyle name="Normal 4 2 12" xfId="544" xr:uid="{00000000-0005-0000-0000-000020020000}"/>
    <cellStyle name="Normal 4 2 12 2" xfId="1088" xr:uid="{71809F46-1B33-4F14-BF50-57A0506C8FAC}"/>
    <cellStyle name="Normal 4 2 12 2 2" xfId="3607" xr:uid="{4CF2534D-0967-40FE-B772-49B53CF5350C}"/>
    <cellStyle name="Normal 4 2 12 3" xfId="2520" xr:uid="{2C600F8E-78E2-41D0-8B1E-A73508F48B62}"/>
    <cellStyle name="Normal 4 2 12 3 2" xfId="4898" xr:uid="{9EDFE3DE-10A1-4EBA-B0A6-A28372B75061}"/>
    <cellStyle name="Normal 4 2 12 4" xfId="3031" xr:uid="{4279F95A-6DDE-48C3-93E5-766AAC2872EB}"/>
    <cellStyle name="Normal 4 2 12 5" xfId="3335" xr:uid="{09FB4D2B-84CD-4365-A7DE-FC3600BB4668}"/>
    <cellStyle name="Normal 4 2 13" xfId="1085" xr:uid="{D0047B51-71EE-417D-9BC8-3D7649149A81}"/>
    <cellStyle name="Normal 4 2 13 2" xfId="2020" xr:uid="{C25CE080-6132-486B-933C-F8A5505FFF62}"/>
    <cellStyle name="Normal 4 2 13 2 2" xfId="4430" xr:uid="{91931069-6680-49FE-8523-C5043BAACF5C}"/>
    <cellStyle name="Normal 4 2 13 3" xfId="3604" xr:uid="{BED97B89-84E7-49DF-967E-10EA5D8E05D4}"/>
    <cellStyle name="Normal 4 2 14" xfId="1481" xr:uid="{7DAA0F04-7BB3-4353-9A86-09BA6CBB4164}"/>
    <cellStyle name="Normal 4 2 14 2" xfId="3891" xr:uid="{D97AE89C-682B-4521-BC8E-53200C617F06}"/>
    <cellStyle name="Normal 4 2 15" xfId="3028" xr:uid="{DAFBA74A-C443-4A4E-A992-79ABEA6F4071}"/>
    <cellStyle name="Normal 4 2 16" xfId="3332" xr:uid="{25D22EDE-8486-4578-B4D2-16A4A7E707DE}"/>
    <cellStyle name="Normal 4 2 2" xfId="545" xr:uid="{00000000-0005-0000-0000-000021020000}"/>
    <cellStyle name="Normal 4 2 2 10" xfId="2521" xr:uid="{4FC6DB16-2D81-4F5D-BC41-8567D99E8BB0}"/>
    <cellStyle name="Normal 4 2 2 10 2" xfId="4899" xr:uid="{1123539A-AE8C-41D6-805C-F0B075B4D49F}"/>
    <cellStyle name="Normal 4 2 2 11" xfId="2106" xr:uid="{B7E2136C-D01C-4965-96FD-A445788C6815}"/>
    <cellStyle name="Normal 4 2 2 11 2" xfId="4512" xr:uid="{2F966DA8-30F6-4E1B-92EA-FEB545E1D059}"/>
    <cellStyle name="Normal 4 2 2 12" xfId="1489" xr:uid="{F7F9391E-4D35-43C7-A940-69D9A02C1867}"/>
    <cellStyle name="Normal 4 2 2 12 2" xfId="3899" xr:uid="{45D03AAB-5E45-4DDE-B1DA-DFAB43BC951E}"/>
    <cellStyle name="Normal 4 2 2 13" xfId="3032" xr:uid="{FD850F12-9DDF-4FF8-B2BE-F316C7814C6F}"/>
    <cellStyle name="Normal 4 2 2 14" xfId="3336" xr:uid="{FDF124F6-8C3E-4B7F-B145-3324E9411555}"/>
    <cellStyle name="Normal 4 2 2 2" xfId="546" xr:uid="{00000000-0005-0000-0000-000022020000}"/>
    <cellStyle name="Normal 4 2 2 2 2" xfId="1090" xr:uid="{6D00DA05-5128-4976-BD89-735390A1D2CE}"/>
    <cellStyle name="Normal 4 2 2 2 2 2" xfId="1074" xr:uid="{C30C831D-A664-409B-97DF-28DA2F8CAF5B}"/>
    <cellStyle name="Normal 4 2 2 2 2 2 2" xfId="1289" xr:uid="{BB16D9F3-123B-4B1C-8EB9-E79806F4F54A}"/>
    <cellStyle name="Normal 4 2 2 2 2 2 2 2" xfId="2524" xr:uid="{1595CD83-6A16-43CD-97CE-49D8FC93C8BF}"/>
    <cellStyle name="Normal 4 2 2 2 2 2 2 2 2" xfId="4902" xr:uid="{28361E33-8B31-4C78-B3F0-1BDF7C70A572}"/>
    <cellStyle name="Normal 4 2 2 2 2 2 2 3" xfId="1876" xr:uid="{7CBC5CC8-584B-4852-AB0F-BA7FCC0DCE5C}"/>
    <cellStyle name="Normal 4 2 2 2 2 2 2 3 2" xfId="4286" xr:uid="{0B4FAF4A-571E-460B-B478-BDC468BD8732}"/>
    <cellStyle name="Normal 4 2 2 2 2 2 2 4" xfId="3789" xr:uid="{D288AA31-5CCB-4D1E-8F78-9D8AB7F82975}"/>
    <cellStyle name="Normal 4 2 2 2 2 2 3" xfId="2525" xr:uid="{81013341-6466-4B5C-B578-8D9BB0BA38AE}"/>
    <cellStyle name="Normal 4 2 2 2 2 2 3 2" xfId="4903" xr:uid="{57C56124-D141-4C1A-BC76-8C41A83C9D73}"/>
    <cellStyle name="Normal 4 2 2 2 2 2 4" xfId="2523" xr:uid="{A4E543D6-883A-47C8-A602-011D6D13E14F}"/>
    <cellStyle name="Normal 4 2 2 2 2 2 4 2" xfId="4901" xr:uid="{E389C3EF-DA8F-43CC-98F2-430DF36FDA04}"/>
    <cellStyle name="Normal 4 2 2 2 2 2 5" xfId="1712" xr:uid="{7AA24186-8F03-4D88-8487-E1C8516E1A87}"/>
    <cellStyle name="Normal 4 2 2 2 2 2 5 2" xfId="4122" xr:uid="{2603336D-87E4-4388-AFD7-60AB86DE74CA}"/>
    <cellStyle name="Normal 4 2 2 2 2 2 6" xfId="3593" xr:uid="{6492DBCD-1FDD-4522-B891-D6393EF7049D}"/>
    <cellStyle name="Normal 4 2 2 2 2 3" xfId="1288" xr:uid="{6B932B8C-077F-44F1-AE66-C92ABCBBE615}"/>
    <cellStyle name="Normal 4 2 2 2 2 3 2" xfId="2526" xr:uid="{7B13EC83-9CEE-431B-AF03-43EF383502B7}"/>
    <cellStyle name="Normal 4 2 2 2 2 3 2 2" xfId="4904" xr:uid="{2B9AEB19-BC0A-4B47-B8BA-FFBFACD32BD1}"/>
    <cellStyle name="Normal 4 2 2 2 2 3 3" xfId="1875" xr:uid="{C8155C36-5AC9-4A44-89FC-16D8D3F3DD49}"/>
    <cellStyle name="Normal 4 2 2 2 2 3 3 2" xfId="4285" xr:uid="{488CE749-07D6-4376-A620-983EBD75A20D}"/>
    <cellStyle name="Normal 4 2 2 2 2 3 4" xfId="3788" xr:uid="{1434F73C-5A1C-4905-8996-725D0144ED3F}"/>
    <cellStyle name="Normal 4 2 2 2 2 4" xfId="2527" xr:uid="{12F3EC51-79B2-4598-8634-C315D90450E9}"/>
    <cellStyle name="Normal 4 2 2 2 2 4 2" xfId="4905" xr:uid="{3C16087F-A81A-4BF0-B344-0C310A4D3D0A}"/>
    <cellStyle name="Normal 4 2 2 2 2 5" xfId="2522" xr:uid="{1F079FDC-BDED-4C55-BE95-6664E6EB75A4}"/>
    <cellStyle name="Normal 4 2 2 2 2 5 2" xfId="4900" xr:uid="{7540467B-14A8-4AEF-8F3D-31B962510CDF}"/>
    <cellStyle name="Normal 4 2 2 2 2 6" xfId="1609" xr:uid="{7F2BFF25-F105-4EF1-BD60-13906246E845}"/>
    <cellStyle name="Normal 4 2 2 2 2 6 2" xfId="4019" xr:uid="{1DAF729B-3069-4B40-898F-29FD8CF64A62}"/>
    <cellStyle name="Normal 4 2 2 2 2 7" xfId="3609" xr:uid="{CB940902-6F69-4795-A059-79C1533482ED}"/>
    <cellStyle name="Normal 4 2 2 2 3" xfId="944" xr:uid="{081E7AD4-1B83-491C-B825-E01C459DBBBD}"/>
    <cellStyle name="Normal 4 2 2 2 3 2" xfId="1290" xr:uid="{E88DA73B-18E8-45E2-94A2-CD4B240059C5}"/>
    <cellStyle name="Normal 4 2 2 2 3 2 2" xfId="2529" xr:uid="{4D02AD3E-7750-4FAE-A28B-07056B136C5D}"/>
    <cellStyle name="Normal 4 2 2 2 3 2 2 2" xfId="4907" xr:uid="{1ECF064E-DABE-48CB-8D45-A4AB63DD0803}"/>
    <cellStyle name="Normal 4 2 2 2 3 2 3" xfId="1877" xr:uid="{1D977053-DB1A-477D-BC2B-AFC390148643}"/>
    <cellStyle name="Normal 4 2 2 2 3 2 3 2" xfId="4287" xr:uid="{C0A23CBE-5A86-49CE-8B62-D30BCE2D8B9C}"/>
    <cellStyle name="Normal 4 2 2 2 3 2 4" xfId="3790" xr:uid="{26F9FD6C-D7CF-4CA7-8CFB-3050B453006C}"/>
    <cellStyle name="Normal 4 2 2 2 3 3" xfId="2530" xr:uid="{8A842B5F-5C72-43D8-B047-02DD72738045}"/>
    <cellStyle name="Normal 4 2 2 2 3 3 2" xfId="4908" xr:uid="{40412A76-6745-443C-80F7-2C1126B2088A}"/>
    <cellStyle name="Normal 4 2 2 2 3 4" xfId="2528" xr:uid="{2F0803C1-F1E4-477F-9CD1-832C1065186C}"/>
    <cellStyle name="Normal 4 2 2 2 3 4 2" xfId="4906" xr:uid="{4EC48686-5830-44C8-BBC1-7200D24C45EC}"/>
    <cellStyle name="Normal 4 2 2 2 3 5" xfId="1652" xr:uid="{F88033A9-1E79-4BB9-91B7-123AF630E8BB}"/>
    <cellStyle name="Normal 4 2 2 2 3 5 2" xfId="4062" xr:uid="{01838106-2371-4411-8288-0CA39B2FF8CA}"/>
    <cellStyle name="Normal 4 2 2 2 3 6" xfId="3506" xr:uid="{F6BE14B0-BCC4-4DD5-B0B6-3F347912FF9C}"/>
    <cellStyle name="Normal 4 2 2 2 4" xfId="1287" xr:uid="{6D5AE56E-AFC2-448E-BD85-35DB2B737329}"/>
    <cellStyle name="Normal 4 2 2 2 4 2" xfId="2531" xr:uid="{475909BF-1FF4-44A0-9C1F-2F6306CBD1AA}"/>
    <cellStyle name="Normal 4 2 2 2 4 2 2" xfId="4909" xr:uid="{55680F06-1F1B-4587-B727-45D6B8C76491}"/>
    <cellStyle name="Normal 4 2 2 2 4 3" xfId="1874" xr:uid="{1803BDF1-6C08-4E9E-9EF1-C6A6FEF85675}"/>
    <cellStyle name="Normal 4 2 2 2 4 3 2" xfId="4284" xr:uid="{3F105D35-30BD-49E2-AFBE-00EA90199A1B}"/>
    <cellStyle name="Normal 4 2 2 2 4 4" xfId="3787" xr:uid="{71C898F2-B7AB-4EEF-AAF1-01C6A0976402}"/>
    <cellStyle name="Normal 4 2 2 2 5" xfId="2532" xr:uid="{953ACF34-AE19-4985-9D81-14F52723E72F}"/>
    <cellStyle name="Normal 4 2 2 2 5 2" xfId="4910" xr:uid="{59A23428-604B-4F7D-BEB3-98799C9DB39F}"/>
    <cellStyle name="Normal 4 2 2 2 6" xfId="2107" xr:uid="{858D4958-3155-4FAE-A7A1-D0026022E247}"/>
    <cellStyle name="Normal 4 2 2 2 6 2" xfId="4513" xr:uid="{1A295C23-269D-412F-A51B-DE9A2A892EF7}"/>
    <cellStyle name="Normal 4 2 2 2 7" xfId="1549" xr:uid="{45956D4E-40A2-441E-9D94-C835C1567AD6}"/>
    <cellStyle name="Normal 4 2 2 2 7 2" xfId="3959" xr:uid="{BB997FC5-5213-467F-A3F5-C08EE5BFE5D1}"/>
    <cellStyle name="Normal 4 2 2 2 8" xfId="3033" xr:uid="{1742FF2A-61CB-45F0-B8A6-C51F701253CA}"/>
    <cellStyle name="Normal 4 2 2 2 9" xfId="3337" xr:uid="{F5B49F1E-AA79-41C3-8A8B-A11D32721B83}"/>
    <cellStyle name="Normal 4 2 2 3" xfId="547" xr:uid="{00000000-0005-0000-0000-000023020000}"/>
    <cellStyle name="Normal 4 2 2 3 2" xfId="1091" xr:uid="{C1CAF0CC-7E33-4028-B70E-136374A59E40}"/>
    <cellStyle name="Normal 4 2 2 3 2 2" xfId="1292" xr:uid="{8CDD87A3-E9A5-4500-83B3-BEA36422EBE7}"/>
    <cellStyle name="Normal 4 2 2 3 2 2 2" xfId="2534" xr:uid="{0655966E-EFE8-44A9-B92D-47FABE1FD9B8}"/>
    <cellStyle name="Normal 4 2 2 3 2 2 2 2" xfId="4912" xr:uid="{F7091D60-A83D-407A-BE43-051906457011}"/>
    <cellStyle name="Normal 4 2 2 3 2 2 3" xfId="1879" xr:uid="{BEFD1769-5F06-4838-96B7-D71EC7A8B393}"/>
    <cellStyle name="Normal 4 2 2 3 2 2 3 2" xfId="4289" xr:uid="{5F74E377-27A6-43BE-9AEF-236BD7A4B71D}"/>
    <cellStyle name="Normal 4 2 2 3 2 2 4" xfId="3792" xr:uid="{C213E0E3-994B-4EB0-82EC-A8C0DA71ACCC}"/>
    <cellStyle name="Normal 4 2 2 3 2 3" xfId="2535" xr:uid="{2CF66A4A-E677-41B7-8ED7-751238C053C0}"/>
    <cellStyle name="Normal 4 2 2 3 2 3 2" xfId="4913" xr:uid="{8943A4BD-ECB9-4FC4-8D2C-16380E0D1A3B}"/>
    <cellStyle name="Normal 4 2 2 3 2 4" xfId="2533" xr:uid="{DED3D93B-A076-48CB-B76D-5BD0A787AC52}"/>
    <cellStyle name="Normal 4 2 2 3 2 4 2" xfId="4911" xr:uid="{27EBD4EB-2979-491C-93F6-23B04D529EBD}"/>
    <cellStyle name="Normal 4 2 2 3 2 5" xfId="1586" xr:uid="{8BA653A0-43A3-4AF7-9E5C-FF186CAF3BD0}"/>
    <cellStyle name="Normal 4 2 2 3 2 5 2" xfId="3996" xr:uid="{DC5E1EE4-8F8A-4BBE-B436-72C75F2A2B30}"/>
    <cellStyle name="Normal 4 2 2 3 2 6" xfId="3610" xr:uid="{CD404BB9-5C08-42D4-ADC1-4A036646CA01}"/>
    <cellStyle name="Normal 4 2 2 3 3" xfId="1005" xr:uid="{B96F6D38-4A4D-470B-83F6-C24C297D795A}"/>
    <cellStyle name="Normal 4 2 2 3 3 2" xfId="1293" xr:uid="{573DD918-0B55-458C-819F-9B274B630921}"/>
    <cellStyle name="Normal 4 2 2 3 3 2 2" xfId="2537" xr:uid="{01135F91-0BE9-4A16-BC51-D93187555169}"/>
    <cellStyle name="Normal 4 2 2 3 3 2 2 2" xfId="4915" xr:uid="{2CD5A975-DB37-4D06-AD1E-B36FBD6FA138}"/>
    <cellStyle name="Normal 4 2 2 3 3 2 3" xfId="1880" xr:uid="{A313373E-1BA9-41D3-90F0-C7FD49EF4820}"/>
    <cellStyle name="Normal 4 2 2 3 3 2 3 2" xfId="4290" xr:uid="{D6C67860-84E7-4694-8A44-BC5EFAA2DE45}"/>
    <cellStyle name="Normal 4 2 2 3 3 2 4" xfId="3793" xr:uid="{21085775-F44C-446E-83F2-74EDD749D006}"/>
    <cellStyle name="Normal 4 2 2 3 3 3" xfId="2538" xr:uid="{4BC5E95F-1BD5-4E1E-97CA-E36560CE7002}"/>
    <cellStyle name="Normal 4 2 2 3 3 3 2" xfId="4916" xr:uid="{2E3DB712-4E24-4CB3-AF9E-04F2BD0AE661}"/>
    <cellStyle name="Normal 4 2 2 3 3 4" xfId="2536" xr:uid="{79E661FC-6C63-49D5-B107-F8441D08504C}"/>
    <cellStyle name="Normal 4 2 2 3 3 4 2" xfId="4914" xr:uid="{7045FACD-196C-4224-8DA5-2DA6F9F84541}"/>
    <cellStyle name="Normal 4 2 2 3 3 5" xfId="1689" xr:uid="{094EF095-EA8C-4BC8-9FDA-3091265DF454}"/>
    <cellStyle name="Normal 4 2 2 3 3 5 2" xfId="4099" xr:uid="{2A2CAC63-FDF9-4A27-ACDC-468F4F0D9C8E}"/>
    <cellStyle name="Normal 4 2 2 3 3 6" xfId="3525" xr:uid="{982A09B4-AF12-4365-9873-38F398DC81B7}"/>
    <cellStyle name="Normal 4 2 2 3 4" xfId="1291" xr:uid="{D5BC5121-A15B-418F-A98B-FD34EF097976}"/>
    <cellStyle name="Normal 4 2 2 3 4 2" xfId="2539" xr:uid="{896EC04C-53EE-44A1-A8A8-B6DBDBE2A313}"/>
    <cellStyle name="Normal 4 2 2 3 4 2 2" xfId="4917" xr:uid="{CB1FEB00-D8E1-4677-B4A2-FD17555EBAF3}"/>
    <cellStyle name="Normal 4 2 2 3 4 3" xfId="1878" xr:uid="{1266D774-0B29-4B2A-8FDC-C3D51DBDD24E}"/>
    <cellStyle name="Normal 4 2 2 3 4 3 2" xfId="4288" xr:uid="{3C8A9662-1691-44B6-81C8-4186E0968373}"/>
    <cellStyle name="Normal 4 2 2 3 4 4" xfId="3791" xr:uid="{E81E828E-9803-4731-B7D8-981ACB4C3823}"/>
    <cellStyle name="Normal 4 2 2 3 5" xfId="2540" xr:uid="{DFDC48C3-A8E9-494F-BEC5-D64FD70D28B1}"/>
    <cellStyle name="Normal 4 2 2 3 5 2" xfId="4918" xr:uid="{9CC7772B-02EB-4F8F-B7AF-15F7E37D66AE}"/>
    <cellStyle name="Normal 4 2 2 3 6" xfId="2108" xr:uid="{B9E5C31E-22E6-4427-9D11-E6E07223F3ED}"/>
    <cellStyle name="Normal 4 2 2 3 6 2" xfId="4514" xr:uid="{97DC8493-7BA2-4E79-B8D0-F7407A9FFE17}"/>
    <cellStyle name="Normal 4 2 2 3 7" xfId="1526" xr:uid="{68B5B693-6E62-4E59-9A63-36184717C4A4}"/>
    <cellStyle name="Normal 4 2 2 3 7 2" xfId="3936" xr:uid="{AA522C6B-5A9F-4A0A-BD98-AF3BA92ED489}"/>
    <cellStyle name="Normal 4 2 2 3 8" xfId="3034" xr:uid="{9E66C678-533D-4A8C-B491-C3434D7CC695}"/>
    <cellStyle name="Normal 4 2 2 3 9" xfId="3338" xr:uid="{13351EF8-BE25-45C9-B0D9-6E6A792B2C91}"/>
    <cellStyle name="Normal 4 2 2 4" xfId="548" xr:uid="{00000000-0005-0000-0000-000024020000}"/>
    <cellStyle name="Normal 4 2 2 4 2" xfId="1092" xr:uid="{01755029-6C4F-4105-809C-5A69F8025DB8}"/>
    <cellStyle name="Normal 4 2 2 4 2 2" xfId="1295" xr:uid="{8945E3E6-1594-4964-8794-A9F5F6D945D0}"/>
    <cellStyle name="Normal 4 2 2 4 2 2 2" xfId="2542" xr:uid="{5037CBA6-FC7F-41A6-B746-C435C9C08E7A}"/>
    <cellStyle name="Normal 4 2 2 4 2 2 2 2" xfId="4920" xr:uid="{E3857C40-4977-493B-BC9C-F7D1273A8D53}"/>
    <cellStyle name="Normal 4 2 2 4 2 2 3" xfId="1882" xr:uid="{D93E6043-68A2-4436-A745-7EB48DFB5BC0}"/>
    <cellStyle name="Normal 4 2 2 4 2 2 3 2" xfId="4292" xr:uid="{EEA9B464-2C26-4DAE-87DF-B49F79E026E2}"/>
    <cellStyle name="Normal 4 2 2 4 2 2 4" xfId="3795" xr:uid="{765FD814-EB9D-49FB-B2DF-52866B7FB0FE}"/>
    <cellStyle name="Normal 4 2 2 4 2 3" xfId="2543" xr:uid="{E60D51DE-DE43-47D1-9E5C-2D89E59AF4AB}"/>
    <cellStyle name="Normal 4 2 2 4 2 3 2" xfId="4921" xr:uid="{3CE833D6-210E-4148-AE46-93C80B1A2258}"/>
    <cellStyle name="Normal 4 2 2 4 2 4" xfId="2541" xr:uid="{EA2715BA-E4BE-4DAE-8AFB-F4408080885C}"/>
    <cellStyle name="Normal 4 2 2 4 2 4 2" xfId="4919" xr:uid="{76EAAB04-2DCD-4FAA-B26C-53E30D4DEB06}"/>
    <cellStyle name="Normal 4 2 2 4 2 5" xfId="1669" xr:uid="{ED6F818E-3FA3-49F7-8419-9191D51D0EEE}"/>
    <cellStyle name="Normal 4 2 2 4 2 5 2" xfId="4079" xr:uid="{BC66CD9F-3255-497F-884E-89DF07186B86}"/>
    <cellStyle name="Normal 4 2 2 4 2 6" xfId="3611" xr:uid="{BB630018-6B2F-463A-85C8-66B117F767F4}"/>
    <cellStyle name="Normal 4 2 2 4 3" xfId="1294" xr:uid="{BED3CC28-4173-4AEF-A5BF-15C5D2CAC3EA}"/>
    <cellStyle name="Normal 4 2 2 4 3 2" xfId="2544" xr:uid="{C57D5E21-7290-4847-AFBD-B742D3BAD305}"/>
    <cellStyle name="Normal 4 2 2 4 3 2 2" xfId="4922" xr:uid="{279D5EA2-7F95-467F-A60C-6EDB20398361}"/>
    <cellStyle name="Normal 4 2 2 4 3 3" xfId="1881" xr:uid="{C6B975A8-5271-4523-A0F0-CC8EE1057A51}"/>
    <cellStyle name="Normal 4 2 2 4 3 3 2" xfId="4291" xr:uid="{9E2F7804-3115-462C-8761-80448508278E}"/>
    <cellStyle name="Normal 4 2 2 4 3 4" xfId="3794" xr:uid="{F5DE8937-2830-44E5-B625-F0690AB565AD}"/>
    <cellStyle name="Normal 4 2 2 4 4" xfId="2545" xr:uid="{654939C6-E795-4415-AD78-16EBE8A44C6C}"/>
    <cellStyle name="Normal 4 2 2 4 4 2" xfId="4923" xr:uid="{E76F6E98-7150-4685-A1BF-5311B3E984C0}"/>
    <cellStyle name="Normal 4 2 2 4 5" xfId="2109" xr:uid="{9A9FBB2F-146A-4015-95FD-A840A82C38E3}"/>
    <cellStyle name="Normal 4 2 2 4 5 2" xfId="4515" xr:uid="{AD906AA6-8380-4644-931A-E4D54B25967F}"/>
    <cellStyle name="Normal 4 2 2 4 6" xfId="1506" xr:uid="{06442E71-ACB0-447C-9FFE-FEEAEB9CEB62}"/>
    <cellStyle name="Normal 4 2 2 4 6 2" xfId="3916" xr:uid="{33943BD1-4942-4E64-A2F8-CBAE2720572E}"/>
    <cellStyle name="Normal 4 2 2 4 7" xfId="3035" xr:uid="{8B874569-3C48-46DE-BC5A-2DBD2A84D1DF}"/>
    <cellStyle name="Normal 4 2 2 4 8" xfId="3339" xr:uid="{A15CADBF-27C7-46D3-8319-DBC0BBAD3DA5}"/>
    <cellStyle name="Normal 4 2 2 5" xfId="549" xr:uid="{00000000-0005-0000-0000-000025020000}"/>
    <cellStyle name="Normal 4 2 2 5 2" xfId="1093" xr:uid="{6156C7B8-F850-48EF-86A5-1134C3D57D49}"/>
    <cellStyle name="Normal 4 2 2 5 2 2" xfId="2546" xr:uid="{64B4F089-51BE-4E98-935A-5A62C0D11A54}"/>
    <cellStyle name="Normal 4 2 2 5 2 2 2" xfId="4924" xr:uid="{58E64121-12A9-409B-9FFB-75398E1F7A5F}"/>
    <cellStyle name="Normal 4 2 2 5 2 3" xfId="1883" xr:uid="{0B717CA6-BDB0-4BAD-9A7C-4011951665FD}"/>
    <cellStyle name="Normal 4 2 2 5 2 3 2" xfId="4293" xr:uid="{64E09327-268A-4593-B1A4-05D9BD8214DA}"/>
    <cellStyle name="Normal 4 2 2 5 2 4" xfId="3612" xr:uid="{25F10BE9-523F-4A68-9936-994350B90F37}"/>
    <cellStyle name="Normal 4 2 2 5 3" xfId="2547" xr:uid="{81C7B9D7-5C5D-4CE0-B080-D2B5AFEBF3F3}"/>
    <cellStyle name="Normal 4 2 2 5 3 2" xfId="4925" xr:uid="{D7B1F7C0-D3F6-4D63-B117-0BD16D36598A}"/>
    <cellStyle name="Normal 4 2 2 5 4" xfId="2110" xr:uid="{9B76FDE8-016F-4F1E-BA2D-2BA98037F4A4}"/>
    <cellStyle name="Normal 4 2 2 5 4 2" xfId="4516" xr:uid="{EC101172-6673-4BFE-A603-D549293891A0}"/>
    <cellStyle name="Normal 4 2 2 5 5" xfId="1566" xr:uid="{24581ADF-FDBF-48A7-B3F8-A9DA6F7F0FE1}"/>
    <cellStyle name="Normal 4 2 2 5 5 2" xfId="3976" xr:uid="{193672BA-18C5-4F5D-A038-4DB6E46A75E1}"/>
    <cellStyle name="Normal 4 2 2 5 6" xfId="3036" xr:uid="{E8C6F33C-D76F-4E89-9F33-F52D9CAD4A97}"/>
    <cellStyle name="Normal 4 2 2 5 7" xfId="3340" xr:uid="{2548A348-DF59-4AFE-9FA4-B62776BE2FD4}"/>
    <cellStyle name="Normal 4 2 2 6" xfId="550" xr:uid="{00000000-0005-0000-0000-000026020000}"/>
    <cellStyle name="Normal 4 2 2 6 2" xfId="1094" xr:uid="{875916E6-E570-4814-9BDE-C168B88EFA0C}"/>
    <cellStyle name="Normal 4 2 2 6 2 2" xfId="2548" xr:uid="{0ED3DB39-824B-45A2-B03D-C4AFC6CE2D8F}"/>
    <cellStyle name="Normal 4 2 2 6 2 2 2" xfId="4926" xr:uid="{8A1AFA05-ECAD-4DAE-B34A-EC482C326E7E}"/>
    <cellStyle name="Normal 4 2 2 6 2 3" xfId="1884" xr:uid="{5B047132-B062-4ED7-9B37-F176A0A3894D}"/>
    <cellStyle name="Normal 4 2 2 6 2 3 2" xfId="4294" xr:uid="{A3E18BF1-3E91-4907-9BF1-1B7E13555DE2}"/>
    <cellStyle name="Normal 4 2 2 6 2 4" xfId="3613" xr:uid="{41B6D8F6-1BBA-4D92-9D54-CA80362E2081}"/>
    <cellStyle name="Normal 4 2 2 6 3" xfId="2549" xr:uid="{61FB7280-6534-42BC-AFCA-970350C3671E}"/>
    <cellStyle name="Normal 4 2 2 6 3 2" xfId="4927" xr:uid="{45A21B13-0A00-4417-9899-D4AD1D548B23}"/>
    <cellStyle name="Normal 4 2 2 6 4" xfId="2111" xr:uid="{CB318C36-2195-447B-AD04-6699B5D445F6}"/>
    <cellStyle name="Normal 4 2 2 6 4 2" xfId="4517" xr:uid="{6DB8D8BF-BDEC-46FE-8A27-C1B72B33B07B}"/>
    <cellStyle name="Normal 4 2 2 6 5" xfId="1629" xr:uid="{3D6748E7-958D-4780-A033-8B59DFD4D8E4}"/>
    <cellStyle name="Normal 4 2 2 6 5 2" xfId="4039" xr:uid="{2C1BCA37-9728-4C14-B931-826F6D41EDD5}"/>
    <cellStyle name="Normal 4 2 2 6 6" xfId="3037" xr:uid="{E8D293E3-9BEF-4561-855E-744DCB897C85}"/>
    <cellStyle name="Normal 4 2 2 6 7" xfId="3341" xr:uid="{D1E69C8E-4CF7-47E5-87AB-4CEB4116E099}"/>
    <cellStyle name="Normal 4 2 2 7" xfId="551" xr:uid="{00000000-0005-0000-0000-000027020000}"/>
    <cellStyle name="Normal 4 2 2 7 2" xfId="1095" xr:uid="{BC584F61-422B-4EB3-AB19-F944C74F63B8}"/>
    <cellStyle name="Normal 4 2 2 7 2 2" xfId="2112" xr:uid="{E9A43AB1-33B2-4C77-B88F-4F54A487B4CC}"/>
    <cellStyle name="Normal 4 2 2 7 2 2 2" xfId="4518" xr:uid="{7D11C1C0-2817-4AAE-BA3D-951124B6E121}"/>
    <cellStyle name="Normal 4 2 2 7 2 3" xfId="3614" xr:uid="{4F0BE6D3-1892-4891-95C7-9524E5A9E1F1}"/>
    <cellStyle name="Normal 4 2 2 7 3" xfId="1885" xr:uid="{074240C9-544C-4620-839E-4EDFE6B02855}"/>
    <cellStyle name="Normal 4 2 2 7 3 2" xfId="4295" xr:uid="{9B428500-1616-4393-848A-6646AC83B35F}"/>
    <cellStyle name="Normal 4 2 2 7 4" xfId="3038" xr:uid="{27E56B1D-0136-43BF-920D-96A1378C75E7}"/>
    <cellStyle name="Normal 4 2 2 7 5" xfId="3342" xr:uid="{DA2CC169-7B07-407F-BD33-340342AA3980}"/>
    <cellStyle name="Normal 4 2 2 8" xfId="552" xr:uid="{00000000-0005-0000-0000-000028020000}"/>
    <cellStyle name="Normal 4 2 2 8 2" xfId="1096" xr:uid="{BEBA6485-00E9-4CA6-8118-A7EE385D32AC}"/>
    <cellStyle name="Normal 4 2 2 8 2 2" xfId="2113" xr:uid="{1E84420C-8CE7-4D6B-8EFB-4ABB42E19E1C}"/>
    <cellStyle name="Normal 4 2 2 8 2 2 2" xfId="4519" xr:uid="{49F1D36B-9036-48EC-A498-14E60D6F17E2}"/>
    <cellStyle name="Normal 4 2 2 8 2 3" xfId="3615" xr:uid="{765196A3-59DC-43A2-B271-471FF2BC3EE5}"/>
    <cellStyle name="Normal 4 2 2 8 3" xfId="1886" xr:uid="{0DF94A83-C29C-491B-A8EA-A9B38614B5ED}"/>
    <cellStyle name="Normal 4 2 2 8 3 2" xfId="4296" xr:uid="{F156CCCE-2CF5-418B-8FAD-5C057BC9D20B}"/>
    <cellStyle name="Normal 4 2 2 8 4" xfId="3039" xr:uid="{59412761-5CE8-420E-821E-9C4428E6B263}"/>
    <cellStyle name="Normal 4 2 2 8 5" xfId="3343" xr:uid="{510672B1-7E5A-4C49-80CC-8CC182A10CD4}"/>
    <cellStyle name="Normal 4 2 2 9" xfId="1089" xr:uid="{FCA44E10-BCD5-4043-9481-DC28F05391BE}"/>
    <cellStyle name="Normal 4 2 2 9 2" xfId="2550" xr:uid="{79D0C379-8128-4CEE-A1E2-CF5924C97D3D}"/>
    <cellStyle name="Normal 4 2 2 9 2 2" xfId="4928" xr:uid="{AD044151-0ED4-4717-8F8A-4A17F5FE7140}"/>
    <cellStyle name="Normal 4 2 2 9 3" xfId="1873" xr:uid="{A0B6BAFA-FE87-4AFF-8452-FEC1E132B94E}"/>
    <cellStyle name="Normal 4 2 2 9 3 2" xfId="4283" xr:uid="{2E54396F-B36D-4731-9DB5-18827BEEE71C}"/>
    <cellStyle name="Normal 4 2 2 9 4" xfId="3608" xr:uid="{B8BF0331-BD9F-42C8-B1E0-906ABC961A89}"/>
    <cellStyle name="Normal 4 2 3" xfId="553" xr:uid="{00000000-0005-0000-0000-000029020000}"/>
    <cellStyle name="Normal 4 2 3 2" xfId="554" xr:uid="{00000000-0005-0000-0000-00002A020000}"/>
    <cellStyle name="Normal 4 2 3 2 2" xfId="1098" xr:uid="{43BFF208-FBDE-4D8E-8FB9-894C3A6845F3}"/>
    <cellStyle name="Normal 4 2 3 2 2 2" xfId="1298" xr:uid="{3376B9D8-3A75-4E41-B271-24FF14761C24}"/>
    <cellStyle name="Normal 4 2 3 2 2 2 2" xfId="2552" xr:uid="{DA0F22E4-A183-4090-AE87-CF1BBBF7F965}"/>
    <cellStyle name="Normal 4 2 3 2 2 2 2 2" xfId="4930" xr:uid="{D9A889ED-5C40-47EA-A0D4-02D815E1BC2D}"/>
    <cellStyle name="Normal 4 2 3 2 2 2 3" xfId="1889" xr:uid="{BC975399-3B70-49F1-AC1D-F98C44CA68A6}"/>
    <cellStyle name="Normal 4 2 3 2 2 2 3 2" xfId="4299" xr:uid="{D777736E-CD61-4589-AA70-6394C07B744F}"/>
    <cellStyle name="Normal 4 2 3 2 2 2 4" xfId="3798" xr:uid="{7204F868-426C-4056-83DE-9818B212C816}"/>
    <cellStyle name="Normal 4 2 3 2 2 3" xfId="2553" xr:uid="{42FB674D-702E-44AF-ACA3-97EAA3EBE9E4}"/>
    <cellStyle name="Normal 4 2 3 2 2 3 2" xfId="4931" xr:uid="{A440B00E-AAB9-4727-BF07-E970008E4E33}"/>
    <cellStyle name="Normal 4 2 3 2 2 4" xfId="2551" xr:uid="{436ABFC1-8B6A-4D47-BCD9-E2F4AA8E4F50}"/>
    <cellStyle name="Normal 4 2 3 2 2 4 2" xfId="4929" xr:uid="{E07E90EA-D126-4340-8445-847310BE8C52}"/>
    <cellStyle name="Normal 4 2 3 2 2 5" xfId="1698" xr:uid="{7B112DC8-7B5E-4F51-B117-764B628B3ADB}"/>
    <cellStyle name="Normal 4 2 3 2 2 5 2" xfId="4108" xr:uid="{03EE1C60-41D0-4DA3-AD19-8BE31AA3F5B8}"/>
    <cellStyle name="Normal 4 2 3 2 2 6" xfId="3617" xr:uid="{D6DED15A-D038-457E-B3B7-A1F1DEDA755C}"/>
    <cellStyle name="Normal 4 2 3 2 3" xfId="1297" xr:uid="{A3FC3393-FC75-4401-9095-23260E8DF18B}"/>
    <cellStyle name="Normal 4 2 3 2 3 2" xfId="2554" xr:uid="{1F4B7678-8244-44D5-9FFF-6441057C410C}"/>
    <cellStyle name="Normal 4 2 3 2 3 2 2" xfId="4932" xr:uid="{D7D43CB9-1E40-4D08-B22E-1D8E4AF1E4F3}"/>
    <cellStyle name="Normal 4 2 3 2 3 3" xfId="1888" xr:uid="{65669889-06F4-4257-A91E-88E87E1B517A}"/>
    <cellStyle name="Normal 4 2 3 2 3 3 2" xfId="4298" xr:uid="{8CEDCDC8-447A-425B-BFF3-B1C345DA4A46}"/>
    <cellStyle name="Normal 4 2 3 2 3 4" xfId="3797" xr:uid="{DD68462E-3EAB-4920-BAE9-A50D283E7B73}"/>
    <cellStyle name="Normal 4 2 3 2 4" xfId="2555" xr:uid="{DAB9AE2B-8E7F-4033-AA7D-438DDF943620}"/>
    <cellStyle name="Normal 4 2 3 2 4 2" xfId="4933" xr:uid="{49793F95-586C-4FE8-AF9A-50B8F3A3ED50}"/>
    <cellStyle name="Normal 4 2 3 2 5" xfId="2115" xr:uid="{9DBDC206-D053-4C3F-BE47-A4B35849CCCB}"/>
    <cellStyle name="Normal 4 2 3 2 5 2" xfId="4521" xr:uid="{FB1BCA5A-6A36-4CA9-9372-71B954BB02C9}"/>
    <cellStyle name="Normal 4 2 3 2 6" xfId="1595" xr:uid="{3B0B8CB7-FAD3-4D11-B740-F96A55544968}"/>
    <cellStyle name="Normal 4 2 3 2 6 2" xfId="4005" xr:uid="{B7BF6BC5-327F-4C56-ADBE-67A7FD1ADACB}"/>
    <cellStyle name="Normal 4 2 3 2 7" xfId="3041" xr:uid="{CC8E23FF-C140-4CA3-961F-CE77116AC059}"/>
    <cellStyle name="Normal 4 2 3 2 8" xfId="3345" xr:uid="{0FE5AF2A-2671-45C5-B601-4FBD2CE237D1}"/>
    <cellStyle name="Normal 4 2 3 3" xfId="1097" xr:uid="{8B6C594C-4205-4BAB-9E2F-1C3B0DC4A168}"/>
    <cellStyle name="Normal 4 2 3 3 2" xfId="1299" xr:uid="{16B88337-FE65-4741-A3E6-82E0B280CEAE}"/>
    <cellStyle name="Normal 4 2 3 3 2 2" xfId="2557" xr:uid="{FEE9209E-430C-4542-B698-5C63FB7300BC}"/>
    <cellStyle name="Normal 4 2 3 3 2 2 2" xfId="4935" xr:uid="{8B33BB16-0483-4745-B626-C46D4E1660E0}"/>
    <cellStyle name="Normal 4 2 3 3 2 3" xfId="1890" xr:uid="{D296957A-EB54-4A4B-984B-547C31E981DE}"/>
    <cellStyle name="Normal 4 2 3 3 2 3 2" xfId="4300" xr:uid="{CE226FF3-EAFC-40B9-9542-1EA3166A9E4E}"/>
    <cellStyle name="Normal 4 2 3 3 2 4" xfId="3799" xr:uid="{8E7C61D5-FA25-448B-9242-755AC1261828}"/>
    <cellStyle name="Normal 4 2 3 3 3" xfId="2558" xr:uid="{AC8D5BF3-E924-4D33-9A60-34AC2701E5EF}"/>
    <cellStyle name="Normal 4 2 3 3 3 2" xfId="4936" xr:uid="{30AA92F4-8EEE-4B2E-BCBA-2D65C8D49182}"/>
    <cellStyle name="Normal 4 2 3 3 4" xfId="2556" xr:uid="{EEFC7116-5B98-40FA-8BAC-4213829C5382}"/>
    <cellStyle name="Normal 4 2 3 3 4 2" xfId="4934" xr:uid="{700526F9-1E02-4807-80DE-F953FD7EFA26}"/>
    <cellStyle name="Normal 4 2 3 3 5" xfId="1638" xr:uid="{17B9CF37-E14A-4B27-99C1-D4BC434C07F8}"/>
    <cellStyle name="Normal 4 2 3 3 5 2" xfId="4048" xr:uid="{50C8E223-FC99-4E97-B8CF-ED9C685B468B}"/>
    <cellStyle name="Normal 4 2 3 3 6" xfId="3616" xr:uid="{B44658DB-7918-4994-99A7-DC8AD9CDD223}"/>
    <cellStyle name="Normal 4 2 3 4" xfId="1296" xr:uid="{D5ADE49C-7812-4B91-8D6E-D265B04240F4}"/>
    <cellStyle name="Normal 4 2 3 4 2" xfId="2559" xr:uid="{8995AD6C-8867-447E-8126-FE295761CA08}"/>
    <cellStyle name="Normal 4 2 3 4 2 2" xfId="4937" xr:uid="{DB63F7CC-7B83-46D0-9615-5E411E729ED9}"/>
    <cellStyle name="Normal 4 2 3 4 3" xfId="1887" xr:uid="{D9AC010B-DEDF-45AD-AB19-FF4F5E5C2D4A}"/>
    <cellStyle name="Normal 4 2 3 4 3 2" xfId="4297" xr:uid="{DB4341EC-6E56-4326-A661-582EEC6382DD}"/>
    <cellStyle name="Normal 4 2 3 4 4" xfId="3796" xr:uid="{00733A74-1096-4399-9993-7FF368181D1D}"/>
    <cellStyle name="Normal 4 2 3 5" xfId="2560" xr:uid="{63D2BFFE-D9E2-4BF7-AA81-A495024C8802}"/>
    <cellStyle name="Normal 4 2 3 5 2" xfId="4938" xr:uid="{E109CDFD-8ECF-44F5-B02C-0759D9776246}"/>
    <cellStyle name="Normal 4 2 3 6" xfId="2114" xr:uid="{A6A8C983-84F0-4DCA-9B36-CD39559D96C1}"/>
    <cellStyle name="Normal 4 2 3 6 2" xfId="4520" xr:uid="{297C4F48-9292-4B31-8620-DCCACF89017B}"/>
    <cellStyle name="Normal 4 2 3 7" xfId="1535" xr:uid="{B8873113-8203-4FCA-B087-858AD953202D}"/>
    <cellStyle name="Normal 4 2 3 7 2" xfId="3945" xr:uid="{8BAF05D7-2E57-42AD-B1B0-13F84218289E}"/>
    <cellStyle name="Normal 4 2 3 8" xfId="3040" xr:uid="{0299354C-17F8-476B-8E82-4C8680917B66}"/>
    <cellStyle name="Normal 4 2 3 9" xfId="3344" xr:uid="{945390C0-40CD-4FF0-AB8D-18589899B25C}"/>
    <cellStyle name="Normal 4 2 4" xfId="555" xr:uid="{00000000-0005-0000-0000-00002B020000}"/>
    <cellStyle name="Normal 4 2 4 2" xfId="1099" xr:uid="{8E3A8277-FC22-466B-840C-C8E4E72B3BDF}"/>
    <cellStyle name="Normal 4 2 4 2 2" xfId="1067" xr:uid="{FAA7C93B-AA04-4792-826F-C0D29C9F1870}"/>
    <cellStyle name="Normal 4 2 4 2 2 2" xfId="1302" xr:uid="{BCA6794E-5293-464E-918C-255FE5E77B86}"/>
    <cellStyle name="Normal 4 2 4 2 2 2 2" xfId="2563" xr:uid="{064CA9A5-DB7C-4C57-9F9B-5BB93BBA6D04}"/>
    <cellStyle name="Normal 4 2 4 2 2 2 2 2" xfId="4941" xr:uid="{6326B920-F375-472F-AF64-DC0C827C9E21}"/>
    <cellStyle name="Normal 4 2 4 2 2 2 3" xfId="1893" xr:uid="{013CA1CD-B159-401C-843F-F6418E22A2F7}"/>
    <cellStyle name="Normal 4 2 4 2 2 2 3 2" xfId="4303" xr:uid="{E19CA168-C17A-4478-AECF-965A65C6F73A}"/>
    <cellStyle name="Normal 4 2 4 2 2 2 4" xfId="3802" xr:uid="{F225DB19-0BBC-4BB0-AB7F-A5F6FF22D84C}"/>
    <cellStyle name="Normal 4 2 4 2 2 3" xfId="2564" xr:uid="{D4BD6571-993A-4EB4-93C0-C19CCAC5323B}"/>
    <cellStyle name="Normal 4 2 4 2 2 3 2" xfId="4942" xr:uid="{B217F74B-4504-4C7F-9B51-E2252FAEB223}"/>
    <cellStyle name="Normal 4 2 4 2 2 4" xfId="2562" xr:uid="{43781E16-18D0-4B6E-A852-84184BD93F4A}"/>
    <cellStyle name="Normal 4 2 4 2 2 4 2" xfId="4940" xr:uid="{7692F3FF-1815-4706-98FC-070B07E728FF}"/>
    <cellStyle name="Normal 4 2 4 2 2 5" xfId="1704" xr:uid="{57BE35A7-2C5C-45B4-86C6-43B49C21C5E9}"/>
    <cellStyle name="Normal 4 2 4 2 2 5 2" xfId="4114" xr:uid="{6E79AB4F-6106-4FDB-B820-F86C95D93938}"/>
    <cellStyle name="Normal 4 2 4 2 2 6" xfId="3587" xr:uid="{4A34861E-6828-486E-9776-0C82689E8D96}"/>
    <cellStyle name="Normal 4 2 4 2 3" xfId="1301" xr:uid="{36F3E1C4-0C9C-4970-9DA7-9F46F32AB9B6}"/>
    <cellStyle name="Normal 4 2 4 2 3 2" xfId="2565" xr:uid="{C5C95DCB-AAA4-434F-A614-4868BE18BAED}"/>
    <cellStyle name="Normal 4 2 4 2 3 2 2" xfId="4943" xr:uid="{63005CCF-A4B0-4AD7-A0F3-A153B92E2FAD}"/>
    <cellStyle name="Normal 4 2 4 2 3 3" xfId="1892" xr:uid="{530EFDBC-65B0-4832-ACDC-4556CF82A654}"/>
    <cellStyle name="Normal 4 2 4 2 3 3 2" xfId="4302" xr:uid="{81805536-4DD1-4447-9DC6-3D0377597AED}"/>
    <cellStyle name="Normal 4 2 4 2 3 4" xfId="3801" xr:uid="{452D45D9-8545-4E9B-8C21-56D6AB054BFA}"/>
    <cellStyle name="Normal 4 2 4 2 4" xfId="2566" xr:uid="{BE05BB80-5A8E-49F9-90F4-81834B70C3AA}"/>
    <cellStyle name="Normal 4 2 4 2 4 2" xfId="4944" xr:uid="{4D488282-8A97-412A-A7DC-3029C5901D82}"/>
    <cellStyle name="Normal 4 2 4 2 5" xfId="2561" xr:uid="{F1CD6FA1-9F28-4363-871F-0441965DE7DF}"/>
    <cellStyle name="Normal 4 2 4 2 5 2" xfId="4939" xr:uid="{6435A6BD-FD65-4FBA-8FA8-F7B70A387669}"/>
    <cellStyle name="Normal 4 2 4 2 6" xfId="1601" xr:uid="{C1F3AD14-53B6-4ADB-A9CA-89763551C278}"/>
    <cellStyle name="Normal 4 2 4 2 6 2" xfId="4011" xr:uid="{ECB8696B-706C-4A8B-B1B7-35FB1E059691}"/>
    <cellStyle name="Normal 4 2 4 2 7" xfId="3618" xr:uid="{20C5E2D2-3168-4BE4-B8CA-9F5E95832E92}"/>
    <cellStyle name="Normal 4 2 4 3" xfId="938" xr:uid="{4EF53DDA-42A7-4BDF-9C33-0DB1FA2C8817}"/>
    <cellStyle name="Normal 4 2 4 3 2" xfId="1303" xr:uid="{AB59DFD7-7008-4C9F-A614-FE6F511F0065}"/>
    <cellStyle name="Normal 4 2 4 3 2 2" xfId="2568" xr:uid="{5F641182-ABAD-44AF-AA9C-9D274DC41654}"/>
    <cellStyle name="Normal 4 2 4 3 2 2 2" xfId="4946" xr:uid="{14CD731B-46D5-4EB5-A440-B852D0D6C03A}"/>
    <cellStyle name="Normal 4 2 4 3 2 3" xfId="1894" xr:uid="{62B3E9F7-4938-4267-AB28-16E48BE7AC99}"/>
    <cellStyle name="Normal 4 2 4 3 2 3 2" xfId="4304" xr:uid="{A7454269-D024-4DA6-884B-E7ED7E54949B}"/>
    <cellStyle name="Normal 4 2 4 3 2 4" xfId="3803" xr:uid="{8FCD6F13-75A5-4B48-8922-7AFC71A784DF}"/>
    <cellStyle name="Normal 4 2 4 3 3" xfId="2569" xr:uid="{E062685B-7766-4ADF-B480-4EE83279EC90}"/>
    <cellStyle name="Normal 4 2 4 3 3 2" xfId="4947" xr:uid="{B53B90AE-48C2-423C-9C93-5B84BD82734E}"/>
    <cellStyle name="Normal 4 2 4 3 4" xfId="2567" xr:uid="{20CF6F11-1688-4CC9-97E2-4419AD780A3C}"/>
    <cellStyle name="Normal 4 2 4 3 4 2" xfId="4945" xr:uid="{CA073355-02AB-4438-A31A-29AD7ECAD035}"/>
    <cellStyle name="Normal 4 2 4 3 5" xfId="1644" xr:uid="{00EC61CC-7428-488C-946C-FE6725FEF504}"/>
    <cellStyle name="Normal 4 2 4 3 5 2" xfId="4054" xr:uid="{A14F1602-866C-455C-B6CD-9AD5AB453E87}"/>
    <cellStyle name="Normal 4 2 4 3 6" xfId="3500" xr:uid="{1C792A89-F967-400A-B459-85809BB73303}"/>
    <cellStyle name="Normal 4 2 4 4" xfId="1300" xr:uid="{BCF7CD63-9873-445A-A2E0-50D824B6B400}"/>
    <cellStyle name="Normal 4 2 4 4 2" xfId="2570" xr:uid="{1F49CE23-2734-4FB4-AF4C-7F413E9F00DD}"/>
    <cellStyle name="Normal 4 2 4 4 2 2" xfId="4948" xr:uid="{4F9637AA-E6BF-444F-8BB9-419884B17D68}"/>
    <cellStyle name="Normal 4 2 4 4 3" xfId="1891" xr:uid="{5586E026-BBBB-4FED-878A-30B1BFEFCBDC}"/>
    <cellStyle name="Normal 4 2 4 4 3 2" xfId="4301" xr:uid="{18C88FFA-7FD7-421C-9EFF-EEE9708FD1D3}"/>
    <cellStyle name="Normal 4 2 4 4 4" xfId="3800" xr:uid="{DD991F18-8D2E-4486-87E7-BBA374F9C869}"/>
    <cellStyle name="Normal 4 2 4 5" xfId="2571" xr:uid="{8F6CDCB9-8476-47DF-BC87-8D266B3816C6}"/>
    <cellStyle name="Normal 4 2 4 5 2" xfId="4949" xr:uid="{D29AFDEC-29B0-4B0B-A41E-BB3057421803}"/>
    <cellStyle name="Normal 4 2 4 6" xfId="2116" xr:uid="{AF44D3ED-D028-4FA1-B6DC-491FE9CF0E99}"/>
    <cellStyle name="Normal 4 2 4 6 2" xfId="4522" xr:uid="{462D6289-109D-4673-B449-C51B6192DB93}"/>
    <cellStyle name="Normal 4 2 4 7" xfId="1541" xr:uid="{2CBFA572-D52B-4893-AB58-7562EF5C4F9B}"/>
    <cellStyle name="Normal 4 2 4 7 2" xfId="3951" xr:uid="{3697B8D9-2C07-4F13-BBEE-651ACAFEBEBE}"/>
    <cellStyle name="Normal 4 2 4 8" xfId="3042" xr:uid="{6BCFAC03-BCFA-4217-AF05-CC137DF389E7}"/>
    <cellStyle name="Normal 4 2 4 9" xfId="3346" xr:uid="{740D199B-1D9B-470A-B6B1-5668B228E644}"/>
    <cellStyle name="Normal 4 2 5" xfId="556" xr:uid="{00000000-0005-0000-0000-00002C020000}"/>
    <cellStyle name="Normal 4 2 5 2" xfId="1100" xr:uid="{5016B1C3-4CB1-45D5-8D10-A7C4C5A23248}"/>
    <cellStyle name="Normal 4 2 5 2 2" xfId="1305" xr:uid="{823DE5FB-34CE-4C94-A5B1-31A8EEAA5213}"/>
    <cellStyle name="Normal 4 2 5 2 2 2" xfId="2573" xr:uid="{FF4E7546-34A3-45E2-8FED-7F99FE3748CB}"/>
    <cellStyle name="Normal 4 2 5 2 2 2 2" xfId="4951" xr:uid="{8532EB52-3CEE-461B-9448-F8BF9A698DD0}"/>
    <cellStyle name="Normal 4 2 5 2 2 3" xfId="1896" xr:uid="{2D718031-109D-4407-8E72-2CA668004698}"/>
    <cellStyle name="Normal 4 2 5 2 2 3 2" xfId="4306" xr:uid="{18F75E34-77DC-4B42-A0E4-5D5CFC31D4C6}"/>
    <cellStyle name="Normal 4 2 5 2 2 4" xfId="3805" xr:uid="{3CAB0729-8C4C-4DB2-8E1C-93DA9489B182}"/>
    <cellStyle name="Normal 4 2 5 2 3" xfId="2574" xr:uid="{48FE3D2F-7E61-4C62-9D99-A1DBAA9752CF}"/>
    <cellStyle name="Normal 4 2 5 2 3 2" xfId="4952" xr:uid="{F0056E0B-00F7-410D-908F-4177CF019D3A}"/>
    <cellStyle name="Normal 4 2 5 2 4" xfId="2572" xr:uid="{7D13E7B0-4626-4017-BBF1-2C07C1E1ADCD}"/>
    <cellStyle name="Normal 4 2 5 2 4 2" xfId="4950" xr:uid="{784DD504-BFFE-4A16-A2B7-12BE20377928}"/>
    <cellStyle name="Normal 4 2 5 2 5" xfId="1575" xr:uid="{A35A5F49-57C2-42CC-93F4-DF26646DD245}"/>
    <cellStyle name="Normal 4 2 5 2 5 2" xfId="3985" xr:uid="{53EA7002-75D2-4768-99BE-708EA31D5543}"/>
    <cellStyle name="Normal 4 2 5 2 6" xfId="3619" xr:uid="{85C18682-5A37-484B-8260-3B5217ECDF9E}"/>
    <cellStyle name="Normal 4 2 5 3" xfId="994" xr:uid="{9846A6EA-663F-4219-A518-43271741E493}"/>
    <cellStyle name="Normal 4 2 5 3 2" xfId="1306" xr:uid="{3A24629B-3978-465A-B1FA-5BE94BBFBFC8}"/>
    <cellStyle name="Normal 4 2 5 3 2 2" xfId="2576" xr:uid="{BF66B3B5-B001-433F-AE17-DB77980852BF}"/>
    <cellStyle name="Normal 4 2 5 3 2 2 2" xfId="4954" xr:uid="{0A0BE05B-4D8F-418F-AB14-3BDB0588B89F}"/>
    <cellStyle name="Normal 4 2 5 3 2 3" xfId="1897" xr:uid="{F512E4C4-84B4-4CD6-84D9-4343C9CE2C76}"/>
    <cellStyle name="Normal 4 2 5 3 2 3 2" xfId="4307" xr:uid="{E07E54DB-8B13-49BD-8EDE-540000EE5806}"/>
    <cellStyle name="Normal 4 2 5 3 2 4" xfId="3806" xr:uid="{E06AF9F5-DE27-4EF3-9100-C07ABAE1EC04}"/>
    <cellStyle name="Normal 4 2 5 3 3" xfId="2577" xr:uid="{3E01C419-B7A9-490B-98FD-3B4017258FA4}"/>
    <cellStyle name="Normal 4 2 5 3 3 2" xfId="4955" xr:uid="{CCDA59F3-F4C3-4FFC-A2E2-770ADAA263CE}"/>
    <cellStyle name="Normal 4 2 5 3 4" xfId="2575" xr:uid="{1CB5C827-6708-4E06-A613-6BD0BEBF948C}"/>
    <cellStyle name="Normal 4 2 5 3 4 2" xfId="4953" xr:uid="{5D712CF1-DA98-41D5-8D9B-462BA4BC7407}"/>
    <cellStyle name="Normal 4 2 5 3 5" xfId="1678" xr:uid="{F53BD338-E910-46D0-911B-8CB412B7B531}"/>
    <cellStyle name="Normal 4 2 5 3 5 2" xfId="4088" xr:uid="{24354568-9432-4311-9639-500140FE0D0B}"/>
    <cellStyle name="Normal 4 2 5 3 6" xfId="3514" xr:uid="{70AE98BF-71C5-4EF0-B297-2E03F6B6C870}"/>
    <cellStyle name="Normal 4 2 5 4" xfId="1304" xr:uid="{456E8EAF-AB64-4434-B116-6905065A4261}"/>
    <cellStyle name="Normal 4 2 5 4 2" xfId="2578" xr:uid="{A827C744-94BA-443C-95FA-BBB18BDDD4B3}"/>
    <cellStyle name="Normal 4 2 5 4 2 2" xfId="4956" xr:uid="{42D945D1-5F22-48E7-97C9-4AE7F926BA86}"/>
    <cellStyle name="Normal 4 2 5 4 3" xfId="1895" xr:uid="{1F31AB94-AC89-465A-93D2-CF56961C6222}"/>
    <cellStyle name="Normal 4 2 5 4 3 2" xfId="4305" xr:uid="{5FA5105A-C361-4D4B-BF94-304150E00FA1}"/>
    <cellStyle name="Normal 4 2 5 4 4" xfId="3804" xr:uid="{5DD51665-0AEF-4F68-8C7B-02B7E2F29D8D}"/>
    <cellStyle name="Normal 4 2 5 5" xfId="2579" xr:uid="{49765FB2-3BF9-450F-B86E-8377E4949CEF}"/>
    <cellStyle name="Normal 4 2 5 5 2" xfId="4957" xr:uid="{B99A4261-38A8-4F2A-A0F4-F50FE7AE4025}"/>
    <cellStyle name="Normal 4 2 5 6" xfId="2117" xr:uid="{7F596E4E-CBCD-4E68-987C-6E5578339EC7}"/>
    <cellStyle name="Normal 4 2 5 6 2" xfId="4523" xr:uid="{F276C14D-02D8-4A04-A0B9-772F00B23901}"/>
    <cellStyle name="Normal 4 2 5 7" xfId="1515" xr:uid="{182808D1-02D7-46D7-A2A6-315474A516D1}"/>
    <cellStyle name="Normal 4 2 5 7 2" xfId="3925" xr:uid="{BCAE1215-5D83-469E-BF58-BEE8693F6AD3}"/>
    <cellStyle name="Normal 4 2 5 8" xfId="3043" xr:uid="{EBD18377-D633-4775-BCD6-A362AAA38DD0}"/>
    <cellStyle name="Normal 4 2 5 9" xfId="3347" xr:uid="{32AA825C-A714-45CD-905F-20E230761DBE}"/>
    <cellStyle name="Normal 4 2 6" xfId="557" xr:uid="{00000000-0005-0000-0000-00002D020000}"/>
    <cellStyle name="Normal 4 2 6 2" xfId="1101" xr:uid="{D7D403E9-7721-467A-94A0-DB1C49308366}"/>
    <cellStyle name="Normal 4 2 6 2 2" xfId="1308" xr:uid="{4342BD35-3FAA-4C0E-875D-D04F2F0E6099}"/>
    <cellStyle name="Normal 4 2 6 2 2 2" xfId="2581" xr:uid="{228B899F-5309-403A-92F5-C7C97065BB3A}"/>
    <cellStyle name="Normal 4 2 6 2 2 2 2" xfId="4959" xr:uid="{C2888ED1-4089-4F43-9846-EBE4388DA8B1}"/>
    <cellStyle name="Normal 4 2 6 2 2 3" xfId="1899" xr:uid="{68379601-C467-426D-8F50-0C63154AA47C}"/>
    <cellStyle name="Normal 4 2 6 2 2 3 2" xfId="4309" xr:uid="{EE8216F7-8F11-47EA-B793-62500C3AC6B1}"/>
    <cellStyle name="Normal 4 2 6 2 2 4" xfId="3808" xr:uid="{B833F0F0-5AEF-450B-BF1A-CED09867D388}"/>
    <cellStyle name="Normal 4 2 6 2 3" xfId="2582" xr:uid="{72241AA7-E5F0-4B4D-8470-F0A980DA2E10}"/>
    <cellStyle name="Normal 4 2 6 2 3 2" xfId="4960" xr:uid="{3F461683-FC98-431D-B66B-37E00341A203}"/>
    <cellStyle name="Normal 4 2 6 2 4" xfId="2580" xr:uid="{D7E106AF-B418-4BEC-907E-4F7D47F034B7}"/>
    <cellStyle name="Normal 4 2 6 2 4 2" xfId="4958" xr:uid="{C81AE8D6-57ED-42BC-985B-C984CD578DE5}"/>
    <cellStyle name="Normal 4 2 6 2 5" xfId="1661" xr:uid="{48F4BBD7-3FD7-418B-A00D-68D10D61F00E}"/>
    <cellStyle name="Normal 4 2 6 2 5 2" xfId="4071" xr:uid="{1D1A6D47-8ED4-4923-9AAA-30968352F89C}"/>
    <cellStyle name="Normal 4 2 6 2 6" xfId="3620" xr:uid="{B54C1CB7-B9B7-4B11-A860-76783F21978B}"/>
    <cellStyle name="Normal 4 2 6 3" xfId="1307" xr:uid="{4649369C-3958-46DE-956F-1D39E4B2C65D}"/>
    <cellStyle name="Normal 4 2 6 3 2" xfId="2583" xr:uid="{2F5EAE59-B49E-4384-84B1-6E875E713A88}"/>
    <cellStyle name="Normal 4 2 6 3 2 2" xfId="4961" xr:uid="{C138CA77-F46B-4E0E-B705-DC36582E3DFE}"/>
    <cellStyle name="Normal 4 2 6 3 3" xfId="1898" xr:uid="{0B274211-BF67-40F6-B4AA-628E48DA7C38}"/>
    <cellStyle name="Normal 4 2 6 3 3 2" xfId="4308" xr:uid="{84EA7CA4-EA8E-49A8-8173-C81080AA86D3}"/>
    <cellStyle name="Normal 4 2 6 3 4" xfId="3807" xr:uid="{98EF4A14-61DA-478D-A6D3-8008E23274AD}"/>
    <cellStyle name="Normal 4 2 6 4" xfId="2584" xr:uid="{2B8D90BA-FAFE-4C25-8270-9DE93F51928D}"/>
    <cellStyle name="Normal 4 2 6 4 2" xfId="4962" xr:uid="{0EAD0D0A-F722-4A94-B9FE-776D0B814679}"/>
    <cellStyle name="Normal 4 2 6 5" xfId="2118" xr:uid="{AA7BAC01-23F7-4C37-8E0C-70C5B2BD8503}"/>
    <cellStyle name="Normal 4 2 6 5 2" xfId="4524" xr:uid="{8524882D-95C1-4DDF-B2C2-FEFC456B8576}"/>
    <cellStyle name="Normal 4 2 6 6" xfId="1498" xr:uid="{A9CAABEB-A59A-4BC5-89FE-150B3CDC822E}"/>
    <cellStyle name="Normal 4 2 6 6 2" xfId="3908" xr:uid="{DD9EADFE-2E36-43BD-87B1-5036A92FF1E5}"/>
    <cellStyle name="Normal 4 2 6 7" xfId="3044" xr:uid="{18BE0C18-A9A2-49E7-8B13-BE81BAC9350B}"/>
    <cellStyle name="Normal 4 2 6 8" xfId="3348" xr:uid="{488596BB-4440-4502-A3ED-BA00B1015490}"/>
    <cellStyle name="Normal 4 2 7" xfId="558" xr:uid="{00000000-0005-0000-0000-00002E020000}"/>
    <cellStyle name="Normal 4 2 7 2" xfId="1102" xr:uid="{4C5F35DB-E740-476E-ADC5-C32E5DAEBE0E}"/>
    <cellStyle name="Normal 4 2 7 2 2" xfId="1310" xr:uid="{7DBFD580-C52B-4DE9-9333-C78604788AF5}"/>
    <cellStyle name="Normal 4 2 7 2 2 2" xfId="2586" xr:uid="{02AD2358-883F-4650-A3C9-188E001EA95F}"/>
    <cellStyle name="Normal 4 2 7 2 2 2 2" xfId="4964" xr:uid="{ECD8E6CE-6C27-4E69-B333-87691E9C9800}"/>
    <cellStyle name="Normal 4 2 7 2 2 3" xfId="1901" xr:uid="{1D01ED3F-2C1B-4B50-81A2-931AAFFFB253}"/>
    <cellStyle name="Normal 4 2 7 2 2 3 2" xfId="4311" xr:uid="{2A495F6A-4F95-4103-86CA-C177196C042B}"/>
    <cellStyle name="Normal 4 2 7 2 2 4" xfId="3810" xr:uid="{00742975-60E6-41C9-9BEC-576122F7E94E}"/>
    <cellStyle name="Normal 4 2 7 2 3" xfId="2587" xr:uid="{06CFB3D2-BCE3-45E4-BD7D-6C008E5DB3D3}"/>
    <cellStyle name="Normal 4 2 7 2 3 2" xfId="4965" xr:uid="{603854AE-A940-49BC-9EF4-971A16B718F2}"/>
    <cellStyle name="Normal 4 2 7 2 4" xfId="2585" xr:uid="{F00259A6-0B36-4761-A8A2-EB2A0C51B82B}"/>
    <cellStyle name="Normal 4 2 7 2 4 2" xfId="4963" xr:uid="{E649E8B0-B5D8-4EB9-AA8F-0397C7D333F1}"/>
    <cellStyle name="Normal 4 2 7 2 5" xfId="1723" xr:uid="{36772E3F-443F-4A76-AE8B-09FADE1070AE}"/>
    <cellStyle name="Normal 4 2 7 2 5 2" xfId="4133" xr:uid="{AF1F4A27-249D-4690-8438-F9D87757480F}"/>
    <cellStyle name="Normal 4 2 7 2 6" xfId="3621" xr:uid="{5EBA19BD-A777-491B-9E6B-A53566542C84}"/>
    <cellStyle name="Normal 4 2 7 3" xfId="1309" xr:uid="{F38D2522-759D-4F82-ABD8-564A42E9A692}"/>
    <cellStyle name="Normal 4 2 7 3 2" xfId="2588" xr:uid="{05F20D24-A268-4C55-9649-25AD06D94E2D}"/>
    <cellStyle name="Normal 4 2 7 3 2 2" xfId="4966" xr:uid="{C925D572-7FE1-428F-9038-CA5C0EF0E251}"/>
    <cellStyle name="Normal 4 2 7 3 3" xfId="1900" xr:uid="{B125C9CF-9BCA-4BA7-B73F-10BCCF460D24}"/>
    <cellStyle name="Normal 4 2 7 3 3 2" xfId="4310" xr:uid="{FDD97F7E-B815-41E3-846A-233A2E68309F}"/>
    <cellStyle name="Normal 4 2 7 3 4" xfId="3809" xr:uid="{18CC3043-96A2-4C75-A20F-3CB462F1E65D}"/>
    <cellStyle name="Normal 4 2 7 4" xfId="2589" xr:uid="{71314C72-3C13-49E2-9E48-6D04BE138A05}"/>
    <cellStyle name="Normal 4 2 7 4 2" xfId="4967" xr:uid="{61DF1BCE-44CF-44F1-893B-393D4C71230D}"/>
    <cellStyle name="Normal 4 2 7 5" xfId="2119" xr:uid="{7B6F8D9F-2899-4465-98B6-EA57C0A7F6DB}"/>
    <cellStyle name="Normal 4 2 7 5 2" xfId="4525" xr:uid="{65377C8B-AECD-40DB-AABF-CB2EF2156DF2}"/>
    <cellStyle name="Normal 4 2 7 6" xfId="1558" xr:uid="{9B571DBA-2AC7-4EE6-9ED2-D94F8A9D3740}"/>
    <cellStyle name="Normal 4 2 7 6 2" xfId="3968" xr:uid="{C3CC51B1-2BF0-4CBB-9A52-0378E6CB7F96}"/>
    <cellStyle name="Normal 4 2 7 7" xfId="3045" xr:uid="{072529E3-0CA9-410C-AC15-F6E8422C1F7A}"/>
    <cellStyle name="Normal 4 2 7 8" xfId="3349" xr:uid="{EC57FC3E-CCCE-4B42-9AF4-E10B167DD6CE}"/>
    <cellStyle name="Normal 4 2 8" xfId="559" xr:uid="{00000000-0005-0000-0000-00002F020000}"/>
    <cellStyle name="Normal 4 2 8 2" xfId="1103" xr:uid="{41D99582-CA4A-4D18-9CF7-52EA07D246C2}"/>
    <cellStyle name="Normal 4 2 8 2 2" xfId="2590" xr:uid="{C0E76686-2985-4AFB-ACC7-54FCFFA0F9AF}"/>
    <cellStyle name="Normal 4 2 8 2 2 2" xfId="4968" xr:uid="{7737B0A0-C9ED-4986-82F9-3B7DAF419014}"/>
    <cellStyle name="Normal 4 2 8 2 3" xfId="1902" xr:uid="{5EF884E4-2278-4035-9FF5-A47CBAD11BB5}"/>
    <cellStyle name="Normal 4 2 8 2 3 2" xfId="4312" xr:uid="{95B610FB-620E-436A-9F89-9BA59BE2F62F}"/>
    <cellStyle name="Normal 4 2 8 2 4" xfId="3622" xr:uid="{CF7D0464-08BC-4526-96CB-A39CB25F2318}"/>
    <cellStyle name="Normal 4 2 8 3" xfId="2591" xr:uid="{60B45779-1DB4-4E5A-8332-710B0FF6BEE4}"/>
    <cellStyle name="Normal 4 2 8 3 2" xfId="4969" xr:uid="{4BAE826B-3EA5-4A31-A5F8-235494D9B888}"/>
    <cellStyle name="Normal 4 2 8 4" xfId="2120" xr:uid="{2482AF42-29D6-414C-B68E-B66368B995AD}"/>
    <cellStyle name="Normal 4 2 8 4 2" xfId="4526" xr:uid="{BC994BD0-878F-47CF-BBBB-953EA2400BCF}"/>
    <cellStyle name="Normal 4 2 8 5" xfId="1618" xr:uid="{5BEB0496-43E4-4328-9874-B916A0C00727}"/>
    <cellStyle name="Normal 4 2 8 5 2" xfId="4028" xr:uid="{FB062163-C108-4C91-BB65-7C97B9BBC9F3}"/>
    <cellStyle name="Normal 4 2 8 6" xfId="3046" xr:uid="{0EBC2BD6-7C9B-435F-BB96-CC945C4C1BF1}"/>
    <cellStyle name="Normal 4 2 8 7" xfId="3350" xr:uid="{2A00387C-AE40-472D-84D1-06B2F9224E73}"/>
    <cellStyle name="Normal 4 2 9" xfId="560" xr:uid="{00000000-0005-0000-0000-000030020000}"/>
    <cellStyle name="Normal 4 2 9 2" xfId="1104" xr:uid="{2D644BF2-BA54-4D79-9A1A-7F74F9D41AA0}"/>
    <cellStyle name="Normal 4 2 9 2 2" xfId="2592" xr:uid="{836CEF2B-2C94-407B-94C6-F3A832DF03FD}"/>
    <cellStyle name="Normal 4 2 9 2 2 2" xfId="4970" xr:uid="{8A20051F-0206-450B-8BE4-23B3FAAC5957}"/>
    <cellStyle name="Normal 4 2 9 2 3" xfId="3623" xr:uid="{53558B78-9EA6-41AC-A0B4-9DFC5CB3ACAE}"/>
    <cellStyle name="Normal 4 2 9 3" xfId="2121" xr:uid="{AA568DD3-F9F6-470E-9092-9D671CD4A882}"/>
    <cellStyle name="Normal 4 2 9 3 2" xfId="4527" xr:uid="{A5E4F3E0-5DFA-4110-937B-CE26E1C12D23}"/>
    <cellStyle name="Normal 4 2 9 4" xfId="1903" xr:uid="{5249791F-39B0-4AC3-AFBA-35E68FE2DF59}"/>
    <cellStyle name="Normal 4 2 9 4 2" xfId="4313" xr:uid="{64FE7DBA-C828-4388-AE08-2C8AA3BBDF29}"/>
    <cellStyle name="Normal 4 2 9 5" xfId="3047" xr:uid="{82AD2029-D0B0-44F5-B0D1-B32F5C7C0AA8}"/>
    <cellStyle name="Normal 4 2 9 6" xfId="3351" xr:uid="{F8DB5D75-BC1C-4F4E-A6D8-FBBDFA875A9C}"/>
    <cellStyle name="Normal 4 3" xfId="561" xr:uid="{00000000-0005-0000-0000-000031020000}"/>
    <cellStyle name="Normal 4 3 2" xfId="562" xr:uid="{00000000-0005-0000-0000-000032020000}"/>
    <cellStyle name="Normal 4 4" xfId="563" xr:uid="{00000000-0005-0000-0000-000033020000}"/>
    <cellStyle name="Normal 4 4 10" xfId="2593" xr:uid="{400F1C70-EF9E-4084-A2FA-40EDE3E64721}"/>
    <cellStyle name="Normal 4 4 10 2" xfId="4971" xr:uid="{CD90967D-B738-4D05-94D5-ACF35CC1DB1F}"/>
    <cellStyle name="Normal 4 4 11" xfId="2122" xr:uid="{355AC09F-4C1C-4CEE-862F-389116B55570}"/>
    <cellStyle name="Normal 4 4 11 2" xfId="4528" xr:uid="{83FAFE3F-5351-441F-9953-1B1079A735A5}"/>
    <cellStyle name="Normal 4 4 12" xfId="1488" xr:uid="{A081D693-E3B8-49BB-A661-585365AE6E03}"/>
    <cellStyle name="Normal 4 4 12 2" xfId="3898" xr:uid="{9FAC9E08-C730-4152-8A29-4BE5313CF811}"/>
    <cellStyle name="Normal 4 4 13" xfId="3048" xr:uid="{639E22B1-0F49-4573-82B8-96845DC5CB0A}"/>
    <cellStyle name="Normal 4 4 14" xfId="3352" xr:uid="{92A75795-A27C-4905-8F58-76BFC6E16EB0}"/>
    <cellStyle name="Normal 4 4 2" xfId="564" xr:uid="{00000000-0005-0000-0000-000034020000}"/>
    <cellStyle name="Normal 4 4 2 2" xfId="1106" xr:uid="{5F7BF4C4-4091-4684-B946-7FBB806B18B8}"/>
    <cellStyle name="Normal 4 4 2 2 2" xfId="1073" xr:uid="{06D8A7DC-6FEF-423E-9137-E11794CD978E}"/>
    <cellStyle name="Normal 4 4 2 2 2 2" xfId="1313" xr:uid="{9A441B58-CA45-48C7-A231-2398EF5E7847}"/>
    <cellStyle name="Normal 4 4 2 2 2 2 2" xfId="2596" xr:uid="{ED0D9D2E-7661-4810-966A-4434FFBB30B0}"/>
    <cellStyle name="Normal 4 4 2 2 2 2 2 2" xfId="4974" xr:uid="{F16ECA27-CD85-49FD-924A-1EACDC1148AA}"/>
    <cellStyle name="Normal 4 4 2 2 2 2 3" xfId="1907" xr:uid="{050C7AE2-8F8F-48B0-A4D7-40A91D8E39E1}"/>
    <cellStyle name="Normal 4 4 2 2 2 2 3 2" xfId="4317" xr:uid="{F87AEEF8-E293-46A9-AD90-F952BFB9D6D5}"/>
    <cellStyle name="Normal 4 4 2 2 2 2 4" xfId="3813" xr:uid="{F2384B74-89F7-48BA-AFF5-71661E4A42F9}"/>
    <cellStyle name="Normal 4 4 2 2 2 3" xfId="2597" xr:uid="{B437EB2C-D384-4182-9DEA-9C96D621BDC9}"/>
    <cellStyle name="Normal 4 4 2 2 2 3 2" xfId="4975" xr:uid="{C8D231B2-1091-4638-8474-1318C85F73E2}"/>
    <cellStyle name="Normal 4 4 2 2 2 4" xfId="2595" xr:uid="{11D7ECAA-5E3B-4026-9CA2-4279D28AE23C}"/>
    <cellStyle name="Normal 4 4 2 2 2 4 2" xfId="4973" xr:uid="{9B8ACCF8-3DBE-4417-8144-331F272BC2DD}"/>
    <cellStyle name="Normal 4 4 2 2 2 5" xfId="1711" xr:uid="{83AC3260-46B1-47E1-97F2-14BDEA25AA9B}"/>
    <cellStyle name="Normal 4 4 2 2 2 5 2" xfId="4121" xr:uid="{C3904AB1-44F2-42F4-9C3A-E831BFC166AA}"/>
    <cellStyle name="Normal 4 4 2 2 2 6" xfId="3592" xr:uid="{1AA15208-0026-4639-A01A-EC06395F3B8F}"/>
    <cellStyle name="Normal 4 4 2 2 3" xfId="1312" xr:uid="{214B96D3-3736-434B-8467-49803799BECD}"/>
    <cellStyle name="Normal 4 4 2 2 3 2" xfId="2598" xr:uid="{BA1E6FB5-4D25-4141-99C2-1D5771CF48B7}"/>
    <cellStyle name="Normal 4 4 2 2 3 2 2" xfId="4976" xr:uid="{34EA7536-29FD-431B-96E4-1FA2308D8D93}"/>
    <cellStyle name="Normal 4 4 2 2 3 3" xfId="1906" xr:uid="{16CBDD93-E4A0-4E62-8F99-EC40ECE25E16}"/>
    <cellStyle name="Normal 4 4 2 2 3 3 2" xfId="4316" xr:uid="{B74E81ED-C3E7-4CBB-ADEA-8B76E8F5E818}"/>
    <cellStyle name="Normal 4 4 2 2 3 4" xfId="3812" xr:uid="{15CE48D9-EF22-406B-9B9F-CF3DD58CE486}"/>
    <cellStyle name="Normal 4 4 2 2 4" xfId="2599" xr:uid="{800C183F-43A2-4E45-B135-D16254801CAA}"/>
    <cellStyle name="Normal 4 4 2 2 4 2" xfId="4977" xr:uid="{67241B76-2179-4DD6-98A8-84A4984F750A}"/>
    <cellStyle name="Normal 4 4 2 2 5" xfId="2594" xr:uid="{3E5A1B14-8DC2-42B0-BAEA-55FDA4CE69BA}"/>
    <cellStyle name="Normal 4 4 2 2 5 2" xfId="4972" xr:uid="{2E4C7025-A361-4811-B461-796782E9E919}"/>
    <cellStyle name="Normal 4 4 2 2 6" xfId="1608" xr:uid="{F848AF04-C84D-42FC-BB0A-D708103ECB95}"/>
    <cellStyle name="Normal 4 4 2 2 6 2" xfId="4018" xr:uid="{C651D010-97D7-4FE7-B634-93BF8045976F}"/>
    <cellStyle name="Normal 4 4 2 2 7" xfId="3625" xr:uid="{868A182E-7162-480D-A531-80847FB8703E}"/>
    <cellStyle name="Normal 4 4 2 3" xfId="943" xr:uid="{BF2A84B4-FAA0-42D3-9E59-DF8718D4BBC6}"/>
    <cellStyle name="Normal 4 4 2 3 2" xfId="1314" xr:uid="{D3B5D32B-7BFA-48AC-A02A-A24719360899}"/>
    <cellStyle name="Normal 4 4 2 3 2 2" xfId="2601" xr:uid="{1F533A9B-9329-46A7-8670-4BA3BC4DF6FA}"/>
    <cellStyle name="Normal 4 4 2 3 2 2 2" xfId="4979" xr:uid="{FCFA7967-9620-4E67-B375-0676EC44C19B}"/>
    <cellStyle name="Normal 4 4 2 3 2 3" xfId="1908" xr:uid="{F15EE181-9083-42A9-A069-F710965F0D8B}"/>
    <cellStyle name="Normal 4 4 2 3 2 3 2" xfId="4318" xr:uid="{78229D56-1429-45FF-9506-B79CBB21BAEE}"/>
    <cellStyle name="Normal 4 4 2 3 2 4" xfId="3814" xr:uid="{FFB3D3EC-EC31-48FC-82F7-4F6E72E6712E}"/>
    <cellStyle name="Normal 4 4 2 3 3" xfId="2602" xr:uid="{465B46E5-A00D-467B-967A-8723C1B99592}"/>
    <cellStyle name="Normal 4 4 2 3 3 2" xfId="4980" xr:uid="{DF204070-C25F-4E72-954D-40E01F5950DD}"/>
    <cellStyle name="Normal 4 4 2 3 4" xfId="2600" xr:uid="{850A73E3-BC0D-4557-B277-AD7251857948}"/>
    <cellStyle name="Normal 4 4 2 3 4 2" xfId="4978" xr:uid="{6D22377C-2738-4B1F-B129-DECAA6F80E15}"/>
    <cellStyle name="Normal 4 4 2 3 5" xfId="1651" xr:uid="{5BA0FE09-284E-4CA7-8F37-49820872B3AE}"/>
    <cellStyle name="Normal 4 4 2 3 5 2" xfId="4061" xr:uid="{BFAC124C-18F9-4424-99CF-D8438E4583BB}"/>
    <cellStyle name="Normal 4 4 2 3 6" xfId="3505" xr:uid="{6DC1999C-1432-4136-9DC6-ED07601BF63A}"/>
    <cellStyle name="Normal 4 4 2 4" xfId="1311" xr:uid="{616475B0-D9DE-4762-87BD-1F8471367EFA}"/>
    <cellStyle name="Normal 4 4 2 4 2" xfId="2603" xr:uid="{70DEE5D9-AEEE-48D1-8974-CADFCD9D6331}"/>
    <cellStyle name="Normal 4 4 2 4 2 2" xfId="4981" xr:uid="{A0C0C0A2-EEBC-4889-AD0A-67B8E776F029}"/>
    <cellStyle name="Normal 4 4 2 4 3" xfId="1905" xr:uid="{D137487A-FCAD-4E20-95E6-E13309F3C5D4}"/>
    <cellStyle name="Normal 4 4 2 4 3 2" xfId="4315" xr:uid="{F9A9D5C5-02C9-41D2-A222-0D3F4662E98A}"/>
    <cellStyle name="Normal 4 4 2 4 4" xfId="3811" xr:uid="{227D8C4F-2849-4549-AD3C-FE1D4C54FBB0}"/>
    <cellStyle name="Normal 4 4 2 5" xfId="2604" xr:uid="{90CD71C9-7E59-45C0-8F00-282575B34B93}"/>
    <cellStyle name="Normal 4 4 2 5 2" xfId="4982" xr:uid="{A0F31DEA-3C20-4EE1-A501-752857496484}"/>
    <cellStyle name="Normal 4 4 2 6" xfId="2123" xr:uid="{3D1A334B-6906-4A5B-8D0F-77E0B5CEE648}"/>
    <cellStyle name="Normal 4 4 2 6 2" xfId="4529" xr:uid="{362A6271-F0E7-4858-8503-C5E12BA04EE2}"/>
    <cellStyle name="Normal 4 4 2 7" xfId="1548" xr:uid="{8EBA8864-409A-467A-A1E4-35B5E2D0B6DA}"/>
    <cellStyle name="Normal 4 4 2 7 2" xfId="3958" xr:uid="{80C34E84-B339-4426-B1E3-4FFD0FEB0374}"/>
    <cellStyle name="Normal 4 4 2 8" xfId="3049" xr:uid="{C608726E-67EE-4F75-A5CB-FE03DC981290}"/>
    <cellStyle name="Normal 4 4 2 9" xfId="3353" xr:uid="{4AC359B2-A715-40E0-822B-0DF49629479D}"/>
    <cellStyle name="Normal 4 4 3" xfId="565" xr:uid="{00000000-0005-0000-0000-000035020000}"/>
    <cellStyle name="Normal 4 4 3 2" xfId="1107" xr:uid="{C87B0960-4B65-4AC7-924E-3363956684AC}"/>
    <cellStyle name="Normal 4 4 3 2 2" xfId="1316" xr:uid="{CBD0C0C9-AF86-439F-A1A4-D951A386BB20}"/>
    <cellStyle name="Normal 4 4 3 2 2 2" xfId="2606" xr:uid="{56B3DB30-2686-4D69-AD7B-B7B32DD1F092}"/>
    <cellStyle name="Normal 4 4 3 2 2 2 2" xfId="4984" xr:uid="{2AA0BBDE-6AA6-4065-9C45-A0FE5EE84A78}"/>
    <cellStyle name="Normal 4 4 3 2 2 3" xfId="1910" xr:uid="{4E1C4BD8-3B01-4353-B749-3560674C25EF}"/>
    <cellStyle name="Normal 4 4 3 2 2 3 2" xfId="4320" xr:uid="{F138C207-0780-460E-A5A7-E2C1158CE9EE}"/>
    <cellStyle name="Normal 4 4 3 2 2 4" xfId="3816" xr:uid="{0A01B213-0B1A-402D-9048-BCD57FA4B6F2}"/>
    <cellStyle name="Normal 4 4 3 2 3" xfId="2607" xr:uid="{36145433-A667-4971-B3A4-0CD8F9C11F07}"/>
    <cellStyle name="Normal 4 4 3 2 3 2" xfId="4985" xr:uid="{27BB7D0A-09EB-472D-A4A4-0BE5650E93BA}"/>
    <cellStyle name="Normal 4 4 3 2 4" xfId="2605" xr:uid="{1F8F0194-5E1F-4C35-BE5C-20FB5ECC842F}"/>
    <cellStyle name="Normal 4 4 3 2 4 2" xfId="4983" xr:uid="{405FA618-32CA-454C-8180-CB4253634991}"/>
    <cellStyle name="Normal 4 4 3 2 5" xfId="1585" xr:uid="{5FA0FDC7-325B-4A8B-9C03-2F4314F8C3C2}"/>
    <cellStyle name="Normal 4 4 3 2 5 2" xfId="3995" xr:uid="{1278332B-CC06-4768-8A18-8DEC373AEEEC}"/>
    <cellStyle name="Normal 4 4 3 2 6" xfId="3626" xr:uid="{3548EF81-DEDE-4AAF-858E-83E95BB3C3D7}"/>
    <cellStyle name="Normal 4 4 3 3" xfId="1004" xr:uid="{02CDF41C-D7AF-459B-BEC2-5C0186F975CB}"/>
    <cellStyle name="Normal 4 4 3 3 2" xfId="1317" xr:uid="{BAC3B7DA-2D2D-448A-8F60-68991D5A62ED}"/>
    <cellStyle name="Normal 4 4 3 3 2 2" xfId="2609" xr:uid="{C19F12F9-7E9F-4A5A-AD45-A62FE6174E25}"/>
    <cellStyle name="Normal 4 4 3 3 2 2 2" xfId="4987" xr:uid="{916F2979-0B96-43A3-9F25-66020E6940D6}"/>
    <cellStyle name="Normal 4 4 3 3 2 3" xfId="1911" xr:uid="{4929C251-BE64-430F-B9D8-F0CB2AB68BC9}"/>
    <cellStyle name="Normal 4 4 3 3 2 3 2" xfId="4321" xr:uid="{FEA81BDD-37CD-4947-8A47-C34A101EC076}"/>
    <cellStyle name="Normal 4 4 3 3 2 4" xfId="3817" xr:uid="{04517D8D-E9DE-4F72-B4B4-65A5C5124C56}"/>
    <cellStyle name="Normal 4 4 3 3 3" xfId="2610" xr:uid="{C16128AF-4D19-42CD-B6F8-8CC8B59BB7EF}"/>
    <cellStyle name="Normal 4 4 3 3 3 2" xfId="4988" xr:uid="{A5BAAA9C-E5E5-477D-BDDF-91EFF0622311}"/>
    <cellStyle name="Normal 4 4 3 3 4" xfId="2608" xr:uid="{E71FAB21-533B-42FA-91C1-0BBC90A9AAFB}"/>
    <cellStyle name="Normal 4 4 3 3 4 2" xfId="4986" xr:uid="{F2C1953B-64C2-400A-8721-C16683738880}"/>
    <cellStyle name="Normal 4 4 3 3 5" xfId="1688" xr:uid="{7DA3C1D0-FDE8-4B09-87EC-1868AF1403D1}"/>
    <cellStyle name="Normal 4 4 3 3 5 2" xfId="4098" xr:uid="{1BEF575A-C742-45E9-9562-3B3BC1FFB0CB}"/>
    <cellStyle name="Normal 4 4 3 3 6" xfId="3524" xr:uid="{680C0C00-5784-4B1E-8177-45A43E863BA6}"/>
    <cellStyle name="Normal 4 4 3 4" xfId="1315" xr:uid="{0A7CC651-16DA-4BED-82E0-FAAED6274A9E}"/>
    <cellStyle name="Normal 4 4 3 4 2" xfId="2611" xr:uid="{4C0CD819-68A6-471E-85AC-E5FCFD399CA5}"/>
    <cellStyle name="Normal 4 4 3 4 2 2" xfId="4989" xr:uid="{2278C03F-6C1B-4E9F-A9C3-59D368FBC3FA}"/>
    <cellStyle name="Normal 4 4 3 4 3" xfId="1909" xr:uid="{BBDB6994-4320-4923-AA1A-6EB2AA1EB5BB}"/>
    <cellStyle name="Normal 4 4 3 4 3 2" xfId="4319" xr:uid="{FECEB068-65BD-4D9E-A4A8-A11C919C9A07}"/>
    <cellStyle name="Normal 4 4 3 4 4" xfId="3815" xr:uid="{C6D72D62-5199-4860-90F2-7E61142C6921}"/>
    <cellStyle name="Normal 4 4 3 5" xfId="2612" xr:uid="{6E67390A-59A8-4EB0-943B-017749B9C28E}"/>
    <cellStyle name="Normal 4 4 3 5 2" xfId="4990" xr:uid="{C34B7374-E695-4788-A391-DE29BA8E99E3}"/>
    <cellStyle name="Normal 4 4 3 6" xfId="2124" xr:uid="{6FB38C2C-E3DA-432D-BD39-1A295A690A35}"/>
    <cellStyle name="Normal 4 4 3 6 2" xfId="4530" xr:uid="{B1712810-CC68-4333-959B-A85176DD5EDA}"/>
    <cellStyle name="Normal 4 4 3 7" xfId="1525" xr:uid="{8F6DFC6B-A839-43B0-A2BF-A07BE934701B}"/>
    <cellStyle name="Normal 4 4 3 7 2" xfId="3935" xr:uid="{A0B4F619-15C7-492E-BD80-80A7270143D8}"/>
    <cellStyle name="Normal 4 4 3 8" xfId="3050" xr:uid="{AB9CC267-F0F6-47B4-9C5E-39F15878058B}"/>
    <cellStyle name="Normal 4 4 3 9" xfId="3354" xr:uid="{E9F25CB2-9B54-4878-A0DC-7C87BD85ED97}"/>
    <cellStyle name="Normal 4 4 4" xfId="566" xr:uid="{00000000-0005-0000-0000-000036020000}"/>
    <cellStyle name="Normal 4 4 4 2" xfId="1108" xr:uid="{A0E784D6-C856-49CD-9564-405239DE71FC}"/>
    <cellStyle name="Normal 4 4 4 2 2" xfId="1319" xr:uid="{22C46324-DBCD-4693-AAF0-4ACD88A7D498}"/>
    <cellStyle name="Normal 4 4 4 2 2 2" xfId="2614" xr:uid="{DEA962DA-1A35-4C70-A9F7-C63AF1A22394}"/>
    <cellStyle name="Normal 4 4 4 2 2 2 2" xfId="4992" xr:uid="{27992549-C86A-48D1-9B1B-B57B71F98491}"/>
    <cellStyle name="Normal 4 4 4 2 2 3" xfId="1913" xr:uid="{C2282570-0B93-47F5-9A80-78D31DCE9577}"/>
    <cellStyle name="Normal 4 4 4 2 2 3 2" xfId="4323" xr:uid="{573A8654-E5BC-4A99-80F8-1660DEDA6769}"/>
    <cellStyle name="Normal 4 4 4 2 2 4" xfId="3819" xr:uid="{008439DB-C917-46F0-BF13-B548B00EB0DE}"/>
    <cellStyle name="Normal 4 4 4 2 3" xfId="2615" xr:uid="{705E57BB-D6B0-4B5A-A25E-25AF20133CEC}"/>
    <cellStyle name="Normal 4 4 4 2 3 2" xfId="4993" xr:uid="{892FEA1A-9D48-4D99-9324-9FC9B01A12A2}"/>
    <cellStyle name="Normal 4 4 4 2 4" xfId="2613" xr:uid="{024D0CB3-07ED-41E8-9546-E4B2876D3ADC}"/>
    <cellStyle name="Normal 4 4 4 2 4 2" xfId="4991" xr:uid="{926E1B86-FD4B-4F61-9AAF-ADB6805EB92C}"/>
    <cellStyle name="Normal 4 4 4 2 5" xfId="1668" xr:uid="{366BEC82-767A-452F-9EF4-93ECF47BAB37}"/>
    <cellStyle name="Normal 4 4 4 2 5 2" xfId="4078" xr:uid="{0F910007-BBFB-4686-BBFE-A05C7AC8DDF2}"/>
    <cellStyle name="Normal 4 4 4 2 6" xfId="3627" xr:uid="{EC0F3A8C-C87E-4306-9249-E5CF6BFE0301}"/>
    <cellStyle name="Normal 4 4 4 3" xfId="1318" xr:uid="{50289EE1-2A5D-4FD2-820B-93C71A88176F}"/>
    <cellStyle name="Normal 4 4 4 3 2" xfId="2616" xr:uid="{F224A1FA-FEE6-46C1-AFDD-F608FB5C1935}"/>
    <cellStyle name="Normal 4 4 4 3 2 2" xfId="4994" xr:uid="{68B08A24-B7B9-4BC1-BAB9-EBF87FA5904E}"/>
    <cellStyle name="Normal 4 4 4 3 3" xfId="1912" xr:uid="{9751E2F7-1C02-4C7D-A80B-5D98B5829C02}"/>
    <cellStyle name="Normal 4 4 4 3 3 2" xfId="4322" xr:uid="{FBDD7864-677C-40C0-9D85-847E2D99BFDB}"/>
    <cellStyle name="Normal 4 4 4 3 4" xfId="3818" xr:uid="{27155C41-2BCB-4EFB-AECD-8223E1E57727}"/>
    <cellStyle name="Normal 4 4 4 4" xfId="2617" xr:uid="{BBD4FD78-A941-40BF-AA85-7F334DE7C85A}"/>
    <cellStyle name="Normal 4 4 4 4 2" xfId="4995" xr:uid="{7DBFECF4-F417-4F13-BE59-02F88D1674C9}"/>
    <cellStyle name="Normal 4 4 4 5" xfId="2125" xr:uid="{675224AB-100A-4AD5-A82B-C4DD2F21BE6D}"/>
    <cellStyle name="Normal 4 4 4 5 2" xfId="4531" xr:uid="{006AFE1C-E0FB-47C0-A08D-D2C2D55CF6A8}"/>
    <cellStyle name="Normal 4 4 4 6" xfId="1505" xr:uid="{3A65568B-2EC3-4E28-8FF4-1FEE6434E83D}"/>
    <cellStyle name="Normal 4 4 4 6 2" xfId="3915" xr:uid="{487DA6BD-A126-4EAA-BF63-88227397CAE9}"/>
    <cellStyle name="Normal 4 4 4 7" xfId="3051" xr:uid="{594BD4B6-8896-43A3-8041-9095CFDBE4E0}"/>
    <cellStyle name="Normal 4 4 4 8" xfId="3355" xr:uid="{FC62F94D-A8FC-4991-A1C9-21CD600775EF}"/>
    <cellStyle name="Normal 4 4 5" xfId="567" xr:uid="{00000000-0005-0000-0000-000037020000}"/>
    <cellStyle name="Normal 4 4 5 2" xfId="1109" xr:uid="{FE0C122F-0E98-4DE4-8904-92FDEE422200}"/>
    <cellStyle name="Normal 4 4 5 2 2" xfId="2618" xr:uid="{96DB3E8F-AB28-42EB-A330-32963139F350}"/>
    <cellStyle name="Normal 4 4 5 2 2 2" xfId="4996" xr:uid="{F4C62C75-94E7-4750-B57C-6915DA57D54C}"/>
    <cellStyle name="Normal 4 4 5 2 3" xfId="1914" xr:uid="{0F13F00A-1C13-4DBF-8CBB-4D3A017A32B3}"/>
    <cellStyle name="Normal 4 4 5 2 3 2" xfId="4324" xr:uid="{49006555-588D-4B25-9F44-54DEF5AA3FA0}"/>
    <cellStyle name="Normal 4 4 5 2 4" xfId="3628" xr:uid="{0EF76527-D03E-4DFE-BB78-ABC6ECBD63D7}"/>
    <cellStyle name="Normal 4 4 5 3" xfId="2619" xr:uid="{2CDFFCD3-A4F9-410A-A979-D9F62529EFFA}"/>
    <cellStyle name="Normal 4 4 5 3 2" xfId="4997" xr:uid="{79D70595-7DAC-4E17-A258-EE765500B39B}"/>
    <cellStyle name="Normal 4 4 5 4" xfId="2126" xr:uid="{AC80C8F9-153A-4E9E-AFFA-EB3B55C7FC45}"/>
    <cellStyle name="Normal 4 4 5 4 2" xfId="4532" xr:uid="{9E5594DC-E141-411B-B8B3-D7AF6E5A7D31}"/>
    <cellStyle name="Normal 4 4 5 5" xfId="1565" xr:uid="{38A8D7AC-6601-41F5-B4EF-E9C27C406039}"/>
    <cellStyle name="Normal 4 4 5 5 2" xfId="3975" xr:uid="{EB7B9D4C-E083-48A8-B995-797EDA53E583}"/>
    <cellStyle name="Normal 4 4 5 6" xfId="3052" xr:uid="{55F49DDB-B464-427A-9603-BF82698A6A60}"/>
    <cellStyle name="Normal 4 4 5 7" xfId="3356" xr:uid="{3898986E-232F-4CA4-97B5-293814CCA625}"/>
    <cellStyle name="Normal 4 4 6" xfId="568" xr:uid="{00000000-0005-0000-0000-000038020000}"/>
    <cellStyle name="Normal 4 4 6 2" xfId="1110" xr:uid="{3A06BD77-723A-422C-A30F-A47A5ED46676}"/>
    <cellStyle name="Normal 4 4 6 2 2" xfId="2620" xr:uid="{D8849BFC-A860-4D53-B4E7-12B8AE4EE626}"/>
    <cellStyle name="Normal 4 4 6 2 2 2" xfId="4998" xr:uid="{89DAEA6E-7022-4658-A903-C41CB8AFC145}"/>
    <cellStyle name="Normal 4 4 6 2 3" xfId="1915" xr:uid="{F4346A19-FD5E-40BB-B792-697DB4DEEC03}"/>
    <cellStyle name="Normal 4 4 6 2 3 2" xfId="4325" xr:uid="{ABBE1B02-99CE-4E20-99B0-B1B9589B5FB6}"/>
    <cellStyle name="Normal 4 4 6 2 4" xfId="3629" xr:uid="{0330B26E-8F9E-4F15-81D3-17F65548164A}"/>
    <cellStyle name="Normal 4 4 6 3" xfId="2621" xr:uid="{101C280B-D511-45AD-9782-C68052846C8B}"/>
    <cellStyle name="Normal 4 4 6 3 2" xfId="4999" xr:uid="{84F43B36-B931-492A-B98A-5A29C92DAF7C}"/>
    <cellStyle name="Normal 4 4 6 4" xfId="2127" xr:uid="{157068F5-0D04-4386-8083-84865409D62F}"/>
    <cellStyle name="Normal 4 4 6 4 2" xfId="4533" xr:uid="{4EFAFD26-0022-4F0F-B0C4-1C57EE660FE7}"/>
    <cellStyle name="Normal 4 4 6 5" xfId="1628" xr:uid="{E9751676-3D39-41C8-8BF9-48A262CCFD5E}"/>
    <cellStyle name="Normal 4 4 6 5 2" xfId="4038" xr:uid="{409BB5C2-B9C0-4B40-937A-426710BAE370}"/>
    <cellStyle name="Normal 4 4 6 6" xfId="3053" xr:uid="{A0A83929-95E3-4867-84B2-296E28C1394D}"/>
    <cellStyle name="Normal 4 4 6 7" xfId="3357" xr:uid="{D8890F9E-8563-4EE0-A3EB-063B6B326C8F}"/>
    <cellStyle name="Normal 4 4 7" xfId="569" xr:uid="{00000000-0005-0000-0000-000039020000}"/>
    <cellStyle name="Normal 4 4 7 2" xfId="1111" xr:uid="{118C21CC-22DB-4766-9F70-B241E76E0A30}"/>
    <cellStyle name="Normal 4 4 7 2 2" xfId="2128" xr:uid="{133B008F-4782-4D45-BEA7-DC777872BA97}"/>
    <cellStyle name="Normal 4 4 7 2 2 2" xfId="4534" xr:uid="{9D94D17C-95D8-4332-97AD-96C78A2583D1}"/>
    <cellStyle name="Normal 4 4 7 2 3" xfId="3630" xr:uid="{4B815E28-F891-4435-98F2-C1A7474958E5}"/>
    <cellStyle name="Normal 4 4 7 3" xfId="1916" xr:uid="{A569DA7E-A2A8-4D60-9339-F03D12AA7337}"/>
    <cellStyle name="Normal 4 4 7 3 2" xfId="4326" xr:uid="{EAE3BE3E-F203-45C4-91A3-1686E8BB7DF7}"/>
    <cellStyle name="Normal 4 4 7 4" xfId="3054" xr:uid="{98F60866-E499-4B79-9E27-734DFCD9D789}"/>
    <cellStyle name="Normal 4 4 7 5" xfId="3358" xr:uid="{2B97CA29-60AA-4D85-8D2D-D1D78A0DDD4A}"/>
    <cellStyle name="Normal 4 4 8" xfId="570" xr:uid="{00000000-0005-0000-0000-00003A020000}"/>
    <cellStyle name="Normal 4 4 8 2" xfId="1112" xr:uid="{F31C8B4C-3B8E-4574-A0EE-F8E138589116}"/>
    <cellStyle name="Normal 4 4 8 2 2" xfId="2129" xr:uid="{550BA0D1-DD1D-4838-9307-8E467F938E0D}"/>
    <cellStyle name="Normal 4 4 8 2 2 2" xfId="4535" xr:uid="{02E8885B-8C1F-45BB-8D28-CE8CD1CCAC62}"/>
    <cellStyle name="Normal 4 4 8 2 3" xfId="3631" xr:uid="{14E9B6B7-621D-414E-BBC0-D78BF53D2FA7}"/>
    <cellStyle name="Normal 4 4 8 3" xfId="1917" xr:uid="{2A234E49-3E15-4A03-8FA4-9945F25885A1}"/>
    <cellStyle name="Normal 4 4 8 3 2" xfId="4327" xr:uid="{C64EBAE3-239E-4EDC-A86C-D28701DFAC42}"/>
    <cellStyle name="Normal 4 4 8 4" xfId="3055" xr:uid="{C62AAD26-0673-4122-BEBF-541203EBE12C}"/>
    <cellStyle name="Normal 4 4 8 5" xfId="3359" xr:uid="{14CDD4D4-5E7E-423E-985A-7718EBF15852}"/>
    <cellStyle name="Normal 4 4 9" xfId="1105" xr:uid="{F6C0A83B-1AD8-42EC-A114-46C1AEDA4657}"/>
    <cellStyle name="Normal 4 4 9 2" xfId="2622" xr:uid="{1E26208A-4A16-4BC3-9C4B-3DA14C33A044}"/>
    <cellStyle name="Normal 4 4 9 2 2" xfId="5000" xr:uid="{BB46731C-E6C1-4215-9A22-E9EC9D175247}"/>
    <cellStyle name="Normal 4 4 9 3" xfId="1904" xr:uid="{2FF925EA-7D00-4B2F-BCCC-DA9275FF2132}"/>
    <cellStyle name="Normal 4 4 9 3 2" xfId="4314" xr:uid="{391E44E0-C2B1-4E6B-8880-4753A21FADFB}"/>
    <cellStyle name="Normal 4 4 9 4" xfId="3624" xr:uid="{B019890A-712C-44DE-9102-DA8329334412}"/>
    <cellStyle name="Normal 4 5" xfId="571" xr:uid="{00000000-0005-0000-0000-00003B020000}"/>
    <cellStyle name="Normal 4 5 2" xfId="572" xr:uid="{00000000-0005-0000-0000-00003C020000}"/>
    <cellStyle name="Normal 4 5 2 2" xfId="1114" xr:uid="{FC477441-CFFF-4F73-BEDD-4473906AE8FC}"/>
    <cellStyle name="Normal 4 5 2 2 2" xfId="1323" xr:uid="{25BF8158-C9E7-4BFA-BA07-FCE6EB8F996A}"/>
    <cellStyle name="Normal 4 5 2 2 2 2" xfId="2624" xr:uid="{2C51AC5F-792C-401A-AB9E-63105573A958}"/>
    <cellStyle name="Normal 4 5 2 2 2 2 2" xfId="5002" xr:uid="{5218486F-9084-4430-A194-7588FB0D9889}"/>
    <cellStyle name="Normal 4 5 2 2 2 3" xfId="1920" xr:uid="{CE61C855-1A8A-4D38-9773-DAA82FAA56D1}"/>
    <cellStyle name="Normal 4 5 2 2 2 3 2" xfId="4330" xr:uid="{60F0AC74-7120-4577-B0EB-BE5B8DEE56A0}"/>
    <cellStyle name="Normal 4 5 2 2 2 4" xfId="3822" xr:uid="{A2E1CF87-FDF4-4049-A81B-F52A7B1C83D4}"/>
    <cellStyle name="Normal 4 5 2 2 3" xfId="2625" xr:uid="{B75755B5-E68C-4BDD-B4F5-3EBF56BB7686}"/>
    <cellStyle name="Normal 4 5 2 2 3 2" xfId="5003" xr:uid="{A737BE9B-6BE4-41C4-B825-91012F117EF0}"/>
    <cellStyle name="Normal 4 5 2 2 4" xfId="2623" xr:uid="{453519A0-8B90-4EA5-B899-6E867CDB2ADF}"/>
    <cellStyle name="Normal 4 5 2 2 4 2" xfId="5001" xr:uid="{ED33547C-3B68-4B72-9BAE-FC362D5BFF92}"/>
    <cellStyle name="Normal 4 5 2 2 5" xfId="1697" xr:uid="{EE8231BE-BC90-44F7-930F-0505E09D956C}"/>
    <cellStyle name="Normal 4 5 2 2 5 2" xfId="4107" xr:uid="{96460F48-C742-40DC-894F-9005EBC05AA1}"/>
    <cellStyle name="Normal 4 5 2 2 6" xfId="3633" xr:uid="{9CEF0561-335F-4336-AEBF-F8F487A3CF49}"/>
    <cellStyle name="Normal 4 5 2 3" xfId="1322" xr:uid="{F4973732-10D2-46A0-BF9B-27800D2C08C3}"/>
    <cellStyle name="Normal 4 5 2 3 2" xfId="2626" xr:uid="{34FBA37E-67D8-43E8-96C9-37E796DAC00B}"/>
    <cellStyle name="Normal 4 5 2 3 2 2" xfId="5004" xr:uid="{B1B970F7-81B0-42A7-AEA9-29FBF9235619}"/>
    <cellStyle name="Normal 4 5 2 3 3" xfId="1919" xr:uid="{6C51E493-8183-4BB7-A634-FE367551D4B8}"/>
    <cellStyle name="Normal 4 5 2 3 3 2" xfId="4329" xr:uid="{8D07839F-A7DE-43B8-B8FD-A007979FEBF6}"/>
    <cellStyle name="Normal 4 5 2 3 4" xfId="3821" xr:uid="{AC1BC569-11F2-4915-8876-98EDAE0CA900}"/>
    <cellStyle name="Normal 4 5 2 4" xfId="2627" xr:uid="{C2690A91-F1F6-488D-8E4F-87120603BBA0}"/>
    <cellStyle name="Normal 4 5 2 4 2" xfId="5005" xr:uid="{4B54A8C8-F074-433B-81CB-D994D698F5A2}"/>
    <cellStyle name="Normal 4 5 2 5" xfId="2131" xr:uid="{5A545250-AB4B-4B8D-9B9E-D861DF57639F}"/>
    <cellStyle name="Normal 4 5 2 5 2" xfId="4537" xr:uid="{02DA841E-50E9-40C5-9E0A-FBD29B636FF7}"/>
    <cellStyle name="Normal 4 5 2 6" xfId="1594" xr:uid="{824E96EE-65F9-4E39-AB4C-95AD9F6B59E9}"/>
    <cellStyle name="Normal 4 5 2 6 2" xfId="4004" xr:uid="{3762681F-3DD4-45AB-AD5F-0D25A1951F7E}"/>
    <cellStyle name="Normal 4 5 2 7" xfId="3057" xr:uid="{F2AD5F32-8B48-48FE-90D2-4D2508E65DD7}"/>
    <cellStyle name="Normal 4 5 2 8" xfId="3361" xr:uid="{DB38CAD6-A28B-46DD-AF87-152127753C83}"/>
    <cellStyle name="Normal 4 5 3" xfId="1113" xr:uid="{DEB0E5D2-3713-44C7-B145-C41B276A7667}"/>
    <cellStyle name="Normal 4 5 3 2" xfId="1324" xr:uid="{1075FA2B-00FB-4931-A45E-130E76DA0B49}"/>
    <cellStyle name="Normal 4 5 3 2 2" xfId="2629" xr:uid="{7F786C35-B503-4F45-8CC2-40C225B3E820}"/>
    <cellStyle name="Normal 4 5 3 2 2 2" xfId="5007" xr:uid="{F354AD4E-627D-4378-9CA3-6FDA88F6BF44}"/>
    <cellStyle name="Normal 4 5 3 2 3" xfId="1921" xr:uid="{10969B5E-39CF-47DE-ACF3-D8B8F6B32EE9}"/>
    <cellStyle name="Normal 4 5 3 2 3 2" xfId="4331" xr:uid="{962A988E-3618-4425-8A87-9219710DADBD}"/>
    <cellStyle name="Normal 4 5 3 2 4" xfId="3823" xr:uid="{A5ADEF7B-2C2B-4A0A-948C-C1970CF12428}"/>
    <cellStyle name="Normal 4 5 3 3" xfId="2630" xr:uid="{AC04C4C1-9F1B-45FD-8379-653A838863AF}"/>
    <cellStyle name="Normal 4 5 3 3 2" xfId="5008" xr:uid="{58A18CAE-F2F9-4A84-9F3D-39051CBE220E}"/>
    <cellStyle name="Normal 4 5 3 4" xfId="2628" xr:uid="{19C62BDA-56CC-4981-9920-7849124009D6}"/>
    <cellStyle name="Normal 4 5 3 4 2" xfId="5006" xr:uid="{0877DF87-693A-42C5-B571-2526F25BBA55}"/>
    <cellStyle name="Normal 4 5 3 5" xfId="1637" xr:uid="{7042A0D2-9404-4948-AF05-A08C4360C214}"/>
    <cellStyle name="Normal 4 5 3 5 2" xfId="4047" xr:uid="{15E0A54A-2A14-4C41-B33D-92A8E03F018C}"/>
    <cellStyle name="Normal 4 5 3 6" xfId="3632" xr:uid="{2ECFF9E6-FB4D-4E8C-8B5E-EDC334B3C3B7}"/>
    <cellStyle name="Normal 4 5 4" xfId="1321" xr:uid="{125854CF-4136-47B2-8C1C-490F1A6701BF}"/>
    <cellStyle name="Normal 4 5 4 2" xfId="2631" xr:uid="{475763AF-7D22-4391-AC6F-57523712489F}"/>
    <cellStyle name="Normal 4 5 4 2 2" xfId="5009" xr:uid="{E132C35E-098D-4C6D-A71B-6219F97A0C35}"/>
    <cellStyle name="Normal 4 5 4 3" xfId="1918" xr:uid="{FB280AFC-3123-4D2F-86C9-6F0CA71004EB}"/>
    <cellStyle name="Normal 4 5 4 3 2" xfId="4328" xr:uid="{7DB258C3-84DC-4FF7-AF62-415247B63705}"/>
    <cellStyle name="Normal 4 5 4 4" xfId="3820" xr:uid="{7A20C243-443C-4BC6-B7A8-25AD91C44CB1}"/>
    <cellStyle name="Normal 4 5 5" xfId="2632" xr:uid="{6A69EA74-D238-49FC-8A99-0B7E8DC5A8E1}"/>
    <cellStyle name="Normal 4 5 5 2" xfId="5010" xr:uid="{55863B9E-70B4-4D10-A43F-E067BA2A7E2D}"/>
    <cellStyle name="Normal 4 5 6" xfId="2130" xr:uid="{E2957BC2-2C11-415B-A21B-AE7273FCF779}"/>
    <cellStyle name="Normal 4 5 6 2" xfId="4536" xr:uid="{713EAD2E-0316-4981-9962-B95B169138CE}"/>
    <cellStyle name="Normal 4 5 7" xfId="1534" xr:uid="{EA0AF104-ACA3-4396-9B07-17D68321C8BD}"/>
    <cellStyle name="Normal 4 5 7 2" xfId="3944" xr:uid="{DA81C515-FF83-439C-89E1-C6BC8C221A61}"/>
    <cellStyle name="Normal 4 5 8" xfId="3056" xr:uid="{B7A23B5D-B3EF-4D8B-B2B1-982FE7DB1621}"/>
    <cellStyle name="Normal 4 5 9" xfId="3360" xr:uid="{60545C76-ED0B-4868-90C8-E898E915DB42}"/>
    <cellStyle name="Normal 4 6" xfId="573" xr:uid="{00000000-0005-0000-0000-00003D020000}"/>
    <cellStyle name="Normal 4 6 2" xfId="1115" xr:uid="{42C82381-9709-40F8-8E88-F2179799EC18}"/>
    <cellStyle name="Normal 4 6 2 2" xfId="1066" xr:uid="{4BC4DBEA-973E-4745-96C1-816C748E4298}"/>
    <cellStyle name="Normal 4 6 2 2 2" xfId="1327" xr:uid="{F6E558C3-88DE-4EAC-A2CE-3691AF82CDBB}"/>
    <cellStyle name="Normal 4 6 2 2 2 2" xfId="2635" xr:uid="{F6E81258-4CBE-455B-AB30-368CB6E227DC}"/>
    <cellStyle name="Normal 4 6 2 2 2 2 2" xfId="5013" xr:uid="{0A65FAC7-2DA2-4E41-8414-FDEC61B64EBD}"/>
    <cellStyle name="Normal 4 6 2 2 2 3" xfId="1924" xr:uid="{664CCC01-4047-4515-B289-632AED809693}"/>
    <cellStyle name="Normal 4 6 2 2 2 3 2" xfId="4334" xr:uid="{741B5639-D3DA-4375-8A9C-F93697119071}"/>
    <cellStyle name="Normal 4 6 2 2 2 4" xfId="3826" xr:uid="{A256571A-9833-47DF-A6E6-DD8A4D74BD2F}"/>
    <cellStyle name="Normal 4 6 2 2 3" xfId="2636" xr:uid="{513F589B-6D19-4583-A733-F52EC20FA9A9}"/>
    <cellStyle name="Normal 4 6 2 2 3 2" xfId="5014" xr:uid="{3D698DE5-A2AF-45CF-B37E-CD5D47BBB8D2}"/>
    <cellStyle name="Normal 4 6 2 2 4" xfId="2634" xr:uid="{E68FC433-BC73-4559-A3BA-C60E98B5D488}"/>
    <cellStyle name="Normal 4 6 2 2 4 2" xfId="5012" xr:uid="{043690F7-E570-4D59-B616-6E03829ACD77}"/>
    <cellStyle name="Normal 4 6 2 2 5" xfId="1703" xr:uid="{39205ACC-9E6C-41B0-A73C-06D2F0696A01}"/>
    <cellStyle name="Normal 4 6 2 2 5 2" xfId="4113" xr:uid="{78376471-B8E4-4285-8812-C308027364D6}"/>
    <cellStyle name="Normal 4 6 2 2 6" xfId="3586" xr:uid="{D156BFDC-F5D2-4AB7-9798-82B6D3DE4FD1}"/>
    <cellStyle name="Normal 4 6 2 3" xfId="1326" xr:uid="{B0A2A290-956B-4AA4-AD11-679238C3041D}"/>
    <cellStyle name="Normal 4 6 2 3 2" xfId="2637" xr:uid="{B7FD8B01-4EEB-446C-A7AC-5B429818D872}"/>
    <cellStyle name="Normal 4 6 2 3 2 2" xfId="5015" xr:uid="{053652D7-EC41-4CEB-A7DC-8505BEA4BD54}"/>
    <cellStyle name="Normal 4 6 2 3 3" xfId="1923" xr:uid="{914B8EB3-7E41-4070-A8BC-D6107C4AF334}"/>
    <cellStyle name="Normal 4 6 2 3 3 2" xfId="4333" xr:uid="{2C5F803D-CCED-45CD-9116-102166D421CE}"/>
    <cellStyle name="Normal 4 6 2 3 4" xfId="3825" xr:uid="{7D4DE4D9-260F-4161-A3E7-BB546D4B240F}"/>
    <cellStyle name="Normal 4 6 2 4" xfId="2638" xr:uid="{3F583CEB-7294-4B76-8505-8F28A4D7F5DE}"/>
    <cellStyle name="Normal 4 6 2 4 2" xfId="5016" xr:uid="{F218050B-77C4-4AC7-8AE4-D7715F9640EB}"/>
    <cellStyle name="Normal 4 6 2 5" xfId="2633" xr:uid="{8EBC0A9B-A8E1-4F98-B3C4-565B7ADA3FFF}"/>
    <cellStyle name="Normal 4 6 2 5 2" xfId="5011" xr:uid="{D629ADAB-E454-4D39-A3FC-9C2297EDD439}"/>
    <cellStyle name="Normal 4 6 2 6" xfId="1600" xr:uid="{CDFBF168-2CE1-4F7C-9F17-8FC24CC0460C}"/>
    <cellStyle name="Normal 4 6 2 6 2" xfId="4010" xr:uid="{16F84E33-86AE-4870-9EA1-6F1C2B7DB3E0}"/>
    <cellStyle name="Normal 4 6 2 7" xfId="3634" xr:uid="{2D48DC7A-22AD-48D0-AC17-C6B16D099932}"/>
    <cellStyle name="Normal 4 6 3" xfId="937" xr:uid="{24610C29-1E8B-45C2-96E2-65C49712FD93}"/>
    <cellStyle name="Normal 4 6 3 2" xfId="1328" xr:uid="{1D706DC8-C29E-4318-A271-08E079FD72E3}"/>
    <cellStyle name="Normal 4 6 3 2 2" xfId="2640" xr:uid="{7D635948-FDF9-4556-8BF9-AEAF45C9490D}"/>
    <cellStyle name="Normal 4 6 3 2 2 2" xfId="5018" xr:uid="{DC10608E-1746-4ABF-9934-317F4AFF4015}"/>
    <cellStyle name="Normal 4 6 3 2 3" xfId="1925" xr:uid="{3D7A0725-FC18-43AF-8BB4-BE7884A495D3}"/>
    <cellStyle name="Normal 4 6 3 2 3 2" xfId="4335" xr:uid="{72A6059B-D225-42B2-8EA0-F12EB2A3209F}"/>
    <cellStyle name="Normal 4 6 3 2 4" xfId="3827" xr:uid="{5AA2BC90-C5F6-4AB4-921E-AC953D3E2071}"/>
    <cellStyle name="Normal 4 6 3 3" xfId="2641" xr:uid="{1ACA248B-3FA2-474D-BE8A-D979B9EC76D3}"/>
    <cellStyle name="Normal 4 6 3 3 2" xfId="5019" xr:uid="{6E0B828B-802A-432B-BADC-C64F43424EEA}"/>
    <cellStyle name="Normal 4 6 3 4" xfId="2639" xr:uid="{02C77399-11A1-4F8D-BD1A-025B9037D547}"/>
    <cellStyle name="Normal 4 6 3 4 2" xfId="5017" xr:uid="{4828C30B-ECFC-425B-822E-71B150519C40}"/>
    <cellStyle name="Normal 4 6 3 5" xfId="1643" xr:uid="{42DEB560-6402-48C7-8879-82B0FEEE9301}"/>
    <cellStyle name="Normal 4 6 3 5 2" xfId="4053" xr:uid="{CF13C0AC-5801-44A9-9791-C5E631079C35}"/>
    <cellStyle name="Normal 4 6 3 6" xfId="3499" xr:uid="{A73DA3A1-0624-4B52-BED1-FFB4382EE272}"/>
    <cellStyle name="Normal 4 6 4" xfId="1325" xr:uid="{D1B25C50-1A84-405E-A134-0611BD466CB9}"/>
    <cellStyle name="Normal 4 6 4 2" xfId="2642" xr:uid="{DF0A85B3-39CB-4604-95FA-256674BD3CA2}"/>
    <cellStyle name="Normal 4 6 4 2 2" xfId="5020" xr:uid="{233E1BB2-1A8B-4F5C-BF27-352D6406A7E8}"/>
    <cellStyle name="Normal 4 6 4 3" xfId="1922" xr:uid="{861E2FDD-B56F-4363-9BB8-1C2950E21B59}"/>
    <cellStyle name="Normal 4 6 4 3 2" xfId="4332" xr:uid="{898D3A74-03EA-4100-9530-1E4DE3E31E03}"/>
    <cellStyle name="Normal 4 6 4 4" xfId="3824" xr:uid="{6A0B12E4-DC28-4982-8884-9379AA8E215F}"/>
    <cellStyle name="Normal 4 6 5" xfId="2643" xr:uid="{6AAF9A00-DAEB-466A-9E73-22A86FAB6CD2}"/>
    <cellStyle name="Normal 4 6 5 2" xfId="5021" xr:uid="{C5084995-D804-444D-9A0A-41ECD8A5953A}"/>
    <cellStyle name="Normal 4 6 6" xfId="2132" xr:uid="{F19E1B01-9159-4428-8130-B849DD8DAC3F}"/>
    <cellStyle name="Normal 4 6 6 2" xfId="4538" xr:uid="{D4135A15-6DF6-4BFF-8DF5-D5091287CA59}"/>
    <cellStyle name="Normal 4 6 7" xfId="1540" xr:uid="{D72D3BFB-70BC-474D-8910-42A64C2131EF}"/>
    <cellStyle name="Normal 4 6 7 2" xfId="3950" xr:uid="{BE0D3014-3068-4BD1-9EB8-8C073834A953}"/>
    <cellStyle name="Normal 4 6 8" xfId="3058" xr:uid="{B7EB679C-BFC8-4BDB-A209-101EAA3B568A}"/>
    <cellStyle name="Normal 4 6 9" xfId="3362" xr:uid="{2A32007B-8B11-48BF-90CF-F47B02F01918}"/>
    <cellStyle name="Normal 4 7" xfId="574" xr:uid="{00000000-0005-0000-0000-00003E020000}"/>
    <cellStyle name="Normal 4 7 2" xfId="1116" xr:uid="{C87D886B-B02E-449F-951D-0D81C0FFE34F}"/>
    <cellStyle name="Normal 4 7 2 2" xfId="1330" xr:uid="{4B44DDC6-F70E-4141-8CE7-B013CD5532C3}"/>
    <cellStyle name="Normal 4 7 2 2 2" xfId="2645" xr:uid="{60639410-98D8-4AC9-ABBE-BC0D4E30D960}"/>
    <cellStyle name="Normal 4 7 2 2 2 2" xfId="5023" xr:uid="{170BB35C-0209-4E5A-9EBE-22D4B2BC20F1}"/>
    <cellStyle name="Normal 4 7 2 2 3" xfId="1927" xr:uid="{6780F9FF-885E-4FFA-B757-41354410B3CB}"/>
    <cellStyle name="Normal 4 7 2 2 3 2" xfId="4337" xr:uid="{B114454C-B5EE-4322-A7F9-B22AA027DF8E}"/>
    <cellStyle name="Normal 4 7 2 2 4" xfId="3829" xr:uid="{76E4148B-DB68-4C33-B70A-9462E12CFD00}"/>
    <cellStyle name="Normal 4 7 2 3" xfId="2646" xr:uid="{839C8C28-FBB8-4984-94C8-6C7D48253FA3}"/>
    <cellStyle name="Normal 4 7 2 3 2" xfId="5024" xr:uid="{E8ED5ECC-9A82-4133-ABC8-081DB253FDAC}"/>
    <cellStyle name="Normal 4 7 2 4" xfId="2644" xr:uid="{B3B5C0AE-FDFC-47EA-A216-08D919CA3AD0}"/>
    <cellStyle name="Normal 4 7 2 4 2" xfId="5022" xr:uid="{D77D4748-405F-4186-9F55-5B7D60C6A196}"/>
    <cellStyle name="Normal 4 7 2 5" xfId="1574" xr:uid="{3B64AB13-7D5C-43F3-9906-465911DF937C}"/>
    <cellStyle name="Normal 4 7 2 5 2" xfId="3984" xr:uid="{4EE435A6-7C90-4E20-9CFF-D5A3FF2187A8}"/>
    <cellStyle name="Normal 4 7 2 6" xfId="3635" xr:uid="{D56E28D7-2B37-44D3-89B8-6B26AB0A2888}"/>
    <cellStyle name="Normal 4 7 3" xfId="993" xr:uid="{69E6C954-2393-4890-BC7E-35B8035ED6DD}"/>
    <cellStyle name="Normal 4 7 3 2" xfId="1331" xr:uid="{1B4478B0-261F-4520-8DED-5409DAB8F036}"/>
    <cellStyle name="Normal 4 7 3 2 2" xfId="2648" xr:uid="{1E669C9A-C31B-4F85-8ACC-F9D9A40ECB1A}"/>
    <cellStyle name="Normal 4 7 3 2 2 2" xfId="5026" xr:uid="{0D47979E-5862-4B3E-834F-C6EA14EFB253}"/>
    <cellStyle name="Normal 4 7 3 2 3" xfId="1928" xr:uid="{D828FECB-31C2-43A7-A21F-C0FDD673CCCA}"/>
    <cellStyle name="Normal 4 7 3 2 3 2" xfId="4338" xr:uid="{2BD4CB23-FEF1-4334-9C70-5E71AD45F39C}"/>
    <cellStyle name="Normal 4 7 3 2 4" xfId="3830" xr:uid="{3C5E5A2D-B3C6-4BC9-B941-BD50DEBBC8F6}"/>
    <cellStyle name="Normal 4 7 3 3" xfId="2649" xr:uid="{08D3B715-80AB-4432-A3F7-123D689259FA}"/>
    <cellStyle name="Normal 4 7 3 3 2" xfId="5027" xr:uid="{98AF362B-076B-432C-8F97-86C7116B174D}"/>
    <cellStyle name="Normal 4 7 3 4" xfId="2647" xr:uid="{77DAF7A5-E756-4572-9C6C-923326174482}"/>
    <cellStyle name="Normal 4 7 3 4 2" xfId="5025" xr:uid="{E07BBC36-DAA7-43C6-B335-170A09BB3A23}"/>
    <cellStyle name="Normal 4 7 3 5" xfId="1677" xr:uid="{D5FCFB0E-24AD-4732-AE80-E2B98BC27A83}"/>
    <cellStyle name="Normal 4 7 3 5 2" xfId="4087" xr:uid="{D1934286-15E8-4FC3-8945-1324DF611086}"/>
    <cellStyle name="Normal 4 7 3 6" xfId="3513" xr:uid="{7EBBC2A1-706A-4F69-9712-9C82533A77CE}"/>
    <cellStyle name="Normal 4 7 4" xfId="1329" xr:uid="{E721D887-A9ED-494C-ABC8-88495E3C2DC7}"/>
    <cellStyle name="Normal 4 7 4 2" xfId="2650" xr:uid="{0D4782C0-C9D7-4896-93D8-2DDE4854CADD}"/>
    <cellStyle name="Normal 4 7 4 2 2" xfId="5028" xr:uid="{FAB7C1C2-1236-4E5A-A04E-27D9A121FDA0}"/>
    <cellStyle name="Normal 4 7 4 3" xfId="1926" xr:uid="{7F5A7B62-1F68-4851-A21D-77B2042A9B88}"/>
    <cellStyle name="Normal 4 7 4 3 2" xfId="4336" xr:uid="{82F31EE4-6896-41AB-B578-E3AB863058A5}"/>
    <cellStyle name="Normal 4 7 4 4" xfId="3828" xr:uid="{4BE87165-369A-4F5D-8278-049165A18EE8}"/>
    <cellStyle name="Normal 4 7 5" xfId="2651" xr:uid="{E5F7180A-F3F9-421A-8CA2-C51D730D236B}"/>
    <cellStyle name="Normal 4 7 5 2" xfId="5029" xr:uid="{B8E84057-F9B5-4988-9080-D4F65E018EB2}"/>
    <cellStyle name="Normal 4 7 6" xfId="2133" xr:uid="{E23BA159-BF48-460C-83E4-4A502BFCD285}"/>
    <cellStyle name="Normal 4 7 6 2" xfId="4539" xr:uid="{F65E2CDF-B69D-44AE-9471-EDB2D5A7BD4C}"/>
    <cellStyle name="Normal 4 7 7" xfId="1514" xr:uid="{FD80AA90-A733-4DE1-8B9A-A61B702530F1}"/>
    <cellStyle name="Normal 4 7 7 2" xfId="3924" xr:uid="{C50D3554-82A8-4844-ABD0-2CBBAA2E7989}"/>
    <cellStyle name="Normal 4 7 8" xfId="3059" xr:uid="{51B4153A-03C9-4BAF-A1B5-10713F31E65C}"/>
    <cellStyle name="Normal 4 7 9" xfId="3363" xr:uid="{3A4CABD9-96DA-43D3-AE3A-E169FEFE5D0D}"/>
    <cellStyle name="Normal 4 8" xfId="575" xr:uid="{00000000-0005-0000-0000-00003F020000}"/>
    <cellStyle name="Normal 4 8 2" xfId="1117" xr:uid="{07916B5F-BE66-490D-BA85-3BE5F2D995DF}"/>
    <cellStyle name="Normal 4 8 2 2" xfId="1333" xr:uid="{92406C14-3AAD-470F-A9B0-E8EF1FEADD89}"/>
    <cellStyle name="Normal 4 8 2 2 2" xfId="2653" xr:uid="{21CA25BC-87CD-4FD7-BFFF-AFD533502DB1}"/>
    <cellStyle name="Normal 4 8 2 2 2 2" xfId="5031" xr:uid="{3327EB6C-722C-4926-8C47-3B20361E65C6}"/>
    <cellStyle name="Normal 4 8 2 2 3" xfId="1930" xr:uid="{2100B468-45ED-4ECC-AB63-75DF763368F8}"/>
    <cellStyle name="Normal 4 8 2 2 3 2" xfId="4340" xr:uid="{4B4C5AA5-3875-4301-A39B-CCA18E880004}"/>
    <cellStyle name="Normal 4 8 2 2 4" xfId="3832" xr:uid="{9577E2CD-C67A-44DA-A2DC-F43841D62E7C}"/>
    <cellStyle name="Normal 4 8 2 3" xfId="2654" xr:uid="{81668A02-990F-4C38-BECB-1307F6C14A89}"/>
    <cellStyle name="Normal 4 8 2 3 2" xfId="5032" xr:uid="{0458B4BC-EF82-4871-AA51-4F5E5E7854A2}"/>
    <cellStyle name="Normal 4 8 2 4" xfId="2652" xr:uid="{C7E3E457-EFAD-44EA-B0F2-7A83307785B3}"/>
    <cellStyle name="Normal 4 8 2 4 2" xfId="5030" xr:uid="{586D6BF0-C481-4690-9846-2E03967F5871}"/>
    <cellStyle name="Normal 4 8 2 5" xfId="1660" xr:uid="{85E4451E-9A27-4E90-8588-AB2025B4AEAB}"/>
    <cellStyle name="Normal 4 8 2 5 2" xfId="4070" xr:uid="{CE84741B-D597-4066-9000-F6C00DAEA95F}"/>
    <cellStyle name="Normal 4 8 2 6" xfId="3636" xr:uid="{DCE1CF04-26CE-4731-9039-796DBA525929}"/>
    <cellStyle name="Normal 4 8 3" xfId="1332" xr:uid="{6783E75A-F95C-4169-9E37-B6579D32EFAE}"/>
    <cellStyle name="Normal 4 8 3 2" xfId="2655" xr:uid="{2A00D394-0AAE-4C66-861E-7C2C69019A5E}"/>
    <cellStyle name="Normal 4 8 3 2 2" xfId="5033" xr:uid="{3BA79B70-D53D-4395-BA8B-5A32B01900A8}"/>
    <cellStyle name="Normal 4 8 3 3" xfId="1929" xr:uid="{786C4E14-15F7-4CB7-AD9E-04C070147F96}"/>
    <cellStyle name="Normal 4 8 3 3 2" xfId="4339" xr:uid="{E5AFAB5E-830C-40E3-9D3E-A23D6242A413}"/>
    <cellStyle name="Normal 4 8 3 4" xfId="3831" xr:uid="{E0DCE124-92D6-4153-9E2A-7A60AB61BE8F}"/>
    <cellStyle name="Normal 4 8 4" xfId="2656" xr:uid="{DDA8679C-DB73-4BDF-B6FB-83CCF4B2286C}"/>
    <cellStyle name="Normal 4 8 4 2" xfId="5034" xr:uid="{FCD964C0-59D0-4A7A-9011-0A99C5C2A292}"/>
    <cellStyle name="Normal 4 8 5" xfId="2134" xr:uid="{E0660117-1E51-4761-8B0E-0AA22F3B1867}"/>
    <cellStyle name="Normal 4 8 5 2" xfId="4540" xr:uid="{0271F84F-C50D-45FB-8192-7D695207C36F}"/>
    <cellStyle name="Normal 4 8 6" xfId="1497" xr:uid="{509D510B-B0F2-4510-A7A5-19A67288856E}"/>
    <cellStyle name="Normal 4 8 6 2" xfId="3907" xr:uid="{17A1431A-7A44-4DF8-96BE-BFF63FC5FD03}"/>
    <cellStyle name="Normal 4 8 7" xfId="3060" xr:uid="{352E6A9A-0CF9-4CC3-9C3D-78A862A713FF}"/>
    <cellStyle name="Normal 4 8 8" xfId="3364" xr:uid="{2BA3B909-6AFA-4E2C-BE35-F60D44D00DFF}"/>
    <cellStyle name="Normal 4 9" xfId="576" xr:uid="{00000000-0005-0000-0000-000040020000}"/>
    <cellStyle name="Normal 4 9 2" xfId="1118" xr:uid="{30E4F274-BBCA-4833-BEF1-724344572B42}"/>
    <cellStyle name="Normal 4 9 2 2" xfId="1335" xr:uid="{9B96000D-1974-4416-8C7C-857A9F7738AB}"/>
    <cellStyle name="Normal 4 9 2 2 2" xfId="2658" xr:uid="{4864CC70-E5CC-4CA7-8D11-C6BF170EC6C8}"/>
    <cellStyle name="Normal 4 9 2 2 2 2" xfId="5036" xr:uid="{B194AD9E-6B7D-43B9-BE5B-999009334F1B}"/>
    <cellStyle name="Normal 4 9 2 2 3" xfId="1932" xr:uid="{10AFC900-F561-4D6E-9AE3-7C139D3B4C9F}"/>
    <cellStyle name="Normal 4 9 2 2 3 2" xfId="4342" xr:uid="{A185D7CD-2337-4B11-9001-19F64E7D6EFC}"/>
    <cellStyle name="Normal 4 9 2 2 4" xfId="3834" xr:uid="{9098F185-F19E-42E3-B50F-90EF524588A5}"/>
    <cellStyle name="Normal 4 9 2 3" xfId="2659" xr:uid="{3988A0EF-ED59-46E6-A24F-458CAC949FF0}"/>
    <cellStyle name="Normal 4 9 2 3 2" xfId="5037" xr:uid="{20E4BE18-AB2E-4438-B652-890F77F75BA2}"/>
    <cellStyle name="Normal 4 9 2 4" xfId="2657" xr:uid="{7ACA61DD-21FA-4C58-BC26-34B994E8D5EA}"/>
    <cellStyle name="Normal 4 9 2 4 2" xfId="5035" xr:uid="{990DBF33-2341-4125-B5A2-2BCF2C35B411}"/>
    <cellStyle name="Normal 4 9 2 5" xfId="1722" xr:uid="{A449E3D3-89FD-4E8F-8DE9-64D661D259E7}"/>
    <cellStyle name="Normal 4 9 2 5 2" xfId="4132" xr:uid="{B40A8E18-1E29-4247-9D7F-AA3BD53EC781}"/>
    <cellStyle name="Normal 4 9 2 6" xfId="3637" xr:uid="{DBCB62B9-6834-4D2E-8B1D-085717E131B2}"/>
    <cellStyle name="Normal 4 9 3" xfId="1334" xr:uid="{DA045099-097B-49C2-BF5C-EB0598899A98}"/>
    <cellStyle name="Normal 4 9 3 2" xfId="2660" xr:uid="{AD94C218-BCC2-465C-8FCB-5B9570E36C28}"/>
    <cellStyle name="Normal 4 9 3 2 2" xfId="5038" xr:uid="{167D16FA-E33A-476F-88AD-2A58EB49A583}"/>
    <cellStyle name="Normal 4 9 3 3" xfId="1931" xr:uid="{499958C1-DF3A-4778-83D0-736AA96F1F7C}"/>
    <cellStyle name="Normal 4 9 3 3 2" xfId="4341" xr:uid="{A392E105-D9C3-4978-9F45-A76F1CA3671B}"/>
    <cellStyle name="Normal 4 9 3 4" xfId="3833" xr:uid="{3A9354DA-D94A-4385-BE96-0E6C843F6487}"/>
    <cellStyle name="Normal 4 9 4" xfId="2661" xr:uid="{CA2A29D0-BC46-4C44-906A-DC4563C3E2AD}"/>
    <cellStyle name="Normal 4 9 4 2" xfId="5039" xr:uid="{597C5609-1A08-46D0-B81C-BC7D16D91598}"/>
    <cellStyle name="Normal 4 9 5" xfId="2135" xr:uid="{62B2C4FF-445E-4C45-A1B4-827B67656486}"/>
    <cellStyle name="Normal 4 9 5 2" xfId="4541" xr:uid="{C8925FDF-7938-460C-AEF1-DB59ACDD5270}"/>
    <cellStyle name="Normal 4 9 6" xfId="1557" xr:uid="{BD1E07F9-1213-4DB2-B60D-99536B1A2D7A}"/>
    <cellStyle name="Normal 4 9 6 2" xfId="3967" xr:uid="{FECB4380-3143-44EA-97D6-DC62AE0CCF40}"/>
    <cellStyle name="Normal 4 9 7" xfId="3061" xr:uid="{19516E02-F7BE-45AB-B578-6A8E0019ABE1}"/>
    <cellStyle name="Normal 4 9 8" xfId="3365" xr:uid="{532B3BAC-0251-4750-BF35-E9A3BA64F8D7}"/>
    <cellStyle name="Normal 5" xfId="577" xr:uid="{00000000-0005-0000-0000-000041020000}"/>
    <cellStyle name="Normal 5 2" xfId="578" xr:uid="{00000000-0005-0000-0000-000042020000}"/>
    <cellStyle name="Normal 5 2 2" xfId="579" xr:uid="{00000000-0005-0000-0000-000043020000}"/>
    <cellStyle name="Normal 5 2 2 2" xfId="580" xr:uid="{00000000-0005-0000-0000-000044020000}"/>
    <cellStyle name="Normal 5 2 2 3" xfId="581" xr:uid="{00000000-0005-0000-0000-000045020000}"/>
    <cellStyle name="Normal 5 2 2 3 2" xfId="582" xr:uid="{00000000-0005-0000-0000-000046020000}"/>
    <cellStyle name="Normal 5 2 2 3 3" xfId="583" xr:uid="{00000000-0005-0000-0000-000047020000}"/>
    <cellStyle name="Normal 5 2 2 3 3 2" xfId="584" xr:uid="{00000000-0005-0000-0000-000048020000}"/>
    <cellStyle name="Normal 5 2 2 3 3 2 2" xfId="585" xr:uid="{00000000-0005-0000-0000-000049020000}"/>
    <cellStyle name="Normal 5 2 2 3 3 2 3" xfId="586" xr:uid="{00000000-0005-0000-0000-00004A020000}"/>
    <cellStyle name="Normal 5 2 2 3 3 2 3 2" xfId="587" xr:uid="{00000000-0005-0000-0000-00004B020000}"/>
    <cellStyle name="Normal 5 2 2 3 3 2 3 3" xfId="1336" xr:uid="{D7729099-A7DA-402C-BAA4-85000133CAF3}"/>
    <cellStyle name="Normal 5 2 2 3 3 2 3 4" xfId="2136" xr:uid="{D942115B-74FB-433B-9479-D9CE1936162D}"/>
    <cellStyle name="Normal 5 2 2 3 3 2 3 5" xfId="864" xr:uid="{64E354A2-EB7B-42BB-AA9A-4999F61C5932}"/>
    <cellStyle name="Normal 5 2 2 3 3 2 3 5 2" xfId="3435" xr:uid="{29D3416C-E27B-4632-874A-9C01F8A7E535}"/>
    <cellStyle name="Normal 5 2 2 3 3 2 3 6" xfId="2877" xr:uid="{E7387E80-C5FD-4177-9C9A-4FD03FE1AA5F}"/>
    <cellStyle name="Normal 5 2 2 3 3 2 4" xfId="588" xr:uid="{00000000-0005-0000-0000-00004C020000}"/>
    <cellStyle name="Normal 5 2 2 3 3 2 4 2" xfId="589" xr:uid="{00000000-0005-0000-0000-00004D020000}"/>
    <cellStyle name="Normal 5 2 2 3 3 2 4 3" xfId="863" xr:uid="{9012F8B6-490D-495D-BFC1-D323F79E3EA5}"/>
    <cellStyle name="Normal 5 2 2 3 3 2 4 3 2" xfId="3434" xr:uid="{7C86CCEC-80D4-4694-8ED2-B559CAC29F49}"/>
    <cellStyle name="Normal 5 2 2 3 3 2 4 4" xfId="2876" xr:uid="{6E5E43C1-71ED-4F80-A90C-743A8A03CCDC}"/>
    <cellStyle name="Normal 5 2 2 3 3 3" xfId="590" xr:uid="{00000000-0005-0000-0000-00004E020000}"/>
    <cellStyle name="Normal 5 2 2 3 3 4" xfId="591" xr:uid="{00000000-0005-0000-0000-00004F020000}"/>
    <cellStyle name="Normal 5 2 2 3 3 4 2" xfId="592" xr:uid="{00000000-0005-0000-0000-000050020000}"/>
    <cellStyle name="Normal 5 2 2 3 3 4 2 2" xfId="593" xr:uid="{00000000-0005-0000-0000-000051020000}"/>
    <cellStyle name="Normal 5 2 2 3 3 4 2 3" xfId="594" xr:uid="{00000000-0005-0000-0000-000052020000}"/>
    <cellStyle name="Normal 5 2 2 3 3 4 2 3 2" xfId="2662" xr:uid="{56BE6927-64AD-4F8D-A226-64799CC93A67}"/>
    <cellStyle name="Normal 5 2 2 3 3 4 2 3 3" xfId="917" xr:uid="{08E6B1FA-F97D-4B50-891C-5441C3FB5D1B}"/>
    <cellStyle name="Normal 5 2 2 3 3 4 2 3 3 2" xfId="3482" xr:uid="{B4D66FC0-6F16-4CA6-8758-5DBE17E39300}"/>
    <cellStyle name="Normal 5 2 2 3 3 4 2 3 4" xfId="2924" xr:uid="{32E6511B-37F4-4490-91B0-81F11A0D1EC7}"/>
    <cellStyle name="Normal 5 2 2 3 3 4 3" xfId="1337" xr:uid="{2F111DD5-02A8-405F-9EE0-58DFA6523971}"/>
    <cellStyle name="Normal 5 2 2 3 3 4 4" xfId="2137" xr:uid="{69B726C3-F98A-4877-8390-13428C5D5C4A}"/>
    <cellStyle name="Normal 5 2 2 3 3 4 5" xfId="865" xr:uid="{B78EF83D-5E5D-4DBF-9F79-F4EBC1E928AC}"/>
    <cellStyle name="Normal 5 2 2 3 3 4 5 2" xfId="3436" xr:uid="{1301F3E1-4077-45AD-89E8-E017FD13BA73}"/>
    <cellStyle name="Normal 5 2 2 3 3 4 6" xfId="2878" xr:uid="{64A64679-58CD-43E7-BC29-290752FBB668}"/>
    <cellStyle name="Normal 5 2 2 3 4" xfId="595" xr:uid="{00000000-0005-0000-0000-000053020000}"/>
    <cellStyle name="Normal 5 2 2 3 4 2" xfId="596" xr:uid="{00000000-0005-0000-0000-000054020000}"/>
    <cellStyle name="Normal 5 2 2 3 4 3" xfId="597" xr:uid="{00000000-0005-0000-0000-000055020000}"/>
    <cellStyle name="Normal 5 2 2 3 4 3 2" xfId="598" xr:uid="{00000000-0005-0000-0000-000056020000}"/>
    <cellStyle name="Normal 5 2 2 3 4 3 3" xfId="1338" xr:uid="{6DF9DCB1-AD60-4E04-A32C-9BEDC8EAAAA5}"/>
    <cellStyle name="Normal 5 2 2 3 4 3 4" xfId="2138" xr:uid="{1D113BCC-6440-480A-B2AA-F8E73C2D2510}"/>
    <cellStyle name="Normal 5 2 2 3 4 3 5" xfId="867" xr:uid="{D050F172-CF3A-499B-A935-D1B7CC6A3BA3}"/>
    <cellStyle name="Normal 5 2 2 3 4 3 5 2" xfId="3438" xr:uid="{E4FD0D26-F86B-4062-AAE9-27480F701A8A}"/>
    <cellStyle name="Normal 5 2 2 3 4 3 6" xfId="2880" xr:uid="{1B8ED289-38B3-4222-A5EB-2A4DA4257656}"/>
    <cellStyle name="Normal 5 2 2 3 4 4" xfId="599" xr:uid="{00000000-0005-0000-0000-000057020000}"/>
    <cellStyle name="Normal 5 2 2 3 4 4 2" xfId="600" xr:uid="{00000000-0005-0000-0000-000058020000}"/>
    <cellStyle name="Normal 5 2 2 3 4 4 3" xfId="866" xr:uid="{AFA71E34-4993-43DB-91A8-C807D042FE31}"/>
    <cellStyle name="Normal 5 2 2 3 4 4 3 2" xfId="3437" xr:uid="{AE4E9E97-5B5F-4FAE-9A09-B1349E6A665E}"/>
    <cellStyle name="Normal 5 2 2 3 4 4 4" xfId="2879" xr:uid="{4496B8C7-0B9D-400C-A53C-55C273AACE7F}"/>
    <cellStyle name="Normal 5 2 2 3 5" xfId="846" xr:uid="{AFEE9738-693A-4D8C-BD1C-935ABF642943}"/>
    <cellStyle name="Normal 5 2 2 3 5 2" xfId="3418" xr:uid="{E0ABE2FF-09CB-4D46-92E0-4307AF1A451D}"/>
    <cellStyle name="Normal 5 2 2 3 6" xfId="2863" xr:uid="{720D81F6-90DF-4838-8887-D4376F59165C}"/>
    <cellStyle name="Normal 5 2 2 4" xfId="601" xr:uid="{00000000-0005-0000-0000-000059020000}"/>
    <cellStyle name="Normal 5 2 2 4 2" xfId="602" xr:uid="{00000000-0005-0000-0000-00005A020000}"/>
    <cellStyle name="Normal 5 2 2 4 3" xfId="603" xr:uid="{00000000-0005-0000-0000-00005B020000}"/>
    <cellStyle name="Normal 5 2 2 4 3 2" xfId="604" xr:uid="{00000000-0005-0000-0000-00005C020000}"/>
    <cellStyle name="Normal 5 2 2 4 3 3" xfId="1339" xr:uid="{F1FB1794-CCE3-4672-A2D3-7609CE2A4D25}"/>
    <cellStyle name="Normal 5 2 2 4 3 4" xfId="2139" xr:uid="{7F50D9E0-3C73-459B-A2B4-31CADBC68758}"/>
    <cellStyle name="Normal 5 2 2 4 3 5" xfId="869" xr:uid="{8A186477-BB7E-4C82-9FA9-83CE3662BF31}"/>
    <cellStyle name="Normal 5 2 2 4 3 5 2" xfId="3440" xr:uid="{072D21A6-7AD2-4F4B-A046-4A4311C7920C}"/>
    <cellStyle name="Normal 5 2 2 4 3 6" xfId="2882" xr:uid="{9C399C54-7EB5-4613-B667-565017505244}"/>
    <cellStyle name="Normal 5 2 2 4 4" xfId="605" xr:uid="{00000000-0005-0000-0000-00005D020000}"/>
    <cellStyle name="Normal 5 2 2 4 4 2" xfId="606" xr:uid="{00000000-0005-0000-0000-00005E020000}"/>
    <cellStyle name="Normal 5 2 2 4 4 3" xfId="868" xr:uid="{51A1CD33-F3D8-4A71-BD7F-4336B900D07F}"/>
    <cellStyle name="Normal 5 2 2 4 4 3 2" xfId="3439" xr:uid="{B15F6CD2-9138-4B33-8BA8-98405B5F0678}"/>
    <cellStyle name="Normal 5 2 2 4 4 4" xfId="2881" xr:uid="{C9144160-2F33-4C0E-BFF9-87E74B4D1070}"/>
    <cellStyle name="Normal 5 2 2 5" xfId="845" xr:uid="{C1DABAD0-8BD1-4641-BE70-B27BD3A2A097}"/>
    <cellStyle name="Normal 5 2 2 5 2" xfId="3417" xr:uid="{E3644E19-8932-4258-A2D3-D42190DEB2B6}"/>
    <cellStyle name="Normal 5 2 3" xfId="607" xr:uid="{00000000-0005-0000-0000-00005F020000}"/>
    <cellStyle name="Normal 5 2 3 2" xfId="608" xr:uid="{00000000-0005-0000-0000-000060020000}"/>
    <cellStyle name="Normal 5 2 4" xfId="609" xr:uid="{00000000-0005-0000-0000-000061020000}"/>
    <cellStyle name="Normal 5 2 4 2" xfId="610" xr:uid="{00000000-0005-0000-0000-000062020000}"/>
    <cellStyle name="Normal 5 2 4 3" xfId="611" xr:uid="{00000000-0005-0000-0000-000063020000}"/>
    <cellStyle name="Normal 5 2 4 3 2" xfId="612" xr:uid="{00000000-0005-0000-0000-000064020000}"/>
    <cellStyle name="Normal 5 2 4 3 2 2" xfId="613" xr:uid="{00000000-0005-0000-0000-000065020000}"/>
    <cellStyle name="Normal 5 2 4 3 2 3" xfId="614" xr:uid="{00000000-0005-0000-0000-000066020000}"/>
    <cellStyle name="Normal 5 2 4 3 2 3 2" xfId="615" xr:uid="{00000000-0005-0000-0000-000067020000}"/>
    <cellStyle name="Normal 5 2 4 3 2 3 3" xfId="1340" xr:uid="{74492E4F-8BD7-4C71-B0E5-6FC1E8D544F2}"/>
    <cellStyle name="Normal 5 2 4 3 2 3 4" xfId="2140" xr:uid="{B03A62E5-2AB4-4C0C-AA5D-2FC58515336F}"/>
    <cellStyle name="Normal 5 2 4 3 2 3 5" xfId="871" xr:uid="{3C3C020B-BB50-44D9-90C0-4EC1F37B08FC}"/>
    <cellStyle name="Normal 5 2 4 3 2 3 5 2" xfId="3442" xr:uid="{BFD4048D-ED3B-486E-9EE8-E6C5F31FDCF2}"/>
    <cellStyle name="Normal 5 2 4 3 2 3 6" xfId="2884" xr:uid="{524D2B8E-FF1C-4AFC-AB8C-516495920D88}"/>
    <cellStyle name="Normal 5 2 4 3 2 4" xfId="616" xr:uid="{00000000-0005-0000-0000-000068020000}"/>
    <cellStyle name="Normal 5 2 4 3 2 4 2" xfId="617" xr:uid="{00000000-0005-0000-0000-000069020000}"/>
    <cellStyle name="Normal 5 2 4 3 2 4 3" xfId="870" xr:uid="{82BFD217-37B7-4E00-8D4E-8B6B83EFF9FE}"/>
    <cellStyle name="Normal 5 2 4 3 2 4 3 2" xfId="3441" xr:uid="{790349D9-3C38-4ACD-A4B2-7DF1E3507643}"/>
    <cellStyle name="Normal 5 2 4 3 2 4 4" xfId="2883" xr:uid="{A08AD174-C762-4C26-AE48-F225EAF80176}"/>
    <cellStyle name="Normal 5 2 4 3 3" xfId="618" xr:uid="{00000000-0005-0000-0000-00006A020000}"/>
    <cellStyle name="Normal 5 2 4 3 4" xfId="619" xr:uid="{00000000-0005-0000-0000-00006B020000}"/>
    <cellStyle name="Normal 5 2 4 3 4 2" xfId="620" xr:uid="{00000000-0005-0000-0000-00006C020000}"/>
    <cellStyle name="Normal 5 2 4 3 4 2 2" xfId="621" xr:uid="{00000000-0005-0000-0000-00006D020000}"/>
    <cellStyle name="Normal 5 2 4 3 4 2 3" xfId="622" xr:uid="{00000000-0005-0000-0000-00006E020000}"/>
    <cellStyle name="Normal 5 2 4 3 4 2 3 2" xfId="2663" xr:uid="{30FF2DAE-06D6-49D8-8F76-A86830231E92}"/>
    <cellStyle name="Normal 5 2 4 3 4 2 3 3" xfId="918" xr:uid="{A92DC622-4B72-4383-9D50-F11EDF03399A}"/>
    <cellStyle name="Normal 5 2 4 3 4 2 3 3 2" xfId="3483" xr:uid="{AB824007-0C3F-4079-A0A4-CE8FAB171DDE}"/>
    <cellStyle name="Normal 5 2 4 3 4 2 3 4" xfId="2926" xr:uid="{4FB1532C-D965-48E0-A240-EFA4443E8C04}"/>
    <cellStyle name="Normal 5 2 4 3 4 3" xfId="1341" xr:uid="{9A4CCA25-A2FF-41B2-9EF7-86E2B49CDCAB}"/>
    <cellStyle name="Normal 5 2 4 3 4 4" xfId="2141" xr:uid="{5BC0F69B-7098-4AB7-9D22-46688EEF1A7B}"/>
    <cellStyle name="Normal 5 2 4 3 4 5" xfId="872" xr:uid="{C03DF5C4-CD12-453B-BBC9-30CF90E152BF}"/>
    <cellStyle name="Normal 5 2 4 3 4 5 2" xfId="3443" xr:uid="{41343945-7CB0-4CE0-851C-8F6BCB1EAB16}"/>
    <cellStyle name="Normal 5 2 4 3 4 6" xfId="2885" xr:uid="{ECCC6451-FAEF-4118-9045-2901139E5EFB}"/>
    <cellStyle name="Normal 5 2 4 4" xfId="623" xr:uid="{00000000-0005-0000-0000-00006F020000}"/>
    <cellStyle name="Normal 5 2 4 4 2" xfId="624" xr:uid="{00000000-0005-0000-0000-000070020000}"/>
    <cellStyle name="Normal 5 2 4 4 3" xfId="625" xr:uid="{00000000-0005-0000-0000-000071020000}"/>
    <cellStyle name="Normal 5 2 4 4 3 2" xfId="626" xr:uid="{00000000-0005-0000-0000-000072020000}"/>
    <cellStyle name="Normal 5 2 4 4 3 3" xfId="1342" xr:uid="{52FAA525-EEAE-4648-91A3-400E0641234B}"/>
    <cellStyle name="Normal 5 2 4 4 3 4" xfId="2142" xr:uid="{34AB9860-E623-4ACE-9A1F-F06D3CCBC4BD}"/>
    <cellStyle name="Normal 5 2 4 4 3 5" xfId="874" xr:uid="{D9F616DE-7218-4BAD-A588-6E07CE806AAC}"/>
    <cellStyle name="Normal 5 2 4 4 3 5 2" xfId="3445" xr:uid="{B1D9779E-F498-4D41-976B-322FE0BA95F0}"/>
    <cellStyle name="Normal 5 2 4 4 3 6" xfId="2887" xr:uid="{2CDA79F7-4FBE-400C-BB72-45433C000364}"/>
    <cellStyle name="Normal 5 2 4 4 4" xfId="627" xr:uid="{00000000-0005-0000-0000-000073020000}"/>
    <cellStyle name="Normal 5 2 4 4 4 2" xfId="628" xr:uid="{00000000-0005-0000-0000-000074020000}"/>
    <cellStyle name="Normal 5 2 4 4 4 3" xfId="873" xr:uid="{32690CC5-7184-483A-87E8-5F8ACE1F2882}"/>
    <cellStyle name="Normal 5 2 4 4 4 3 2" xfId="3444" xr:uid="{FCC93CFE-9EAB-478E-9DD6-43649F1D26D1}"/>
    <cellStyle name="Normal 5 2 4 4 4 4" xfId="2886" xr:uid="{6808C81F-CE4D-4A1A-8BAC-F317765EFBF1}"/>
    <cellStyle name="Normal 5 2 4 5" xfId="847" xr:uid="{77427F46-A914-44E5-9633-69D64EDC3BF2}"/>
    <cellStyle name="Normal 5 2 4 5 2" xfId="3419" xr:uid="{5D8670E7-1D96-4648-A46B-8B728457516E}"/>
    <cellStyle name="Normal 5 2 4 6" xfId="2864" xr:uid="{F5ADB4AF-B2B0-4972-A052-067CD252488A}"/>
    <cellStyle name="Normal 5 2 5" xfId="629" xr:uid="{00000000-0005-0000-0000-000075020000}"/>
    <cellStyle name="Normal 5 2 6" xfId="630" xr:uid="{00000000-0005-0000-0000-000076020000}"/>
    <cellStyle name="Normal 5 2 6 2" xfId="631" xr:uid="{00000000-0005-0000-0000-000077020000}"/>
    <cellStyle name="Normal 5 2 6 3" xfId="632" xr:uid="{00000000-0005-0000-0000-000078020000}"/>
    <cellStyle name="Normal 5 2 6 3 2" xfId="633" xr:uid="{00000000-0005-0000-0000-000079020000}"/>
    <cellStyle name="Normal 5 2 6 3 3" xfId="1343" xr:uid="{D6EBD671-EF6A-42BD-B9CB-AECAF4456CFD}"/>
    <cellStyle name="Normal 5 2 6 3 4" xfId="2143" xr:uid="{46B3540C-5648-4D71-A7AF-1F36EA006E51}"/>
    <cellStyle name="Normal 5 2 6 3 5" xfId="876" xr:uid="{B899A5F6-B164-4C0B-A85C-1978426B24C6}"/>
    <cellStyle name="Normal 5 2 6 3 5 2" xfId="3447" xr:uid="{36B75C9D-0B84-44B7-9E5C-063A63C28EA5}"/>
    <cellStyle name="Normal 5 2 6 3 6" xfId="2889" xr:uid="{C661C70D-630D-4AE4-9951-1B252138DBA0}"/>
    <cellStyle name="Normal 5 2 6 4" xfId="634" xr:uid="{00000000-0005-0000-0000-00007A020000}"/>
    <cellStyle name="Normal 5 2 6 4 2" xfId="635" xr:uid="{00000000-0005-0000-0000-00007B020000}"/>
    <cellStyle name="Normal 5 2 6 4 3" xfId="875" xr:uid="{4CB7C517-971D-4B2A-AF89-50CC888F441C}"/>
    <cellStyle name="Normal 5 2 6 4 3 2" xfId="3446" xr:uid="{3C1BBD36-3003-4F08-ABCF-49D6196241C5}"/>
    <cellStyle name="Normal 5 2 6 4 4" xfId="2888" xr:uid="{BE06C7BE-1B51-4BD3-9F3D-0B85B7EA069A}"/>
    <cellStyle name="Normal 5 2 7" xfId="636" xr:uid="{00000000-0005-0000-0000-00007C020000}"/>
    <cellStyle name="Normal 5 2 7 2" xfId="637" xr:uid="{00000000-0005-0000-0000-00007D020000}"/>
    <cellStyle name="Normal 5 2 7 3" xfId="911" xr:uid="{797C51BF-AF37-4F95-8D7A-6C1EF0BCCFDE}"/>
    <cellStyle name="Normal 5 2 7 3 2" xfId="3478" xr:uid="{158FBFB1-2DAE-4A26-AD94-19695B908BD6}"/>
    <cellStyle name="Normal 5 2 7 4" xfId="2919" xr:uid="{81F041BC-4F29-49C9-9DC7-FB15472CBB2E}"/>
    <cellStyle name="Normal 5 2 8" xfId="844" xr:uid="{215403DD-128D-446D-8E32-14B3EBE301D2}"/>
    <cellStyle name="Normal 5 2 8 2" xfId="3416" xr:uid="{BFC57453-8088-4200-8978-E9A15F26C862}"/>
    <cellStyle name="Normal 5 3" xfId="638" xr:uid="{00000000-0005-0000-0000-00007E020000}"/>
    <cellStyle name="Normal 5 3 2" xfId="639" xr:uid="{00000000-0005-0000-0000-00007F020000}"/>
    <cellStyle name="Normal 5 3 3" xfId="640" xr:uid="{00000000-0005-0000-0000-000080020000}"/>
    <cellStyle name="Normal 5 3 3 2" xfId="641" xr:uid="{00000000-0005-0000-0000-000081020000}"/>
    <cellStyle name="Normal 5 3 3 2 2" xfId="642" xr:uid="{00000000-0005-0000-0000-000082020000}"/>
    <cellStyle name="Normal 5 3 3 2 3" xfId="643" xr:uid="{00000000-0005-0000-0000-000083020000}"/>
    <cellStyle name="Normal 5 3 3 2 3 2" xfId="644" xr:uid="{00000000-0005-0000-0000-000084020000}"/>
    <cellStyle name="Normal 5 3 3 2 3 3" xfId="1344" xr:uid="{6B077BE6-ECB8-4231-A0A8-080540F19CAE}"/>
    <cellStyle name="Normal 5 3 3 2 3 4" xfId="2144" xr:uid="{D70C82DC-F84B-4A98-B10B-D194414A9789}"/>
    <cellStyle name="Normal 5 3 3 2 3 5" xfId="878" xr:uid="{350C929F-A8A9-402B-ADB8-97D255952537}"/>
    <cellStyle name="Normal 5 3 3 2 3 5 2" xfId="3449" xr:uid="{1C758C41-CCC0-47E2-A4CD-5B1C8B1D009B}"/>
    <cellStyle name="Normal 5 3 3 2 3 6" xfId="2891" xr:uid="{D5CF201A-0D00-4F22-8E78-50404F0A6A9F}"/>
    <cellStyle name="Normal 5 3 3 2 4" xfId="645" xr:uid="{00000000-0005-0000-0000-000085020000}"/>
    <cellStyle name="Normal 5 3 3 2 4 2" xfId="646" xr:uid="{00000000-0005-0000-0000-000086020000}"/>
    <cellStyle name="Normal 5 3 3 2 4 3" xfId="877" xr:uid="{7A4E4491-BFB4-4C00-9B67-FD8B29AC30DB}"/>
    <cellStyle name="Normal 5 3 3 2 4 3 2" xfId="3448" xr:uid="{8F074733-C15A-471A-BA3B-F874812A2421}"/>
    <cellStyle name="Normal 5 3 3 2 4 4" xfId="2890" xr:uid="{72074F89-38F5-4A68-BE88-99397E505CD2}"/>
    <cellStyle name="Normal 5 3 3 3" xfId="647" xr:uid="{00000000-0005-0000-0000-000087020000}"/>
    <cellStyle name="Normal 5 3 3 4" xfId="648" xr:uid="{00000000-0005-0000-0000-000088020000}"/>
    <cellStyle name="Normal 5 3 3 4 2" xfId="649" xr:uid="{00000000-0005-0000-0000-000089020000}"/>
    <cellStyle name="Normal 5 3 3 4 2 2" xfId="650" xr:uid="{00000000-0005-0000-0000-00008A020000}"/>
    <cellStyle name="Normal 5 3 3 4 2 3" xfId="651" xr:uid="{00000000-0005-0000-0000-00008B020000}"/>
    <cellStyle name="Normal 5 3 3 4 2 3 2" xfId="2664" xr:uid="{69D5824F-823F-41E9-BCAC-A79F199234F1}"/>
    <cellStyle name="Normal 5 3 3 4 2 3 3" xfId="919" xr:uid="{DF18D997-0100-41ED-B502-07923DB9567C}"/>
    <cellStyle name="Normal 5 3 3 4 2 3 3 2" xfId="3484" xr:uid="{D287BE9A-18DA-4DEE-BBFF-BD165487C158}"/>
    <cellStyle name="Normal 5 3 3 4 2 3 4" xfId="2927" xr:uid="{922660A1-72DF-4888-BB0D-D36BE53ED497}"/>
    <cellStyle name="Normal 5 3 3 4 3" xfId="1345" xr:uid="{CB2B5B43-7038-4C17-A537-D2F2171FD6C3}"/>
    <cellStyle name="Normal 5 3 3 4 4" xfId="2145" xr:uid="{AE7CAFF1-C1B3-4201-B5CC-80EFB7F3F003}"/>
    <cellStyle name="Normal 5 3 3 4 5" xfId="879" xr:uid="{5626D6E5-7C93-462B-A2F6-AF09E141EA54}"/>
    <cellStyle name="Normal 5 3 3 4 5 2" xfId="3450" xr:uid="{06433624-A434-4689-874D-25BFB977D524}"/>
    <cellStyle name="Normal 5 3 3 4 6" xfId="2892" xr:uid="{C4D57F37-D9BF-4DBC-A896-AA7DE9C8A253}"/>
    <cellStyle name="Normal 5 3 4" xfId="652" xr:uid="{00000000-0005-0000-0000-00008C020000}"/>
    <cellStyle name="Normal 5 3 4 2" xfId="653" xr:uid="{00000000-0005-0000-0000-00008D020000}"/>
    <cellStyle name="Normal 5 3 4 3" xfId="654" xr:uid="{00000000-0005-0000-0000-00008E020000}"/>
    <cellStyle name="Normal 5 3 4 3 2" xfId="655" xr:uid="{00000000-0005-0000-0000-00008F020000}"/>
    <cellStyle name="Normal 5 3 4 3 3" xfId="1346" xr:uid="{2C7695C2-D628-427F-82EE-462D57A09BFD}"/>
    <cellStyle name="Normal 5 3 4 3 4" xfId="2146" xr:uid="{02347361-0EA3-408C-BDB4-2D91F2BDB70A}"/>
    <cellStyle name="Normal 5 3 4 3 5" xfId="881" xr:uid="{916B833B-C0EA-4981-B735-750E7F42EB07}"/>
    <cellStyle name="Normal 5 3 4 3 5 2" xfId="3452" xr:uid="{D0235F89-4F55-4AED-914E-846692C61686}"/>
    <cellStyle name="Normal 5 3 4 3 6" xfId="2894" xr:uid="{A303CA9C-236D-4F53-A4DD-5E2BC29D366A}"/>
    <cellStyle name="Normal 5 3 4 4" xfId="656" xr:uid="{00000000-0005-0000-0000-000090020000}"/>
    <cellStyle name="Normal 5 3 4 4 2" xfId="657" xr:uid="{00000000-0005-0000-0000-000091020000}"/>
    <cellStyle name="Normal 5 3 4 4 3" xfId="880" xr:uid="{E3720D7D-42BA-4BFA-933F-98B819ED5850}"/>
    <cellStyle name="Normal 5 3 4 4 3 2" xfId="3451" xr:uid="{1FBA4B66-3BA7-497E-8333-1EE4F3DA3C6E}"/>
    <cellStyle name="Normal 5 3 4 4 4" xfId="2893" xr:uid="{DBE0E94B-4ABF-4914-9449-8380490D5E1D}"/>
    <cellStyle name="Normal 5 3 5" xfId="848" xr:uid="{F1C8A24F-DCED-4E06-8C81-7F8602C5D28F}"/>
    <cellStyle name="Normal 5 3 5 2" xfId="3420" xr:uid="{32A5AD1D-BBF0-4F22-B242-270AFFDE708A}"/>
    <cellStyle name="Normal 5 3 6" xfId="2865" xr:uid="{650AD524-04CF-472F-9763-19D63C43C799}"/>
    <cellStyle name="Normal 5 4" xfId="658" xr:uid="{00000000-0005-0000-0000-000092020000}"/>
    <cellStyle name="Normal 5 4 2" xfId="659" xr:uid="{00000000-0005-0000-0000-000093020000}"/>
    <cellStyle name="Normal 5 5" xfId="660" xr:uid="{00000000-0005-0000-0000-000094020000}"/>
    <cellStyle name="Normal 5 5 10" xfId="661" xr:uid="{00000000-0005-0000-0000-000095020000}"/>
    <cellStyle name="Normal 5 5 10 2" xfId="662" xr:uid="{00000000-0005-0000-0000-000096020000}"/>
    <cellStyle name="Normal 5 5 10 3" xfId="1348" xr:uid="{9F189AF2-EB9A-4E6C-B3D7-6C9731F0BE1F}"/>
    <cellStyle name="Normal 5 5 10 4" xfId="2148" xr:uid="{BC33A2F8-2FC8-4FF0-BA62-E79E2F273943}"/>
    <cellStyle name="Normal 5 5 10 5" xfId="883" xr:uid="{FC276C43-A779-4B40-9D14-0810F90C80F6}"/>
    <cellStyle name="Normal 5 5 10 5 2" xfId="3454" xr:uid="{AF984E60-D956-4646-93A1-B3EA4B2A6134}"/>
    <cellStyle name="Normal 5 5 10 6" xfId="2896" xr:uid="{242A3123-5ADD-45CC-AD5E-60885BAAE77A}"/>
    <cellStyle name="Normal 5 5 11" xfId="663" xr:uid="{00000000-0005-0000-0000-000097020000}"/>
    <cellStyle name="Normal 5 5 11 2" xfId="1140" xr:uid="{DA0895D6-0B79-4752-95FC-E84AB44B787C}"/>
    <cellStyle name="Normal 5 5 11 2 2" xfId="2149" xr:uid="{9DEC8440-5A65-49AB-836E-E83ABFFAE52F}"/>
    <cellStyle name="Normal 5 5 11 2 2 2" xfId="4542" xr:uid="{94B52DD1-7581-4BD4-B047-C9995E1C50A3}"/>
    <cellStyle name="Normal 5 5 11 2 3" xfId="3653" xr:uid="{A87E986E-6542-4C56-BCD3-58F97CEEFF73}"/>
    <cellStyle name="Normal 5 5 11 3" xfId="1933" xr:uid="{F085BA30-B1CE-4B6C-8BEA-D4A5CEF71577}"/>
    <cellStyle name="Normal 5 5 11 3 2" xfId="4343" xr:uid="{EF7E1CC5-AA41-4C84-A652-317ABAE42624}"/>
    <cellStyle name="Normal 5 5 11 4" xfId="3062" xr:uid="{F836BEC3-6B98-4596-B347-19377771A7E9}"/>
    <cellStyle name="Normal 5 5 11 5" xfId="3366" xr:uid="{904AAACA-37D2-40A0-8225-8BF5556E2113}"/>
    <cellStyle name="Normal 5 5 12" xfId="664" xr:uid="{00000000-0005-0000-0000-000098020000}"/>
    <cellStyle name="Normal 5 5 12 2" xfId="665" xr:uid="{00000000-0005-0000-0000-000099020000}"/>
    <cellStyle name="Normal 5 5 12 2 2" xfId="2841" xr:uid="{75A135A9-B550-4CE3-BB57-15FA564C7AA4}"/>
    <cellStyle name="Normal 5 5 12 2 3" xfId="912" xr:uid="{2D340A74-5B1E-43AF-BC0C-889E32AF2317}"/>
    <cellStyle name="Normal 5 5 12 2 3 2" xfId="3479" xr:uid="{55FE5929-E381-4B5F-A1AB-4EBFBBF57AD6}"/>
    <cellStyle name="Normal 5 5 12 2 4" xfId="2929" xr:uid="{9C83C751-68CF-4FA6-8DA2-F2482F27F513}"/>
    <cellStyle name="Normal 5 5 12 3" xfId="666" xr:uid="{00000000-0005-0000-0000-00009A020000}"/>
    <cellStyle name="Normal 5 5 12 4" xfId="1141" xr:uid="{C2D09C7C-2DA7-4502-975B-13671327CDE3}"/>
    <cellStyle name="Normal 5 5 12 4 2" xfId="2840" xr:uid="{E89929DE-0051-4C1A-9631-0B6E772D3901}"/>
    <cellStyle name="Normal 5 5 12 4 3" xfId="3654" xr:uid="{D0FEAC23-0425-44E6-9C15-11D07F482C62}"/>
    <cellStyle name="Normal 5 5 12 4 4" xfId="2928" xr:uid="{6B5FADA4-E3FC-41AA-BC4A-D0EF66CD1E1A}"/>
    <cellStyle name="Normal 5 5 12 5" xfId="1347" xr:uid="{AF198D00-132A-42F8-A66D-9EF04634FEAF}"/>
    <cellStyle name="Normal 5 5 12 6" xfId="882" xr:uid="{0B4AE1C8-3C54-4F9E-9C57-A5AA532AA467}"/>
    <cellStyle name="Normal 5 5 12 6 2" xfId="3453" xr:uid="{4790EA70-7E28-4552-AC52-E4A5220ECAE1}"/>
    <cellStyle name="Normal 5 5 12 7" xfId="2920" xr:uid="{EA61EC56-30EA-4180-95AD-B993BEBF31CD}"/>
    <cellStyle name="Normal 5 5 13" xfId="667" xr:uid="{00000000-0005-0000-0000-00009B020000}"/>
    <cellStyle name="Normal 5 5 13 2" xfId="668" xr:uid="{00000000-0005-0000-0000-00009C020000}"/>
    <cellStyle name="Normal 5 5 13 3" xfId="2665" xr:uid="{72A19D27-CF59-46D1-B37B-6CA1F60A11E6}"/>
    <cellStyle name="Normal 5 5 13 3 2" xfId="5040" xr:uid="{B8AAAF94-9B22-48B3-A41A-8994D8DA74AC}"/>
    <cellStyle name="Normal 5 5 13 4" xfId="908" xr:uid="{0FBBAEA0-AB5F-4435-8508-FB3868BF280F}"/>
    <cellStyle name="Normal 5 5 13 4 2" xfId="3476" xr:uid="{61192BCB-EA20-4F99-BBAE-A28FD0DEDC2A}"/>
    <cellStyle name="Normal 5 5 13 5" xfId="2895" xr:uid="{5CF114ED-61B4-4D57-9664-C12EE7A604DB}"/>
    <cellStyle name="Normal 5 5 14" xfId="2147" xr:uid="{603AC361-63D8-462E-A902-1420404D1F99}"/>
    <cellStyle name="Normal 5 5 15" xfId="1490" xr:uid="{8A2EE45C-7E81-43D2-B365-706504AC86CB}"/>
    <cellStyle name="Normal 5 5 15 2" xfId="3900" xr:uid="{A0C216F4-EA3A-476C-9623-7C3DE1DDDA5A}"/>
    <cellStyle name="Normal 5 5 2" xfId="669" xr:uid="{00000000-0005-0000-0000-00009D020000}"/>
    <cellStyle name="Normal 5 5 2 2" xfId="670" xr:uid="{00000000-0005-0000-0000-00009E020000}"/>
    <cellStyle name="Normal 5 5 2 2 2" xfId="1144" xr:uid="{A66AC291-1649-4D2B-970D-A9C91D349291}"/>
    <cellStyle name="Normal 5 5 2 2 2 2" xfId="1351" xr:uid="{20B57E1C-5E73-4DF0-8CB9-00DEFFDA059F}"/>
    <cellStyle name="Normal 5 5 2 2 2 2 2" xfId="2667" xr:uid="{2A55581A-F849-49D0-BAE4-80F6FF5C5E66}"/>
    <cellStyle name="Normal 5 5 2 2 2 2 2 2" xfId="5042" xr:uid="{6F43412B-1887-4A88-A43F-3D15F6A55202}"/>
    <cellStyle name="Normal 5 5 2 2 2 2 3" xfId="1935" xr:uid="{8C13D625-33C2-446A-856F-0D5724A3F3C3}"/>
    <cellStyle name="Normal 5 5 2 2 2 2 3 2" xfId="4345" xr:uid="{B289EABA-11F0-4CE5-A989-1C7F9D0AE95E}"/>
    <cellStyle name="Normal 5 5 2 2 2 2 4" xfId="3836" xr:uid="{BA6F357A-F8F5-4C94-A30F-8BA48B5E3429}"/>
    <cellStyle name="Normal 5 5 2 2 2 3" xfId="2668" xr:uid="{A6B537CA-46B3-40FB-AF7A-73EF33B088AF}"/>
    <cellStyle name="Normal 5 5 2 2 2 3 2" xfId="5043" xr:uid="{93E75363-D7DC-4FE2-83EE-574D59718A6A}"/>
    <cellStyle name="Normal 5 5 2 2 2 4" xfId="2666" xr:uid="{85C3B231-285E-482A-805D-80F8978851E0}"/>
    <cellStyle name="Normal 5 5 2 2 2 4 2" xfId="5041" xr:uid="{D5F81C7E-1AEF-441F-B2C0-8A1726CCC996}"/>
    <cellStyle name="Normal 5 5 2 2 2 5" xfId="1713" xr:uid="{C1B12920-4063-4D11-84BB-4DFBE31F5E86}"/>
    <cellStyle name="Normal 5 5 2 2 2 5 2" xfId="4123" xr:uid="{1FFF084B-3510-4EBE-A60B-413C50DDD0AF}"/>
    <cellStyle name="Normal 5 5 2 2 2 6" xfId="3657" xr:uid="{C7600A23-D2F8-4B4B-A0A5-4D899B0BE82A}"/>
    <cellStyle name="Normal 5 5 2 2 3" xfId="1350" xr:uid="{6C558FA2-F20B-489B-9228-CE1DF90434C1}"/>
    <cellStyle name="Normal 5 5 2 2 3 2" xfId="2669" xr:uid="{64FCC3F8-A1D5-4AF7-B138-EAB819A6072B}"/>
    <cellStyle name="Normal 5 5 2 2 3 2 2" xfId="5044" xr:uid="{F8C8CBF1-BF84-4F0F-922D-A2D0E79E45A9}"/>
    <cellStyle name="Normal 5 5 2 2 3 3" xfId="1934" xr:uid="{4ACB09FA-AF1E-41CE-980F-3769AB5AF29F}"/>
    <cellStyle name="Normal 5 5 2 2 3 3 2" xfId="4344" xr:uid="{C53C6BAF-ACB5-4A31-853D-B6B05DF2B945}"/>
    <cellStyle name="Normal 5 5 2 2 3 4" xfId="3835" xr:uid="{31517B91-F076-4B45-9413-B0ADB89B9BE2}"/>
    <cellStyle name="Normal 5 5 2 2 4" xfId="2670" xr:uid="{DC179707-3E85-42DF-B40B-576B547E9B9E}"/>
    <cellStyle name="Normal 5 5 2 2 4 2" xfId="5045" xr:uid="{B3F63EDA-5778-4C61-BD7F-DFAF11C62FC2}"/>
    <cellStyle name="Normal 5 5 2 2 5" xfId="2150" xr:uid="{8B61413D-FFBB-4B64-9EFC-E9638A9E7F57}"/>
    <cellStyle name="Normal 5 5 2 2 5 2" xfId="4543" xr:uid="{D2EDEF5C-E7B9-40D1-BB8E-E2871AB1C5B6}"/>
    <cellStyle name="Normal 5 5 2 2 6" xfId="1610" xr:uid="{2F0F40DE-2077-4BDC-990A-3C966D6B8C93}"/>
    <cellStyle name="Normal 5 5 2 2 6 2" xfId="4020" xr:uid="{39E22026-ACC3-4980-8700-4B0515786B83}"/>
    <cellStyle name="Normal 5 5 2 2 7" xfId="3063" xr:uid="{0AA556D3-FE96-45C5-BC10-3CFFB1A4A0CE}"/>
    <cellStyle name="Normal 5 5 2 2 8" xfId="3367" xr:uid="{72BDF74A-5019-49B8-9A7B-2E7FA6A59EFD}"/>
    <cellStyle name="Normal 5 5 2 3" xfId="671" xr:uid="{00000000-0005-0000-0000-00009F020000}"/>
    <cellStyle name="Normal 5 5 2 3 2" xfId="1353" xr:uid="{EE7BF7F1-C7E5-4AD1-8B0D-3243DCB47088}"/>
    <cellStyle name="Normal 5 5 2 3 2 2" xfId="2671" xr:uid="{A2FA0422-9E58-45E7-B97E-32FE3B36EE85}"/>
    <cellStyle name="Normal 5 5 2 3 2 2 2" xfId="5046" xr:uid="{E8735218-FEBD-4BD8-BCE4-588E403DDF6A}"/>
    <cellStyle name="Normal 5 5 2 3 2 3" xfId="1936" xr:uid="{2DAD3848-ED13-45F7-A006-345117699AAB}"/>
    <cellStyle name="Normal 5 5 2 3 2 3 2" xfId="4346" xr:uid="{443D9C0B-8897-4521-8F5F-804EFA27C84F}"/>
    <cellStyle name="Normal 5 5 2 3 2 4" xfId="3837" xr:uid="{688C5E55-7ED8-4841-B116-20D59C5AC421}"/>
    <cellStyle name="Normal 5 5 2 3 3" xfId="1352" xr:uid="{9C5BA00D-D78E-4FAF-8669-6B8A94A5F09D}"/>
    <cellStyle name="Normal 5 5 2 3 4" xfId="945" xr:uid="{250E5631-C821-4C03-9B17-9BFAEC7289C3}"/>
    <cellStyle name="Normal 5 5 2 3 4 2" xfId="2672" xr:uid="{7829BF37-ECDD-4DD3-8B83-54F40D6A7423}"/>
    <cellStyle name="Normal 5 5 2 3 4 2 2" xfId="5047" xr:uid="{91686641-A77C-49E8-A9C7-667D490CE6A1}"/>
    <cellStyle name="Normal 5 5 2 3 4 3" xfId="3507" xr:uid="{8A62EFC5-83A5-466D-95D0-618D2C61CB61}"/>
    <cellStyle name="Normal 5 5 2 3 5" xfId="1653" xr:uid="{E9DB31D9-9FF0-46A0-9E74-7E44918F1FDD}"/>
    <cellStyle name="Normal 5 5 2 3 5 2" xfId="4063" xr:uid="{9FE545DA-F124-4711-8C86-9C9E2A9A0C89}"/>
    <cellStyle name="Normal 5 5 2 4" xfId="672" xr:uid="{00000000-0005-0000-0000-0000A0020000}"/>
    <cellStyle name="Normal 5 5 2 4 2" xfId="1146" xr:uid="{1512616C-ECD6-47BA-A88E-42067F055C4C}"/>
    <cellStyle name="Normal 5 5 2 4 2 2" xfId="2151" xr:uid="{2FDB08C3-ADF7-4F98-9CD1-515C86AC7B0E}"/>
    <cellStyle name="Normal 5 5 2 4 2 2 2" xfId="4544" xr:uid="{DFB91775-B428-4803-B99F-1E970ACED0DC}"/>
    <cellStyle name="Normal 5 5 2 4 2 3" xfId="3659" xr:uid="{423B3EC8-AFCE-44BE-A01F-F07D41E1FC0A}"/>
    <cellStyle name="Normal 5 5 2 4 3" xfId="1937" xr:uid="{F9CA1CFA-0CB4-40F8-9D73-E73497471A64}"/>
    <cellStyle name="Normal 5 5 2 4 3 2" xfId="4347" xr:uid="{4C61503B-020C-4F6E-AA53-6CB4E7BCF567}"/>
    <cellStyle name="Normal 5 5 2 4 4" xfId="3064" xr:uid="{A3FC0FEB-3EDF-46F7-85AD-61B0EC55B945}"/>
    <cellStyle name="Normal 5 5 2 4 5" xfId="3368" xr:uid="{6302E6CB-4358-4275-92C5-2524D21AD484}"/>
    <cellStyle name="Normal 5 5 2 5" xfId="1349" xr:uid="{9A93838D-C0CF-4839-BBFF-B293B5AE0CD6}"/>
    <cellStyle name="Normal 5 5 2 6" xfId="2673" xr:uid="{E841B19A-58E8-4265-8089-A21001B51623}"/>
    <cellStyle name="Normal 5 5 2 6 2" xfId="5048" xr:uid="{1096B0A8-E1DD-406F-8914-CDAF7B5B21E3}"/>
    <cellStyle name="Normal 5 5 2 7" xfId="1550" xr:uid="{22BE86D5-9DDC-4BC2-A905-DD7FB09CCDF8}"/>
    <cellStyle name="Normal 5 5 2 7 2" xfId="3960" xr:uid="{52C0A47C-F7F4-402C-803A-9D03F944F345}"/>
    <cellStyle name="Normal 5 5 3" xfId="673" xr:uid="{00000000-0005-0000-0000-0000A1020000}"/>
    <cellStyle name="Normal 5 5 3 2" xfId="674" xr:uid="{00000000-0005-0000-0000-0000A2020000}"/>
    <cellStyle name="Normal 5 5 3 2 2" xfId="1148" xr:uid="{006CAEB4-63D6-4469-A964-1F2A92A1518A}"/>
    <cellStyle name="Normal 5 5 3 2 2 2" xfId="2675" xr:uid="{9AB16E96-82C3-4B78-AFF5-7229DAE60AE8}"/>
    <cellStyle name="Normal 5 5 3 2 2 2 2" xfId="5050" xr:uid="{4AB12444-CD9E-4622-9105-AF1723108560}"/>
    <cellStyle name="Normal 5 5 3 2 2 3" xfId="1939" xr:uid="{E68845FE-815F-4FA7-AA8B-F7742980470C}"/>
    <cellStyle name="Normal 5 5 3 2 2 3 2" xfId="4349" xr:uid="{9BE3EC7B-D84A-41F4-B32D-A4E5D2DB2FD6}"/>
    <cellStyle name="Normal 5 5 3 2 2 4" xfId="3661" xr:uid="{C36D859C-7303-42DE-A394-09E4108C563F}"/>
    <cellStyle name="Normal 5 5 3 2 3" xfId="2676" xr:uid="{6FFC6935-20E9-471B-AEA4-6738DF31DBCB}"/>
    <cellStyle name="Normal 5 5 3 2 3 2" xfId="5051" xr:uid="{5D9F3FDE-D94C-4755-B96C-CB663EDC45F1}"/>
    <cellStyle name="Normal 5 5 3 2 4" xfId="2674" xr:uid="{456D0FFE-6CBE-486F-8111-97A75B78CC5A}"/>
    <cellStyle name="Normal 5 5 3 2 4 2" xfId="5049" xr:uid="{CCEA6749-73E4-46C0-BF3F-D8A7BF041F2F}"/>
    <cellStyle name="Normal 5 5 3 2 5" xfId="1587" xr:uid="{FA8393DC-052E-4EF1-A90C-334C85AA1AAB}"/>
    <cellStyle name="Normal 5 5 3 2 5 2" xfId="3997" xr:uid="{242DF3C0-2A68-4BD7-8FE0-38177A2EB770}"/>
    <cellStyle name="Normal 5 5 3 2 6" xfId="3066" xr:uid="{6CC1E567-0F5A-47C9-83E2-DD97492F7C18}"/>
    <cellStyle name="Normal 5 5 3 2 7" xfId="3370" xr:uid="{08070A52-B2D1-4160-B8F6-B1D6ED9815E5}"/>
    <cellStyle name="Normal 5 5 3 3" xfId="675" xr:uid="{00000000-0005-0000-0000-0000A3020000}"/>
    <cellStyle name="Normal 5 5 3 3 2" xfId="676" xr:uid="{00000000-0005-0000-0000-0000A4020000}"/>
    <cellStyle name="Normal 5 5 3 3 2 2" xfId="1354" xr:uid="{D39DABD3-E261-44EB-BEDD-D40F165A83B0}"/>
    <cellStyle name="Normal 5 5 3 3 2 2 2" xfId="2679" xr:uid="{4882CD91-9C07-4A31-A12E-701625C92A9A}"/>
    <cellStyle name="Normal 5 5 3 3 2 2 2 2" xfId="5053" xr:uid="{F8849F85-8C7E-42F1-BFA2-C7E56EBCFF73}"/>
    <cellStyle name="Normal 5 5 3 3 2 2 3" xfId="3838" xr:uid="{3732673A-ACA4-4B01-A058-C91E31BF3094}"/>
    <cellStyle name="Normal 5 5 3 3 2 3" xfId="2678" xr:uid="{B62538ED-9D49-4A03-A351-A94DFF0812D7}"/>
    <cellStyle name="Normal 5 5 3 3 2 4" xfId="1940" xr:uid="{DE6E8F2B-425C-4A60-8DF7-FCED15AB6E6F}"/>
    <cellStyle name="Normal 5 5 3 3 2 4 2" xfId="4350" xr:uid="{94CEC0D7-9511-49A2-9C92-FC43EDB042B8}"/>
    <cellStyle name="Normal 5 5 3 3 3" xfId="1006" xr:uid="{BD3D7E21-DFE9-4DAC-B414-971305721332}"/>
    <cellStyle name="Normal 5 5 3 3 3 2" xfId="2680" xr:uid="{75A441A9-7AA9-4734-8399-1A7DEB4797C9}"/>
    <cellStyle name="Normal 5 5 3 3 3 2 2" xfId="5054" xr:uid="{EE91F4CC-889D-45C0-83E1-0E28AC47F38B}"/>
    <cellStyle name="Normal 5 5 3 3 3 3" xfId="3526" xr:uid="{D4E01219-B318-44D6-AAB8-38484ACD6273}"/>
    <cellStyle name="Normal 5 5 3 3 4" xfId="2677" xr:uid="{3C9C4138-9878-469E-A844-072308F83482}"/>
    <cellStyle name="Normal 5 5 3 3 4 2" xfId="5052" xr:uid="{6088046A-EEE2-44F5-A6B4-C823EB5DDCDC}"/>
    <cellStyle name="Normal 5 5 3 3 5" xfId="1690" xr:uid="{7B44CD3E-E3ED-489D-8A6A-BBFFD7002F36}"/>
    <cellStyle name="Normal 5 5 3 3 5 2" xfId="4100" xr:uid="{50EBD207-6843-4A32-9470-167D95C62E18}"/>
    <cellStyle name="Normal 5 5 3 3 6" xfId="920" xr:uid="{3B76C44C-9095-48C4-B6C9-F142E00BFC8F}"/>
    <cellStyle name="Normal 5 5 3 3 6 2" xfId="3485" xr:uid="{7A83CF98-40E9-4AA7-86CF-4EB31D128882}"/>
    <cellStyle name="Normal 5 5 3 3 7" xfId="2921" xr:uid="{042C3F30-912D-423A-A1F2-C4D042D38218}"/>
    <cellStyle name="Normal 5 5 3 4" xfId="1147" xr:uid="{D9093268-B127-4AF1-82C7-F0FAE09C2760}"/>
    <cellStyle name="Normal 5 5 3 4 2" xfId="2681" xr:uid="{4C4A3FC6-3F30-4ACA-B6A2-E3B7E66308B6}"/>
    <cellStyle name="Normal 5 5 3 4 2 2" xfId="5055" xr:uid="{04E90FFD-0827-4D7F-9E59-2E252F5A5BD4}"/>
    <cellStyle name="Normal 5 5 3 4 3" xfId="1938" xr:uid="{04DE96B0-D155-4032-BD79-E0CD984F78FB}"/>
    <cellStyle name="Normal 5 5 3 4 3 2" xfId="4348" xr:uid="{37628C53-959F-4928-8000-D9FD6C5D06E1}"/>
    <cellStyle name="Normal 5 5 3 4 4" xfId="3660" xr:uid="{837D3929-F9F8-4DD5-8F3B-DF30C496B347}"/>
    <cellStyle name="Normal 5 5 3 5" xfId="2682" xr:uid="{8B4AC868-CAF1-4E69-9B02-6643765BA5D5}"/>
    <cellStyle name="Normal 5 5 3 5 2" xfId="5056" xr:uid="{AD058259-5E7A-4F0A-A797-48DBF2B3BB3E}"/>
    <cellStyle name="Normal 5 5 3 6" xfId="2152" xr:uid="{68D84C9F-4BAC-460E-A675-188820353248}"/>
    <cellStyle name="Normal 5 5 3 6 2" xfId="4545" xr:uid="{D97355AF-A61B-4F18-816D-F22D14054B55}"/>
    <cellStyle name="Normal 5 5 3 7" xfId="1527" xr:uid="{06E4A44C-DC9A-4B93-99CA-5473AE85E6B0}"/>
    <cellStyle name="Normal 5 5 3 7 2" xfId="3937" xr:uid="{CFEEDB47-8B0C-42A5-ACC0-39FB75BAF471}"/>
    <cellStyle name="Normal 5 5 3 8" xfId="3065" xr:uid="{ABECB5A6-46BB-43A0-A303-EB9CA3DFE186}"/>
    <cellStyle name="Normal 5 5 3 9" xfId="3369" xr:uid="{2168C5AD-F781-49A5-818B-5B123D86CA6D}"/>
    <cellStyle name="Normal 5 5 4" xfId="677" xr:uid="{00000000-0005-0000-0000-0000A5020000}"/>
    <cellStyle name="Normal 5 5 4 2" xfId="1150" xr:uid="{032B5240-64BC-4393-8958-45AC2723F4EC}"/>
    <cellStyle name="Normal 5 5 4 2 2" xfId="1356" xr:uid="{F9C2DB14-E3B3-437D-A640-C42CB8B9437F}"/>
    <cellStyle name="Normal 5 5 4 2 2 2" xfId="2684" xr:uid="{7A1ACCA8-5129-4358-85C4-9B5FA31F6DAC}"/>
    <cellStyle name="Normal 5 5 4 2 2 2 2" xfId="5058" xr:uid="{848B86BE-E610-493D-8DA4-79CD244BF197}"/>
    <cellStyle name="Normal 5 5 4 2 2 3" xfId="1942" xr:uid="{7C0A879C-6FC7-44DD-A8EB-3C5047FD4543}"/>
    <cellStyle name="Normal 5 5 4 2 2 3 2" xfId="4352" xr:uid="{8ED87C95-4C94-464C-B85B-9ED10FA6AC63}"/>
    <cellStyle name="Normal 5 5 4 2 2 4" xfId="3840" xr:uid="{85ACC234-CEFE-4676-A95F-88BA5392CA2C}"/>
    <cellStyle name="Normal 5 5 4 2 3" xfId="2685" xr:uid="{3342A4E8-AE05-4438-8855-D72C3610D2FD}"/>
    <cellStyle name="Normal 5 5 4 2 3 2" xfId="5059" xr:uid="{4C29A6F1-A718-4302-B7AF-C50B78E1FBC1}"/>
    <cellStyle name="Normal 5 5 4 2 4" xfId="2683" xr:uid="{FFA3FEEE-EA21-490D-9714-F9D92291DF60}"/>
    <cellStyle name="Normal 5 5 4 2 4 2" xfId="5057" xr:uid="{462DCB13-5FC8-40A0-A34D-CF0CA02A0F99}"/>
    <cellStyle name="Normal 5 5 4 2 5" xfId="1670" xr:uid="{CA9E1010-AE45-4CD2-8AF1-438B3ED1D4D3}"/>
    <cellStyle name="Normal 5 5 4 2 5 2" xfId="4080" xr:uid="{80CA8930-B23D-4B60-8284-5E014FDB9284}"/>
    <cellStyle name="Normal 5 5 4 2 6" xfId="3663" xr:uid="{84EE2877-E266-4B97-BE10-F7B7C56AA0D9}"/>
    <cellStyle name="Normal 5 5 4 3" xfId="1355" xr:uid="{81B15488-A6CD-458B-B61C-EC45D3130E30}"/>
    <cellStyle name="Normal 5 5 4 3 2" xfId="2686" xr:uid="{8EA56472-A6CC-46F9-9028-C9B842D96015}"/>
    <cellStyle name="Normal 5 5 4 3 2 2" xfId="5060" xr:uid="{DF09D14D-BBB3-4683-8BC2-E4B78920EBEB}"/>
    <cellStyle name="Normal 5 5 4 3 3" xfId="1941" xr:uid="{C3EE18CE-FA83-475D-BDED-104503E1BFA1}"/>
    <cellStyle name="Normal 5 5 4 3 3 2" xfId="4351" xr:uid="{32EC86D5-67DC-4B8D-816C-8505AF4B245D}"/>
    <cellStyle name="Normal 5 5 4 3 4" xfId="3839" xr:uid="{3CF3FD5D-6401-4B55-B760-01E04EBE3600}"/>
    <cellStyle name="Normal 5 5 4 4" xfId="2687" xr:uid="{14849E0B-0F61-495E-942C-37003C264C39}"/>
    <cellStyle name="Normal 5 5 4 4 2" xfId="5061" xr:uid="{4AD64C07-B041-465F-AD6B-EA3E3B53A695}"/>
    <cellStyle name="Normal 5 5 4 5" xfId="2153" xr:uid="{298A636E-91E1-4B0E-8119-4A0BEF80F717}"/>
    <cellStyle name="Normal 5 5 4 5 2" xfId="4546" xr:uid="{76A98FA1-31AC-49F9-BDE8-4E293E985385}"/>
    <cellStyle name="Normal 5 5 4 6" xfId="1507" xr:uid="{0A9CF85B-9F07-4842-9A78-611509F18FD1}"/>
    <cellStyle name="Normal 5 5 4 6 2" xfId="3917" xr:uid="{31BEED77-6E44-4400-B0C8-7C2EC4E5AB40}"/>
    <cellStyle name="Normal 5 5 4 7" xfId="3067" xr:uid="{7C4077DD-4D66-4EFF-963A-7969AFA5C3CD}"/>
    <cellStyle name="Normal 5 5 4 8" xfId="3371" xr:uid="{5F156D41-D7B4-4B1D-9FB5-79E6B1853E26}"/>
    <cellStyle name="Normal 5 5 5" xfId="678" xr:uid="{00000000-0005-0000-0000-0000A6020000}"/>
    <cellStyle name="Normal 5 5 5 2" xfId="1151" xr:uid="{FBF1717D-6C23-40D7-8225-2E6F37E5184B}"/>
    <cellStyle name="Normal 5 5 5 2 2" xfId="2688" xr:uid="{FFEE8E70-EA4B-419A-9327-CBCCD7DC4A48}"/>
    <cellStyle name="Normal 5 5 5 2 2 2" xfId="5062" xr:uid="{40C80CB2-F798-4DA8-80D3-426C022054F6}"/>
    <cellStyle name="Normal 5 5 5 2 3" xfId="1943" xr:uid="{4989F5D7-3E34-4021-AFD3-14AA3307FD0B}"/>
    <cellStyle name="Normal 5 5 5 2 3 2" xfId="4353" xr:uid="{99C85441-841D-43B4-92AD-9A40C0D8AAA0}"/>
    <cellStyle name="Normal 5 5 5 2 4" xfId="3664" xr:uid="{1CBBDD63-F0CC-4D54-94BB-16FDFB94FCC1}"/>
    <cellStyle name="Normal 5 5 5 3" xfId="2689" xr:uid="{C1EDDAC5-A94D-42EE-BCEE-C6E9B40211D0}"/>
    <cellStyle name="Normal 5 5 5 3 2" xfId="5063" xr:uid="{B31F02C2-5B08-4DA1-89DB-D003168DFC2A}"/>
    <cellStyle name="Normal 5 5 5 4" xfId="2154" xr:uid="{74065858-FD5E-47EF-A36D-770BAADDCC54}"/>
    <cellStyle name="Normal 5 5 5 4 2" xfId="4547" xr:uid="{47A1845A-15B3-40D5-8BA7-4B8AEA22D1AE}"/>
    <cellStyle name="Normal 5 5 5 5" xfId="1567" xr:uid="{06A041FA-8AB9-4271-B2B4-06007E857144}"/>
    <cellStyle name="Normal 5 5 5 5 2" xfId="3977" xr:uid="{D1F39AD4-6596-409E-9B5B-C6112239295E}"/>
    <cellStyle name="Normal 5 5 5 6" xfId="3068" xr:uid="{85FEC0EB-4AB9-4B40-8FCF-1CD2A94768F2}"/>
    <cellStyle name="Normal 5 5 5 7" xfId="3372" xr:uid="{BAE00B7F-43EE-44E6-B432-E3961042B7F8}"/>
    <cellStyle name="Normal 5 5 6" xfId="679" xr:uid="{00000000-0005-0000-0000-0000A7020000}"/>
    <cellStyle name="Normal 5 5 6 2" xfId="1152" xr:uid="{A0B5755C-C807-444E-B238-FE1431AC51F7}"/>
    <cellStyle name="Normal 5 5 6 2 2" xfId="2690" xr:uid="{28991EE5-5F6B-438D-8E46-35ADF6E27CB6}"/>
    <cellStyle name="Normal 5 5 6 2 2 2" xfId="5064" xr:uid="{B1F42055-E939-440F-8FCF-CBF1BB59E460}"/>
    <cellStyle name="Normal 5 5 6 2 3" xfId="1944" xr:uid="{EAAC2880-AB8E-42BB-87B5-EC952BADD95D}"/>
    <cellStyle name="Normal 5 5 6 2 3 2" xfId="4354" xr:uid="{5FCA40CC-6A8B-4DAD-9F7B-EA322CB04E0C}"/>
    <cellStyle name="Normal 5 5 6 2 4" xfId="3665" xr:uid="{E8930407-007A-4723-8C2E-D3979150C22C}"/>
    <cellStyle name="Normal 5 5 6 3" xfId="2691" xr:uid="{FA571D14-C169-4E72-BF58-F2DAF9AD9DF3}"/>
    <cellStyle name="Normal 5 5 6 3 2" xfId="5065" xr:uid="{67D20FE3-3E76-4C05-97F1-DDCDE08D17AC}"/>
    <cellStyle name="Normal 5 5 6 4" xfId="2155" xr:uid="{CEB5F2DC-1C4B-4B19-9813-C4DEFC4708B0}"/>
    <cellStyle name="Normal 5 5 6 4 2" xfId="4548" xr:uid="{E14B528A-2DB6-4C8C-945D-28B944FD0B33}"/>
    <cellStyle name="Normal 5 5 6 5" xfId="1630" xr:uid="{BE7DF39D-22D4-485D-B940-859079042A33}"/>
    <cellStyle name="Normal 5 5 6 5 2" xfId="4040" xr:uid="{ADBFA095-AC24-4476-B56F-56B59A2FB5A4}"/>
    <cellStyle name="Normal 5 5 6 6" xfId="3069" xr:uid="{80088F28-BDCF-4064-AD3A-39FA99DF3262}"/>
    <cellStyle name="Normal 5 5 6 7" xfId="3373" xr:uid="{3BCE9EDE-2D42-469F-83B7-E4D636FE11BC}"/>
    <cellStyle name="Normal 5 5 7" xfId="680" xr:uid="{00000000-0005-0000-0000-0000A8020000}"/>
    <cellStyle name="Normal 5 5 7 2" xfId="1153" xr:uid="{D590CC1C-434E-4897-9549-2D0603BF0EDF}"/>
    <cellStyle name="Normal 5 5 7 2 2" xfId="2156" xr:uid="{9FCA891C-57DA-41C9-A4A5-E8A52CB03D9D}"/>
    <cellStyle name="Normal 5 5 7 2 2 2" xfId="4549" xr:uid="{6C3DB7B8-C2E4-47C6-914E-3787C64C6924}"/>
    <cellStyle name="Normal 5 5 7 2 3" xfId="3666" xr:uid="{55446499-42FA-4EAA-9C0F-9D1ADBF988DA}"/>
    <cellStyle name="Normal 5 5 7 3" xfId="1945" xr:uid="{79039E38-94FD-4595-B0BB-2A5E05E64E41}"/>
    <cellStyle name="Normal 5 5 7 3 2" xfId="4355" xr:uid="{BB0E446F-4658-424F-BF57-10EA232480DE}"/>
    <cellStyle name="Normal 5 5 7 4" xfId="3070" xr:uid="{5A784278-AF62-4154-8AF6-98C288E80E03}"/>
    <cellStyle name="Normal 5 5 7 5" xfId="3374" xr:uid="{BAD98866-51F5-48A6-950C-D181F539779C}"/>
    <cellStyle name="Normal 5 5 8" xfId="681" xr:uid="{00000000-0005-0000-0000-0000A9020000}"/>
    <cellStyle name="Normal 5 5 8 2" xfId="1154" xr:uid="{72683B7F-E693-4E76-89D4-FC22FDF978D9}"/>
    <cellStyle name="Normal 5 5 8 2 2" xfId="2157" xr:uid="{4EB18E71-30D8-4FFD-B80D-CBDF2C8F05E1}"/>
    <cellStyle name="Normal 5 5 8 2 2 2" xfId="4550" xr:uid="{F329F358-D2F5-48C2-B64D-4EB4A6C23302}"/>
    <cellStyle name="Normal 5 5 8 2 3" xfId="3667" xr:uid="{C99CCCDF-444E-4F29-861D-AFA7959A58C3}"/>
    <cellStyle name="Normal 5 5 8 3" xfId="1946" xr:uid="{3362A0D2-EF79-493B-B6D9-D59EA4F033E6}"/>
    <cellStyle name="Normal 5 5 8 3 2" xfId="4356" xr:uid="{1341C349-3C3B-4159-B0C8-23CC7E9CB5B7}"/>
    <cellStyle name="Normal 5 5 8 4" xfId="3071" xr:uid="{BA9E8B3D-F5A6-4086-AEBA-837EE8066A0D}"/>
    <cellStyle name="Normal 5 5 8 5" xfId="3375" xr:uid="{3EB77C92-ACA6-4DE2-B8DB-F54E0AA0D6C0}"/>
    <cellStyle name="Normal 5 5 9" xfId="682" xr:uid="{00000000-0005-0000-0000-0000AA020000}"/>
    <cellStyle name="Normal 5 6" xfId="843" xr:uid="{4F5B7B12-F858-416A-99F9-500A1BE581C5}"/>
    <cellStyle name="Normal 5 6 2" xfId="3415" xr:uid="{3B9FE2A1-441D-4182-BFF6-473D7D478B30}"/>
    <cellStyle name="Normal 6" xfId="683" xr:uid="{00000000-0005-0000-0000-0000AB020000}"/>
    <cellStyle name="Normal 6 2" xfId="684" xr:uid="{00000000-0005-0000-0000-0000AC020000}"/>
    <cellStyle name="Normal 6 2 2" xfId="685" xr:uid="{00000000-0005-0000-0000-0000AD020000}"/>
    <cellStyle name="Normal 6 2 3" xfId="686" xr:uid="{00000000-0005-0000-0000-0000AE020000}"/>
    <cellStyle name="Normal 6 2 4" xfId="687" xr:uid="{00000000-0005-0000-0000-0000AF020000}"/>
    <cellStyle name="Normal 6 2 4 2" xfId="688" xr:uid="{00000000-0005-0000-0000-0000B0020000}"/>
    <cellStyle name="Normal 6 2 4 3" xfId="913" xr:uid="{DA2A77C8-A406-4DF7-AB38-C821CF8BCEC4}"/>
    <cellStyle name="Normal 6 2 4 3 2" xfId="3480" xr:uid="{D286D3FE-72F9-4D15-A5DB-6A0AE70A69D6}"/>
    <cellStyle name="Normal 6 2 4 4" xfId="2922" xr:uid="{57FCF7A8-4DE4-4AF6-9172-3C75F91AF9C1}"/>
    <cellStyle name="Normal 6 3" xfId="689" xr:uid="{00000000-0005-0000-0000-0000B1020000}"/>
    <cellStyle name="Normal 6 3 2" xfId="690" xr:uid="{00000000-0005-0000-0000-0000B2020000}"/>
    <cellStyle name="Normal 6 3 3" xfId="691" xr:uid="{00000000-0005-0000-0000-0000B3020000}"/>
    <cellStyle name="Normal 6 3 3 2" xfId="692" xr:uid="{00000000-0005-0000-0000-0000B4020000}"/>
    <cellStyle name="Normal 6 3 3 3" xfId="693" xr:uid="{00000000-0005-0000-0000-0000B5020000}"/>
    <cellStyle name="Normal 6 3 3 3 2" xfId="694" xr:uid="{00000000-0005-0000-0000-0000B6020000}"/>
    <cellStyle name="Normal 6 3 3 3 2 2" xfId="695" xr:uid="{00000000-0005-0000-0000-0000B7020000}"/>
    <cellStyle name="Normal 6 3 3 3 2 3" xfId="696" xr:uid="{00000000-0005-0000-0000-0000B8020000}"/>
    <cellStyle name="Normal 6 3 3 3 2 3 2" xfId="697" xr:uid="{00000000-0005-0000-0000-0000B9020000}"/>
    <cellStyle name="Normal 6 3 3 3 2 3 3" xfId="1358" xr:uid="{831F16C6-601B-49B3-84E3-22358D3FE923}"/>
    <cellStyle name="Normal 6 3 3 3 2 3 4" xfId="2158" xr:uid="{CA21F44A-1F21-4887-B48E-AB00A6FA814C}"/>
    <cellStyle name="Normal 6 3 3 3 2 3 5" xfId="885" xr:uid="{D536C0FD-5765-46B0-85AC-A9861EFF844C}"/>
    <cellStyle name="Normal 6 3 3 3 2 3 5 2" xfId="3456" xr:uid="{61F8B2C5-63DA-44BB-9FFC-B54FA795E72A}"/>
    <cellStyle name="Normal 6 3 3 3 2 3 6" xfId="2898" xr:uid="{A6D4718D-F76B-4710-B292-F20E3258B2D7}"/>
    <cellStyle name="Normal 6 3 3 3 2 4" xfId="698" xr:uid="{00000000-0005-0000-0000-0000BA020000}"/>
    <cellStyle name="Normal 6 3 3 3 2 4 2" xfId="699" xr:uid="{00000000-0005-0000-0000-0000BB020000}"/>
    <cellStyle name="Normal 6 3 3 3 2 4 3" xfId="884" xr:uid="{527A6332-01A9-4C3C-9793-72665B731831}"/>
    <cellStyle name="Normal 6 3 3 3 2 4 3 2" xfId="3455" xr:uid="{6D214052-16F9-499C-872D-B805E3143B48}"/>
    <cellStyle name="Normal 6 3 3 3 2 4 4" xfId="2897" xr:uid="{73E84853-CCEE-4512-A9BA-F440E81C9E43}"/>
    <cellStyle name="Normal 6 3 3 3 3" xfId="700" xr:uid="{00000000-0005-0000-0000-0000BC020000}"/>
    <cellStyle name="Normal 6 3 3 3 4" xfId="701" xr:uid="{00000000-0005-0000-0000-0000BD020000}"/>
    <cellStyle name="Normal 6 3 3 3 4 2" xfId="702" xr:uid="{00000000-0005-0000-0000-0000BE020000}"/>
    <cellStyle name="Normal 6 3 3 3 4 2 2" xfId="703" xr:uid="{00000000-0005-0000-0000-0000BF020000}"/>
    <cellStyle name="Normal 6 3 3 3 4 2 3" xfId="704" xr:uid="{00000000-0005-0000-0000-0000C0020000}"/>
    <cellStyle name="Normal 6 3 3 3 4 2 3 2" xfId="2692" xr:uid="{1C7B85AF-EB4E-467C-BD0A-182722C8422A}"/>
    <cellStyle name="Normal 6 3 3 3 4 2 3 3" xfId="921" xr:uid="{9A571C64-CF81-4B2E-85D1-5B9A3121A582}"/>
    <cellStyle name="Normal 6 3 3 3 4 2 3 3 2" xfId="3486" xr:uid="{45284122-F1AE-4C2E-952F-B9A535D23EBC}"/>
    <cellStyle name="Normal 6 3 3 3 4 2 3 4" xfId="2930" xr:uid="{6BA6EE0F-FB7D-449B-B9DB-E0040267A029}"/>
    <cellStyle name="Normal 6 3 3 3 4 3" xfId="1359" xr:uid="{8CE1464A-071C-4D1C-A969-CF9C978D2825}"/>
    <cellStyle name="Normal 6 3 3 3 4 4" xfId="2159" xr:uid="{1244696A-629B-480A-846F-FB9457F78140}"/>
    <cellStyle name="Normal 6 3 3 3 4 5" xfId="886" xr:uid="{45CE97BF-EE43-459C-80B9-2465D95851FE}"/>
    <cellStyle name="Normal 6 3 3 3 4 5 2" xfId="3457" xr:uid="{C394F904-4ED1-48C8-BCF6-CE86CDE050DE}"/>
    <cellStyle name="Normal 6 3 3 3 4 6" xfId="2899" xr:uid="{E0AC2A9D-CA35-4C67-952B-BEE5A80D3200}"/>
    <cellStyle name="Normal 6 3 3 4" xfId="705" xr:uid="{00000000-0005-0000-0000-0000C1020000}"/>
    <cellStyle name="Normal 6 3 3 4 2" xfId="706" xr:uid="{00000000-0005-0000-0000-0000C2020000}"/>
    <cellStyle name="Normal 6 3 3 4 3" xfId="707" xr:uid="{00000000-0005-0000-0000-0000C3020000}"/>
    <cellStyle name="Normal 6 3 3 4 3 2" xfId="708" xr:uid="{00000000-0005-0000-0000-0000C4020000}"/>
    <cellStyle name="Normal 6 3 3 4 3 3" xfId="1360" xr:uid="{7EAEB701-75CC-4F60-AEB4-8452FFC9A9DD}"/>
    <cellStyle name="Normal 6 3 3 4 3 4" xfId="2160" xr:uid="{3DD9D0A0-8555-44B6-B188-5E059B8964C8}"/>
    <cellStyle name="Normal 6 3 3 4 3 5" xfId="888" xr:uid="{8338AAB2-C07C-4F94-A49F-2D7E216C406C}"/>
    <cellStyle name="Normal 6 3 3 4 3 5 2" xfId="3459" xr:uid="{5003CD28-7A6E-4F79-8802-B4F4005B0AA7}"/>
    <cellStyle name="Normal 6 3 3 4 3 6" xfId="2901" xr:uid="{F6C2B635-BBF6-4DD4-99BC-9057379109F5}"/>
    <cellStyle name="Normal 6 3 3 4 4" xfId="709" xr:uid="{00000000-0005-0000-0000-0000C5020000}"/>
    <cellStyle name="Normal 6 3 3 4 4 2" xfId="710" xr:uid="{00000000-0005-0000-0000-0000C6020000}"/>
    <cellStyle name="Normal 6 3 3 4 4 3" xfId="887" xr:uid="{C30FE6E3-3A84-4811-A9FD-9CC0F3970863}"/>
    <cellStyle name="Normal 6 3 3 4 4 3 2" xfId="3458" xr:uid="{CF53918D-454D-4419-B476-780B7219CC73}"/>
    <cellStyle name="Normal 6 3 3 4 4 4" xfId="2900" xr:uid="{3068F7C3-F829-4CF9-8248-A6D2E24861E3}"/>
    <cellStyle name="Normal 6 3 3 5" xfId="851" xr:uid="{4DAF1BA0-AA27-40A6-862F-E11C1A65C91F}"/>
    <cellStyle name="Normal 6 3 3 5 2" xfId="3423" xr:uid="{C837A1BE-0FE9-4171-9CE7-316772EB96CF}"/>
    <cellStyle name="Normal 6 3 3 6" xfId="2866" xr:uid="{112FE196-F0C4-4721-BF15-E2B2365A0403}"/>
    <cellStyle name="Normal 6 3 4" xfId="711" xr:uid="{00000000-0005-0000-0000-0000C7020000}"/>
    <cellStyle name="Normal 6 3 4 2" xfId="712" xr:uid="{00000000-0005-0000-0000-0000C8020000}"/>
    <cellStyle name="Normal 6 3 4 3" xfId="713" xr:uid="{00000000-0005-0000-0000-0000C9020000}"/>
    <cellStyle name="Normal 6 3 4 3 2" xfId="714" xr:uid="{00000000-0005-0000-0000-0000CA020000}"/>
    <cellStyle name="Normal 6 3 4 3 3" xfId="1361" xr:uid="{C52CC0A6-F536-4B40-B37B-EAC964439A47}"/>
    <cellStyle name="Normal 6 3 4 3 4" xfId="2161" xr:uid="{3611A615-8536-4FAC-9961-1E0D67FF190B}"/>
    <cellStyle name="Normal 6 3 4 3 5" xfId="890" xr:uid="{1D13C56B-BF24-47E2-AEE2-C6176732CF78}"/>
    <cellStyle name="Normal 6 3 4 3 5 2" xfId="3461" xr:uid="{5BF2EDB1-82C6-4DA6-B842-A746A2D7C7C6}"/>
    <cellStyle name="Normal 6 3 4 3 6" xfId="2903" xr:uid="{EB933458-EAA4-4A0D-A3CF-081192DBD763}"/>
    <cellStyle name="Normal 6 3 4 4" xfId="715" xr:uid="{00000000-0005-0000-0000-0000CB020000}"/>
    <cellStyle name="Normal 6 3 4 4 2" xfId="716" xr:uid="{00000000-0005-0000-0000-0000CC020000}"/>
    <cellStyle name="Normal 6 3 4 4 3" xfId="889" xr:uid="{AEAAEB0E-5DA6-4D45-9EBA-BF8C03171E9D}"/>
    <cellStyle name="Normal 6 3 4 4 3 2" xfId="3460" xr:uid="{BE8D209C-490A-4967-AAB7-777881766A50}"/>
    <cellStyle name="Normal 6 3 4 4 4" xfId="2902" xr:uid="{6F90DD6E-10B7-46EC-895E-98313D118686}"/>
    <cellStyle name="Normal 6 3 5" xfId="850" xr:uid="{73A10AA1-DC89-4A41-8B87-9F8C7F2B37A1}"/>
    <cellStyle name="Normal 6 3 5 2" xfId="3422" xr:uid="{177D5791-DD9E-4BF0-8A4F-7FAA0FCC9759}"/>
    <cellStyle name="Normal 6 4" xfId="717" xr:uid="{00000000-0005-0000-0000-0000CD020000}"/>
    <cellStyle name="Normal 6 5" xfId="718" xr:uid="{00000000-0005-0000-0000-0000CE020000}"/>
    <cellStyle name="Normal 6 5 2" xfId="719" xr:uid="{00000000-0005-0000-0000-0000CF020000}"/>
    <cellStyle name="Normal 6 5 3" xfId="720" xr:uid="{00000000-0005-0000-0000-0000D0020000}"/>
    <cellStyle name="Normal 6 5 3 2" xfId="721" xr:uid="{00000000-0005-0000-0000-0000D1020000}"/>
    <cellStyle name="Normal 6 5 3 2 2" xfId="722" xr:uid="{00000000-0005-0000-0000-0000D2020000}"/>
    <cellStyle name="Normal 6 5 3 2 3" xfId="723" xr:uid="{00000000-0005-0000-0000-0000D3020000}"/>
    <cellStyle name="Normal 6 5 3 2 3 2" xfId="724" xr:uid="{00000000-0005-0000-0000-0000D4020000}"/>
    <cellStyle name="Normal 6 5 3 2 3 3" xfId="1362" xr:uid="{9FEA2E44-3716-4D75-8E8E-33EF8446DA65}"/>
    <cellStyle name="Normal 6 5 3 2 3 4" xfId="2162" xr:uid="{0CA760A6-5803-40E8-A3A9-020105385918}"/>
    <cellStyle name="Normal 6 5 3 2 3 5" xfId="892" xr:uid="{4784FF31-A922-43AC-B1B8-A7428E17C3DA}"/>
    <cellStyle name="Normal 6 5 3 2 3 5 2" xfId="3463" xr:uid="{280AF8E4-EAEF-4744-8EE6-1056E564E540}"/>
    <cellStyle name="Normal 6 5 3 2 3 6" xfId="2905" xr:uid="{74A764FA-5B0A-4225-89C0-C5783EC35BDE}"/>
    <cellStyle name="Normal 6 5 3 2 4" xfId="725" xr:uid="{00000000-0005-0000-0000-0000D5020000}"/>
    <cellStyle name="Normal 6 5 3 2 4 2" xfId="726" xr:uid="{00000000-0005-0000-0000-0000D6020000}"/>
    <cellStyle name="Normal 6 5 3 2 4 3" xfId="891" xr:uid="{57CA4808-E148-45E0-8DC8-BA266E662AB2}"/>
    <cellStyle name="Normal 6 5 3 2 4 3 2" xfId="3462" xr:uid="{2996084D-9C8E-4567-89DB-E7EF6CD6718A}"/>
    <cellStyle name="Normal 6 5 3 2 4 4" xfId="2904" xr:uid="{3CCD323F-9D98-4B34-9773-A39BAF30CCC0}"/>
    <cellStyle name="Normal 6 5 3 3" xfId="727" xr:uid="{00000000-0005-0000-0000-0000D7020000}"/>
    <cellStyle name="Normal 6 5 3 4" xfId="728" xr:uid="{00000000-0005-0000-0000-0000D8020000}"/>
    <cellStyle name="Normal 6 5 3 4 2" xfId="729" xr:uid="{00000000-0005-0000-0000-0000D9020000}"/>
    <cellStyle name="Normal 6 5 3 4 2 2" xfId="730" xr:uid="{00000000-0005-0000-0000-0000DA020000}"/>
    <cellStyle name="Normal 6 5 3 4 2 3" xfId="731" xr:uid="{00000000-0005-0000-0000-0000DB020000}"/>
    <cellStyle name="Normal 6 5 3 4 2 3 2" xfId="2693" xr:uid="{FEDF88EC-83B0-4530-9BC3-7CA80574AF56}"/>
    <cellStyle name="Normal 6 5 3 4 2 3 3" xfId="922" xr:uid="{3E4B3419-DAAD-48AD-9A94-862EBE206EA7}"/>
    <cellStyle name="Normal 6 5 3 4 2 3 3 2" xfId="3487" xr:uid="{B4C1455E-4930-4B9F-AF00-73644A602407}"/>
    <cellStyle name="Normal 6 5 3 4 2 3 4" xfId="2931" xr:uid="{B3390271-9DCA-44D5-8DBB-FA562009966E}"/>
    <cellStyle name="Normal 6 5 3 4 3" xfId="1363" xr:uid="{8CF40EC1-0782-4A09-A4BE-EC4C8CDCC33D}"/>
    <cellStyle name="Normal 6 5 3 4 4" xfId="2163" xr:uid="{F9ECE1B5-D798-45CA-A3C4-02C5350D01AD}"/>
    <cellStyle name="Normal 6 5 3 4 5" xfId="893" xr:uid="{3E6681B1-FE88-4A6B-9E90-95AD541FC73E}"/>
    <cellStyle name="Normal 6 5 3 4 5 2" xfId="3464" xr:uid="{CF3E0ACD-D07A-4E2C-9F8D-5101EEBF9F18}"/>
    <cellStyle name="Normal 6 5 3 4 6" xfId="2906" xr:uid="{3266940A-0E04-445D-AA29-D8DA663C9392}"/>
    <cellStyle name="Normal 6 5 4" xfId="732" xr:uid="{00000000-0005-0000-0000-0000DC020000}"/>
    <cellStyle name="Normal 6 5 4 2" xfId="733" xr:uid="{00000000-0005-0000-0000-0000DD020000}"/>
    <cellStyle name="Normal 6 5 4 3" xfId="734" xr:uid="{00000000-0005-0000-0000-0000DE020000}"/>
    <cellStyle name="Normal 6 5 4 3 2" xfId="735" xr:uid="{00000000-0005-0000-0000-0000DF020000}"/>
    <cellStyle name="Normal 6 5 4 3 3" xfId="1364" xr:uid="{38A25C83-7E65-46AA-A117-7B91223AD4AB}"/>
    <cellStyle name="Normal 6 5 4 3 4" xfId="2164" xr:uid="{A434E28E-AA4D-48B5-9BE8-FCE6DF611275}"/>
    <cellStyle name="Normal 6 5 4 3 5" xfId="895" xr:uid="{B58EDFB5-843B-49E5-A566-5AEBC5392181}"/>
    <cellStyle name="Normal 6 5 4 3 5 2" xfId="3466" xr:uid="{043E3913-CC18-4768-9FC8-BC7B790F1CDF}"/>
    <cellStyle name="Normal 6 5 4 3 6" xfId="2908" xr:uid="{E65467C9-2604-4428-AF3B-21872DE9D6B3}"/>
    <cellStyle name="Normal 6 5 4 4" xfId="736" xr:uid="{00000000-0005-0000-0000-0000E0020000}"/>
    <cellStyle name="Normal 6 5 4 4 2" xfId="737" xr:uid="{00000000-0005-0000-0000-0000E1020000}"/>
    <cellStyle name="Normal 6 5 4 4 3" xfId="894" xr:uid="{8531A170-4015-4EC6-AD0B-604CA8B6711B}"/>
    <cellStyle name="Normal 6 5 4 4 3 2" xfId="3465" xr:uid="{B91D7FC5-B186-4E74-9E8B-CF5008535B8A}"/>
    <cellStyle name="Normal 6 5 4 4 4" xfId="2907" xr:uid="{8BD6027C-6BA3-479D-ACD8-0C8004D4E913}"/>
    <cellStyle name="Normal 6 5 5" xfId="852" xr:uid="{F74A0258-0906-413F-99CB-901A4C289DB5}"/>
    <cellStyle name="Normal 6 5 5 2" xfId="3424" xr:uid="{C1B84C20-C8B5-474D-ABA6-0465F4267344}"/>
    <cellStyle name="Normal 6 5 6" xfId="2867" xr:uid="{4339C2E3-89CF-4E10-870C-61422E77D451}"/>
    <cellStyle name="Normal 6 6" xfId="738" xr:uid="{00000000-0005-0000-0000-0000E2020000}"/>
    <cellStyle name="Normal 6 6 2" xfId="739" xr:uid="{00000000-0005-0000-0000-0000E3020000}"/>
    <cellStyle name="Normal 6 6 3" xfId="740" xr:uid="{00000000-0005-0000-0000-0000E4020000}"/>
    <cellStyle name="Normal 6 6 3 2" xfId="741" xr:uid="{00000000-0005-0000-0000-0000E5020000}"/>
    <cellStyle name="Normal 6 6 3 3" xfId="742" xr:uid="{00000000-0005-0000-0000-0000E6020000}"/>
    <cellStyle name="Normal 6 6 3 3 2" xfId="2694" xr:uid="{90CC8B0D-7E8E-4A9C-8036-F024837EADF6}"/>
    <cellStyle name="Normal 6 6 3 3 3" xfId="923" xr:uid="{7AD6C0E4-811F-47EA-BE00-6CB70E56B7A5}"/>
    <cellStyle name="Normal 6 6 3 3 3 2" xfId="3488" xr:uid="{4B2BBA2E-ABD4-408F-BFDF-F27243A78F53}"/>
    <cellStyle name="Normal 6 6 3 3 4" xfId="2932" xr:uid="{B9FA25B0-9B5E-4F3D-8D92-B24159D289D9}"/>
    <cellStyle name="Normal 6 6 4" xfId="743" xr:uid="{00000000-0005-0000-0000-0000E7020000}"/>
    <cellStyle name="Normal 6 6 4 2" xfId="744" xr:uid="{00000000-0005-0000-0000-0000E8020000}"/>
    <cellStyle name="Normal 6 6 4 3" xfId="1365" xr:uid="{28020903-73FF-4E2A-A1E3-E49A6526775F}"/>
    <cellStyle name="Normal 6 6 4 4" xfId="2166" xr:uid="{3F8159D1-9D75-4D4E-A298-4654A32E2AD3}"/>
    <cellStyle name="Normal 6 6 4 5" xfId="897" xr:uid="{CCB68D28-C224-4229-87FA-4854869A7590}"/>
    <cellStyle name="Normal 6 6 4 5 2" xfId="3468" xr:uid="{DBEFD4D6-695C-47E0-B5EB-7E7001037936}"/>
    <cellStyle name="Normal 6 6 4 6" xfId="2910" xr:uid="{1709B219-A4AD-4A27-BA8E-CC7DE6D6F7A3}"/>
    <cellStyle name="Normal 6 6 5" xfId="745" xr:uid="{00000000-0005-0000-0000-0000E9020000}"/>
    <cellStyle name="Normal 6 6 6" xfId="746" xr:uid="{00000000-0005-0000-0000-0000EA020000}"/>
    <cellStyle name="Normal 6 6 6 2" xfId="747" xr:uid="{00000000-0005-0000-0000-0000EB020000}"/>
    <cellStyle name="Normal 6 6 6 3" xfId="896" xr:uid="{9D105CEB-DA69-41EC-8189-58145EE5F821}"/>
    <cellStyle name="Normal 6 6 6 3 2" xfId="3467" xr:uid="{CFA407E5-4DE9-45CF-8020-BF38D2AE9412}"/>
    <cellStyle name="Normal 6 6 6 4" xfId="2909" xr:uid="{E83217B5-842A-4965-BE2C-04900AD26AD3}"/>
    <cellStyle name="Normal 6 6 7" xfId="2165" xr:uid="{6FA9DC1F-0E28-4543-9A3C-89851F4E110B}"/>
    <cellStyle name="Normal 6 7" xfId="849" xr:uid="{4881A4FA-3E7A-4567-8F7D-B711F4F7279D}"/>
    <cellStyle name="Normal 6 7 2" xfId="3421" xr:uid="{6C14F5A4-16EE-4A85-9A32-D07421A28DB1}"/>
    <cellStyle name="Normal 7" xfId="748" xr:uid="{00000000-0005-0000-0000-0000EC020000}"/>
    <cellStyle name="Normal 7 10" xfId="749" xr:uid="{00000000-0005-0000-0000-0000ED020000}"/>
    <cellStyle name="Normal 7 10 2" xfId="1191" xr:uid="{77C97BFE-3F6F-4807-BB51-04BA8288573D}"/>
    <cellStyle name="Normal 7 10 2 2" xfId="2695" xr:uid="{2FB2B85A-6F3A-43BA-BD70-24592469584D}"/>
    <cellStyle name="Normal 7 10 2 2 2" xfId="5066" xr:uid="{2328650D-BED6-468A-B743-A6832B3D97EE}"/>
    <cellStyle name="Normal 7 10 2 3" xfId="1947" xr:uid="{8E944CAF-B62A-4B4A-8DC6-83CB63BA8665}"/>
    <cellStyle name="Normal 7 10 2 3 2" xfId="4357" xr:uid="{8868B337-6270-4B6E-8227-377D0C096236}"/>
    <cellStyle name="Normal 7 10 2 4" xfId="3703" xr:uid="{8302A492-1618-47B3-B5F4-2DB930251E3A}"/>
    <cellStyle name="Normal 7 10 3" xfId="2696" xr:uid="{8D5D496D-E7DF-440C-8535-803D0CFAA858}"/>
    <cellStyle name="Normal 7 10 3 2" xfId="5067" xr:uid="{39090EBF-7765-4468-8CB3-BB66DB81D479}"/>
    <cellStyle name="Normal 7 10 4" xfId="2167" xr:uid="{169875E8-A944-4D31-9AA5-C3573F5F8DA6}"/>
    <cellStyle name="Normal 7 10 4 2" xfId="4551" xr:uid="{D39FB89C-5B8C-4C46-B0BD-278D53B0D124}"/>
    <cellStyle name="Normal 7 10 5" xfId="1559" xr:uid="{07DF7969-2B5A-4B2C-A983-E51986DB86D0}"/>
    <cellStyle name="Normal 7 10 5 2" xfId="3969" xr:uid="{C25BC6F0-5639-4F98-A700-9AF2F773C1B4}"/>
    <cellStyle name="Normal 7 10 6" xfId="3072" xr:uid="{CD7EA6A1-90CD-4825-9224-BD0422994FB1}"/>
    <cellStyle name="Normal 7 10 7" xfId="3376" xr:uid="{F99054F0-87C4-43C7-B991-A1BE52E90DC0}"/>
    <cellStyle name="Normal 7 11" xfId="750" xr:uid="{00000000-0005-0000-0000-0000EE020000}"/>
    <cellStyle name="Normal 7 11 2" xfId="1192" xr:uid="{C88B0643-A3E7-4C37-B1A9-E7A5F890DC4E}"/>
    <cellStyle name="Normal 7 11 2 2" xfId="2697" xr:uid="{50E3B169-203E-4CB4-997E-AF022A8FF784}"/>
    <cellStyle name="Normal 7 11 2 2 2" xfId="5068" xr:uid="{51C2022B-F941-4E0F-B66C-9C47540FC758}"/>
    <cellStyle name="Normal 7 11 2 3" xfId="1948" xr:uid="{0BDDFAFA-FDA9-410D-9E93-4462B6FC3EF7}"/>
    <cellStyle name="Normal 7 11 2 3 2" xfId="4358" xr:uid="{2E0F59CC-1853-4874-93B3-E64D1B02E55D}"/>
    <cellStyle name="Normal 7 11 2 4" xfId="3704" xr:uid="{A837EF42-F6CA-4583-9D6A-FAD6AA538BFF}"/>
    <cellStyle name="Normal 7 11 3" xfId="2698" xr:uid="{8CFF976B-8D2E-49B5-855E-10F5BA293AEF}"/>
    <cellStyle name="Normal 7 11 3 2" xfId="5069" xr:uid="{F62A2E3B-AA33-4FCB-A33D-96D419255BAA}"/>
    <cellStyle name="Normal 7 11 4" xfId="2168" xr:uid="{0BCEFE0E-4AAB-4D52-86CB-6B9A0E8E2183}"/>
    <cellStyle name="Normal 7 11 4 2" xfId="4552" xr:uid="{A709D41F-F736-45B1-9BC0-9131E227F1F7}"/>
    <cellStyle name="Normal 7 11 5" xfId="1619" xr:uid="{477AB386-2D59-4BFE-AB37-FB7576AE3606}"/>
    <cellStyle name="Normal 7 11 5 2" xfId="4029" xr:uid="{DC33867E-889B-4649-8062-63D9821CAF8C}"/>
    <cellStyle name="Normal 7 11 6" xfId="3073" xr:uid="{3A2E60DE-2421-44F9-8EB9-BF3D19B8997C}"/>
    <cellStyle name="Normal 7 11 7" xfId="3377" xr:uid="{06B00D94-2166-4764-ADB0-89D360B2FFDD}"/>
    <cellStyle name="Normal 7 12" xfId="751" xr:uid="{00000000-0005-0000-0000-0000EF020000}"/>
    <cellStyle name="Normal 7 12 2" xfId="1193" xr:uid="{13C661E2-770E-460B-8E52-D640FEF5A8EC}"/>
    <cellStyle name="Normal 7 12 2 2" xfId="2699" xr:uid="{D78D7969-B457-43E6-9DC6-4FAAA497FE22}"/>
    <cellStyle name="Normal 7 12 2 2 2" xfId="5070" xr:uid="{4E1B552A-E7C4-4D83-B28B-FE4FBA06B829}"/>
    <cellStyle name="Normal 7 12 2 3" xfId="3705" xr:uid="{60E39CBD-6F83-430E-A359-2662EC341DCC}"/>
    <cellStyle name="Normal 7 12 3" xfId="2169" xr:uid="{91C1F540-45DC-4C6B-862C-28C98D0F470C}"/>
    <cellStyle name="Normal 7 12 3 2" xfId="4553" xr:uid="{6E384593-0C61-4163-BC44-D1140FC625D3}"/>
    <cellStyle name="Normal 7 12 4" xfId="1949" xr:uid="{6A97A3EB-35D6-470A-838A-43DE3C2B135F}"/>
    <cellStyle name="Normal 7 12 4 2" xfId="4359" xr:uid="{35C4FD11-2A30-4D50-B00D-7F4627C53652}"/>
    <cellStyle name="Normal 7 12 5" xfId="3074" xr:uid="{CD8953A7-76ED-40D4-B75E-D12240234867}"/>
    <cellStyle name="Normal 7 12 6" xfId="3378" xr:uid="{12C2CEEB-CB9C-45DD-A8E7-EFB0F08C5C5F}"/>
    <cellStyle name="Normal 7 13" xfId="752" xr:uid="{00000000-0005-0000-0000-0000F0020000}"/>
    <cellStyle name="Normal 7 13 2" xfId="1194" xr:uid="{EDF0D8FB-8B18-478E-A368-33E2DE79A2BD}"/>
    <cellStyle name="Normal 7 13 2 2" xfId="2170" xr:uid="{6FCE942C-758A-4EA6-836F-838E97CF6DE9}"/>
    <cellStyle name="Normal 7 13 2 2 2" xfId="4554" xr:uid="{C672DCB9-219C-48E9-8E8A-F91D621CA945}"/>
    <cellStyle name="Normal 7 13 2 3" xfId="3706" xr:uid="{0758A2B8-7C64-4F38-BFC5-17707679A83E}"/>
    <cellStyle name="Normal 7 13 3" xfId="1950" xr:uid="{930AAA7D-4825-4A33-8D94-5190928AE0AF}"/>
    <cellStyle name="Normal 7 13 3 2" xfId="4360" xr:uid="{F19F9E2C-9E37-4F4E-8E23-0CCA7D1887FD}"/>
    <cellStyle name="Normal 7 13 4" xfId="3075" xr:uid="{22305337-F8DD-4FD3-AE8A-C88FE39565C5}"/>
    <cellStyle name="Normal 7 13 5" xfId="3379" xr:uid="{555AD98D-B4B3-4A01-B24A-35A0188CDABB}"/>
    <cellStyle name="Normal 7 14" xfId="2700" xr:uid="{49F513B5-8EAA-4D7F-BC6A-7DAF84E7D8AF}"/>
    <cellStyle name="Normal 7 14 2" xfId="5071" xr:uid="{FA73B524-4391-48F4-A17D-BFF2B63942C6}"/>
    <cellStyle name="Normal 7 15" xfId="1482" xr:uid="{DF741629-4339-4BAD-B57A-3F6B1C8F3832}"/>
    <cellStyle name="Normal 7 15 2" xfId="3892" xr:uid="{5027F023-9D17-4AF7-AD3E-1BA3C2FFB113}"/>
    <cellStyle name="Normal 7 16" xfId="853" xr:uid="{C756A8BB-F524-451B-828A-B046DC1D19E1}"/>
    <cellStyle name="Normal 7 16 2" xfId="3425" xr:uid="{43012EA6-D750-48EC-AEEF-52B446779B55}"/>
    <cellStyle name="Normal 7 2" xfId="753" xr:uid="{00000000-0005-0000-0000-0000F1020000}"/>
    <cellStyle name="Normal 7 2 2" xfId="754" xr:uid="{00000000-0005-0000-0000-0000F2020000}"/>
    <cellStyle name="Normal 7 3" xfId="755" xr:uid="{00000000-0005-0000-0000-0000F3020000}"/>
    <cellStyle name="Normal 7 3 2" xfId="756" xr:uid="{00000000-0005-0000-0000-0000F4020000}"/>
    <cellStyle name="Normal 7 3 3" xfId="757" xr:uid="{00000000-0005-0000-0000-0000F5020000}"/>
    <cellStyle name="Normal 7 3 3 2" xfId="758" xr:uid="{00000000-0005-0000-0000-0000F6020000}"/>
    <cellStyle name="Normal 7 3 3 2 2" xfId="759" xr:uid="{00000000-0005-0000-0000-0000F7020000}"/>
    <cellStyle name="Normal 7 3 3 2 3" xfId="760" xr:uid="{00000000-0005-0000-0000-0000F8020000}"/>
    <cellStyle name="Normal 7 3 3 2 3 2" xfId="761" xr:uid="{00000000-0005-0000-0000-0000F9020000}"/>
    <cellStyle name="Normal 7 3 3 2 3 3" xfId="1367" xr:uid="{6941D258-AA0A-4405-AAFC-704737565ED9}"/>
    <cellStyle name="Normal 7 3 3 2 3 4" xfId="2171" xr:uid="{52F05D2B-4078-44D4-BEC5-76B834B9EF87}"/>
    <cellStyle name="Normal 7 3 3 2 3 5" xfId="899" xr:uid="{37984625-DA19-4156-A29C-049F16B6F6A9}"/>
    <cellStyle name="Normal 7 3 3 2 3 5 2" xfId="3470" xr:uid="{9A1630D4-59B0-4530-B22F-34BF433BAB96}"/>
    <cellStyle name="Normal 7 3 3 2 3 6" xfId="2912" xr:uid="{D2EF0AA5-C051-4858-8DEE-A6F22957DB9D}"/>
    <cellStyle name="Normal 7 3 3 2 4" xfId="762" xr:uid="{00000000-0005-0000-0000-0000FA020000}"/>
    <cellStyle name="Normal 7 3 3 2 4 2" xfId="763" xr:uid="{00000000-0005-0000-0000-0000FB020000}"/>
    <cellStyle name="Normal 7 3 3 2 4 3" xfId="898" xr:uid="{6300AC31-CCE2-4D03-B3C3-EA4260109E62}"/>
    <cellStyle name="Normal 7 3 3 2 4 3 2" xfId="3469" xr:uid="{2C985182-B558-4332-A169-3A8B13167DE9}"/>
    <cellStyle name="Normal 7 3 3 2 4 4" xfId="2911" xr:uid="{4AAA0710-13E6-49AD-9174-DE1673C67CDA}"/>
    <cellStyle name="Normal 7 3 3 3" xfId="764" xr:uid="{00000000-0005-0000-0000-0000FC020000}"/>
    <cellStyle name="Normal 7 3 3 4" xfId="765" xr:uid="{00000000-0005-0000-0000-0000FD020000}"/>
    <cellStyle name="Normal 7 3 3 4 2" xfId="766" xr:uid="{00000000-0005-0000-0000-0000FE020000}"/>
    <cellStyle name="Normal 7 3 3 4 2 2" xfId="767" xr:uid="{00000000-0005-0000-0000-0000FF020000}"/>
    <cellStyle name="Normal 7 3 3 4 2 3" xfId="768" xr:uid="{00000000-0005-0000-0000-000000030000}"/>
    <cellStyle name="Normal 7 3 3 4 2 3 2" xfId="2701" xr:uid="{E1BE9A22-29E1-4E91-9AA5-7AD007294DB9}"/>
    <cellStyle name="Normal 7 3 3 4 2 3 3" xfId="924" xr:uid="{7FF6BC11-BBA2-4D3E-B493-E60D7141E468}"/>
    <cellStyle name="Normal 7 3 3 4 2 3 3 2" xfId="3489" xr:uid="{894AF920-319F-4B67-8B67-8E9DE218B641}"/>
    <cellStyle name="Normal 7 3 3 4 2 3 4" xfId="2933" xr:uid="{67AAC1BF-0C6E-4720-A5E4-03EC17D6AC5E}"/>
    <cellStyle name="Normal 7 3 3 4 3" xfId="1368" xr:uid="{36BB7DF2-9599-4F64-AE2B-92CE4B60EC02}"/>
    <cellStyle name="Normal 7 3 3 4 4" xfId="2172" xr:uid="{28733C02-C307-4545-9093-2D95910B4BE7}"/>
    <cellStyle name="Normal 7 3 3 4 5" xfId="900" xr:uid="{80C37448-76C7-4AA7-9708-A919E466D035}"/>
    <cellStyle name="Normal 7 3 3 4 5 2" xfId="3471" xr:uid="{195FCD7A-D5A5-4C83-99EC-B02DAAAB4D19}"/>
    <cellStyle name="Normal 7 3 3 4 6" xfId="2913" xr:uid="{47C7B942-F276-4286-9F21-1C18CB95C21B}"/>
    <cellStyle name="Normal 7 3 4" xfId="769" xr:uid="{00000000-0005-0000-0000-000001030000}"/>
    <cellStyle name="Normal 7 3 4 2" xfId="770" xr:uid="{00000000-0005-0000-0000-000002030000}"/>
    <cellStyle name="Normal 7 3 4 3" xfId="771" xr:uid="{00000000-0005-0000-0000-000003030000}"/>
    <cellStyle name="Normal 7 3 4 3 2" xfId="772" xr:uid="{00000000-0005-0000-0000-000004030000}"/>
    <cellStyle name="Normal 7 3 4 3 3" xfId="1369" xr:uid="{7F842BC4-7422-47B8-A993-38F44DC7021D}"/>
    <cellStyle name="Normal 7 3 4 3 4" xfId="2173" xr:uid="{F475515C-C69B-40D8-B403-E8B82A4E3E8F}"/>
    <cellStyle name="Normal 7 3 4 3 5" xfId="902" xr:uid="{6D9C7F72-22A6-4298-AF70-7CE35E8B2AF5}"/>
    <cellStyle name="Normal 7 3 4 3 5 2" xfId="3473" xr:uid="{8B811718-88F2-4F56-989A-B3F635050D90}"/>
    <cellStyle name="Normal 7 3 4 3 6" xfId="2915" xr:uid="{2582FC58-CF5C-4721-BC40-2E30DF95A442}"/>
    <cellStyle name="Normal 7 3 4 4" xfId="773" xr:uid="{00000000-0005-0000-0000-000005030000}"/>
    <cellStyle name="Normal 7 3 4 4 2" xfId="774" xr:uid="{00000000-0005-0000-0000-000006030000}"/>
    <cellStyle name="Normal 7 3 4 4 3" xfId="901" xr:uid="{70CA96B3-2D0E-41A1-ABDF-AEF7D9FBE9BE}"/>
    <cellStyle name="Normal 7 3 4 4 3 2" xfId="3472" xr:uid="{A1A8E0A2-4B2C-469D-A2D9-F2A87C8B0905}"/>
    <cellStyle name="Normal 7 3 4 4 4" xfId="2914" xr:uid="{0D506C21-3130-496E-8D7A-EC711C896735}"/>
    <cellStyle name="Normal 7 3 5" xfId="854" xr:uid="{E9B53CC1-18C1-408C-B9B4-5B98EBB72B1F}"/>
    <cellStyle name="Normal 7 3 5 2" xfId="3426" xr:uid="{C9B05FEB-E6DB-4475-9796-39AE6BD67801}"/>
    <cellStyle name="Normal 7 3 6" xfId="2868" xr:uid="{41B8B170-5B9C-4373-BB91-2C928650ED4F}"/>
    <cellStyle name="Normal 7 4" xfId="775" xr:uid="{00000000-0005-0000-0000-000007030000}"/>
    <cellStyle name="Normal 7 4 10" xfId="776" xr:uid="{00000000-0005-0000-0000-000008030000}"/>
    <cellStyle name="Normal 7 4 10 2" xfId="1198" xr:uid="{AAF3A6B8-77AE-4975-A88D-4E2D036A7DA0}"/>
    <cellStyle name="Normal 7 4 10 2 2" xfId="2174" xr:uid="{193E504E-586D-489F-BC04-0B812A8E997D}"/>
    <cellStyle name="Normal 7 4 10 2 2 2" xfId="4555" xr:uid="{EA1419CE-6BCD-4802-89B3-C3FF49262CD9}"/>
    <cellStyle name="Normal 7 4 10 2 3" xfId="3710" xr:uid="{3CE8F98D-6924-44A1-B043-59226DAADE6B}"/>
    <cellStyle name="Normal 7 4 10 3" xfId="1952" xr:uid="{8070C9C0-3E2C-4255-A9BA-801DF75C5878}"/>
    <cellStyle name="Normal 7 4 10 3 2" xfId="4362" xr:uid="{F54CEECC-ACCC-4C19-B43F-B88B0BE6CD81}"/>
    <cellStyle name="Normal 7 4 10 4" xfId="3077" xr:uid="{9034CD59-3986-4059-9371-171BB9EA8B87}"/>
    <cellStyle name="Normal 7 4 10 5" xfId="3381" xr:uid="{8E059683-E669-4845-AD7A-312BBF5C557E}"/>
    <cellStyle name="Normal 7 4 11" xfId="777" xr:uid="{00000000-0005-0000-0000-000009030000}"/>
    <cellStyle name="Normal 7 4 11 2" xfId="1199" xr:uid="{451D24D1-12E9-4596-A92E-EB16C30544B6}"/>
    <cellStyle name="Normal 7 4 11 2 2" xfId="2702" xr:uid="{6C164374-14CE-4BFF-A927-58F76B96083F}"/>
    <cellStyle name="Normal 7 4 11 2 2 2" xfId="5072" xr:uid="{A45FCC9E-28FB-476E-A375-50B256DA1634}"/>
    <cellStyle name="Normal 7 4 11 2 3" xfId="3711" xr:uid="{50132246-9DCF-46CF-8D7B-34E718751A56}"/>
    <cellStyle name="Normal 7 4 11 3" xfId="1951" xr:uid="{4153233B-63E1-4076-9C85-CCDD8DC5B03C}"/>
    <cellStyle name="Normal 7 4 11 3 2" xfId="4361" xr:uid="{D0FE946B-854B-4020-A11B-8D62FA088260}"/>
    <cellStyle name="Normal 7 4 11 4" xfId="3078" xr:uid="{CE88E46A-1CD5-44CF-B03B-888D34AEEF1A}"/>
    <cellStyle name="Normal 7 4 11 5" xfId="3382" xr:uid="{5F2D3202-B254-4FD9-B187-8CE9AF6DBDE1}"/>
    <cellStyle name="Normal 7 4 12" xfId="778" xr:uid="{00000000-0005-0000-0000-00000A030000}"/>
    <cellStyle name="Normal 7 4 12 2" xfId="1200" xr:uid="{85AA660F-7568-47DB-9CBF-174BC8003A63}"/>
    <cellStyle name="Normal 7 4 12 2 2" xfId="3712" xr:uid="{3AC88A6A-74D6-4CC6-91A5-70C5AC4715A3}"/>
    <cellStyle name="Normal 7 4 12 3" xfId="2703" xr:uid="{59B90A3C-6F4D-4902-A35A-5B6EE5C4F5E0}"/>
    <cellStyle name="Normal 7 4 12 3 2" xfId="5073" xr:uid="{F7992347-4DED-4BE7-B882-79B1DECBC5CD}"/>
    <cellStyle name="Normal 7 4 12 4" xfId="3079" xr:uid="{96C4B213-1F3A-459A-82FE-FBAF01927F7D}"/>
    <cellStyle name="Normal 7 4 12 5" xfId="3383" xr:uid="{8FB24629-BEA2-4EE8-9B27-227A81576AB3}"/>
    <cellStyle name="Normal 7 4 13" xfId="1197" xr:uid="{E18523F5-E1D0-4499-B676-75D787F9B769}"/>
    <cellStyle name="Normal 7 4 13 2" xfId="2021" xr:uid="{0C3DD1CD-3932-4525-AF57-D80E865D8668}"/>
    <cellStyle name="Normal 7 4 13 2 2" xfId="4431" xr:uid="{3FCA8AAF-0B5D-465F-87C5-794717E49366}"/>
    <cellStyle name="Normal 7 4 13 3" xfId="3709" xr:uid="{5B4A91FA-CB80-4FD2-BC7A-F5AA62864002}"/>
    <cellStyle name="Normal 7 4 14" xfId="1483" xr:uid="{FB00E35A-C00A-4F68-85ED-3E8816BCC2B5}"/>
    <cellStyle name="Normal 7 4 14 2" xfId="3893" xr:uid="{34B0B405-FE6D-493D-9711-A64E2FD545AC}"/>
    <cellStyle name="Normal 7 4 15" xfId="3076" xr:uid="{A59B9000-9ABD-4A05-94D0-6A201449511D}"/>
    <cellStyle name="Normal 7 4 16" xfId="3380" xr:uid="{2A95B2CC-28FA-4349-9690-87F5AB900014}"/>
    <cellStyle name="Normal 7 4 2" xfId="779" xr:uid="{00000000-0005-0000-0000-00000B030000}"/>
    <cellStyle name="Normal 7 4 2 10" xfId="2704" xr:uid="{135B0A76-83A6-40CF-BC18-F22A85C6EC56}"/>
    <cellStyle name="Normal 7 4 2 10 2" xfId="5074" xr:uid="{60ACA1E4-4626-4003-B611-008CC8E8E4E1}"/>
    <cellStyle name="Normal 7 4 2 11" xfId="2175" xr:uid="{8579A56D-9227-47E8-BB40-8E201296A4EE}"/>
    <cellStyle name="Normal 7 4 2 11 2" xfId="4556" xr:uid="{ABC14FDB-FCDE-4F8D-AD18-5FA612B2F171}"/>
    <cellStyle name="Normal 7 4 2 12" xfId="1492" xr:uid="{057E7C89-1F6F-4AE3-B451-B7D9E1BD54E0}"/>
    <cellStyle name="Normal 7 4 2 12 2" xfId="3902" xr:uid="{F6485428-F8F7-4274-B091-9F699B231AFE}"/>
    <cellStyle name="Normal 7 4 2 13" xfId="3080" xr:uid="{BA1CA42A-3C56-43A2-BC40-2FD524E7E5D1}"/>
    <cellStyle name="Normal 7 4 2 14" xfId="3384" xr:uid="{FF1F36B3-D793-49F0-8ED8-178982B15336}"/>
    <cellStyle name="Normal 7 4 2 2" xfId="780" xr:uid="{00000000-0005-0000-0000-00000C030000}"/>
    <cellStyle name="Normal 7 4 2 2 2" xfId="1202" xr:uid="{358936C7-E338-4525-9989-66D8595900DE}"/>
    <cellStyle name="Normal 7 4 2 2 2 2" xfId="1076" xr:uid="{06A644B9-4F38-403A-81BD-44B105E6699F}"/>
    <cellStyle name="Normal 7 4 2 2 2 2 2" xfId="1372" xr:uid="{48EE1DDF-96E3-4526-984B-D16550C68088}"/>
    <cellStyle name="Normal 7 4 2 2 2 2 2 2" xfId="2707" xr:uid="{CE410124-ED28-470B-B8F9-962A55F6C0FB}"/>
    <cellStyle name="Normal 7 4 2 2 2 2 2 2 2" xfId="5077" xr:uid="{2FDE5D62-D33C-4FC1-BC79-C0ABBC690E44}"/>
    <cellStyle name="Normal 7 4 2 2 2 2 2 3" xfId="1956" xr:uid="{A3AD4947-2B83-4530-B7C9-6426B1232F26}"/>
    <cellStyle name="Normal 7 4 2 2 2 2 2 3 2" xfId="4366" xr:uid="{4520DCF4-B3C5-4DD8-BC71-5EC1174FD26C}"/>
    <cellStyle name="Normal 7 4 2 2 2 2 2 4" xfId="3843" xr:uid="{D4A30D7C-6E32-4C77-9725-606289C01E87}"/>
    <cellStyle name="Normal 7 4 2 2 2 2 3" xfId="2708" xr:uid="{806DAA22-A776-40FA-B95B-26388B06B49A}"/>
    <cellStyle name="Normal 7 4 2 2 2 2 3 2" xfId="5078" xr:uid="{9A645E3B-E2B3-443E-ABA2-D26E61A684EF}"/>
    <cellStyle name="Normal 7 4 2 2 2 2 4" xfId="2706" xr:uid="{25F653E9-6D6C-4E62-973A-59C8DB7086AC}"/>
    <cellStyle name="Normal 7 4 2 2 2 2 4 2" xfId="5076" xr:uid="{89D92E21-023E-4A9B-857E-1872DA686D24}"/>
    <cellStyle name="Normal 7 4 2 2 2 2 5" xfId="1715" xr:uid="{56D42A28-8329-4860-BF55-5A2597C37C62}"/>
    <cellStyle name="Normal 7 4 2 2 2 2 5 2" xfId="4125" xr:uid="{FA61D40A-B163-4F9C-957A-3A0F8D7C6CB7}"/>
    <cellStyle name="Normal 7 4 2 2 2 2 6" xfId="3595" xr:uid="{0C800C19-0495-4F19-B2EE-28EAD70E9234}"/>
    <cellStyle name="Normal 7 4 2 2 2 3" xfId="1371" xr:uid="{7906A12E-1C4F-4730-8E04-4DD3718A0708}"/>
    <cellStyle name="Normal 7 4 2 2 2 3 2" xfId="2709" xr:uid="{9547F946-DC7B-46BD-8922-8C924AAADC89}"/>
    <cellStyle name="Normal 7 4 2 2 2 3 2 2" xfId="5079" xr:uid="{5B7C1274-8C32-4E0D-9910-21751D664E64}"/>
    <cellStyle name="Normal 7 4 2 2 2 3 3" xfId="1955" xr:uid="{78520F82-B9B0-460E-A87A-FCE64370987F}"/>
    <cellStyle name="Normal 7 4 2 2 2 3 3 2" xfId="4365" xr:uid="{11F35A89-E381-441E-BC7D-462DCC722D94}"/>
    <cellStyle name="Normal 7 4 2 2 2 3 4" xfId="3842" xr:uid="{E71F1A96-FF0C-4C53-829B-F5B017A330B6}"/>
    <cellStyle name="Normal 7 4 2 2 2 4" xfId="2710" xr:uid="{7F84D57B-21B9-4455-977D-D594F3942311}"/>
    <cellStyle name="Normal 7 4 2 2 2 4 2" xfId="5080" xr:uid="{767687BE-DF09-42F3-94B4-94DEA0A8FA3F}"/>
    <cellStyle name="Normal 7 4 2 2 2 5" xfId="2705" xr:uid="{0F6AA2A6-5E55-40A4-96C9-F44ED4148DEF}"/>
    <cellStyle name="Normal 7 4 2 2 2 5 2" xfId="5075" xr:uid="{800329C2-BF90-479B-BCC4-6C595764E5D4}"/>
    <cellStyle name="Normal 7 4 2 2 2 6" xfId="1612" xr:uid="{3F3C22B6-578C-4625-85C9-88A0ED2DC266}"/>
    <cellStyle name="Normal 7 4 2 2 2 6 2" xfId="4022" xr:uid="{8FCAA59F-45C4-423A-8A3A-A2A4B6F1D2BE}"/>
    <cellStyle name="Normal 7 4 2 2 2 7" xfId="3714" xr:uid="{19D2B0A4-CDAC-4567-B317-D9F38E92EA07}"/>
    <cellStyle name="Normal 7 4 2 2 3" xfId="946" xr:uid="{7D2D1BB4-D010-4C92-A5DB-79603ED0EAD9}"/>
    <cellStyle name="Normal 7 4 2 2 3 2" xfId="1373" xr:uid="{C4F6158E-F526-4BDA-A05E-274BEF0DC1B1}"/>
    <cellStyle name="Normal 7 4 2 2 3 2 2" xfId="2712" xr:uid="{2D7C575A-ACF5-444D-A026-D46C7E134DD8}"/>
    <cellStyle name="Normal 7 4 2 2 3 2 2 2" xfId="5082" xr:uid="{9F848AD1-222F-41DE-8861-BB5E60FBA508}"/>
    <cellStyle name="Normal 7 4 2 2 3 2 3" xfId="1957" xr:uid="{199ADEB2-5B16-4762-B609-78024AAB6D53}"/>
    <cellStyle name="Normal 7 4 2 2 3 2 3 2" xfId="4367" xr:uid="{79A4DE99-E60E-4B39-8C28-38A2B150246D}"/>
    <cellStyle name="Normal 7 4 2 2 3 2 4" xfId="3844" xr:uid="{070E41DE-9476-4F0B-AAE9-8386762C5F48}"/>
    <cellStyle name="Normal 7 4 2 2 3 3" xfId="2713" xr:uid="{8FAB8793-CFE5-42AB-9748-BE8B467735E3}"/>
    <cellStyle name="Normal 7 4 2 2 3 3 2" xfId="5083" xr:uid="{B92ABB8E-E624-43D1-9BF5-632EAD741F0A}"/>
    <cellStyle name="Normal 7 4 2 2 3 4" xfId="2711" xr:uid="{099F4FBF-7AF0-48AA-9AFF-8E7F34025AAA}"/>
    <cellStyle name="Normal 7 4 2 2 3 4 2" xfId="5081" xr:uid="{AD26C7B7-5375-454D-AAAC-3222DAD96B59}"/>
    <cellStyle name="Normal 7 4 2 2 3 5" xfId="1655" xr:uid="{268522F0-FE4C-48B9-93CB-73DCB3A5F355}"/>
    <cellStyle name="Normal 7 4 2 2 3 5 2" xfId="4065" xr:uid="{49EFA2E6-7B19-471A-A020-9968DAAA0C54}"/>
    <cellStyle name="Normal 7 4 2 2 3 6" xfId="3508" xr:uid="{87D826EA-E7A9-4614-B296-8C0DA4AC763A}"/>
    <cellStyle name="Normal 7 4 2 2 4" xfId="1370" xr:uid="{496000ED-F2B9-48BC-90ED-48518DA3486A}"/>
    <cellStyle name="Normal 7 4 2 2 4 2" xfId="2714" xr:uid="{4FC6F4F4-E28F-4F2C-85CB-BC0DF9F51161}"/>
    <cellStyle name="Normal 7 4 2 2 4 2 2" xfId="5084" xr:uid="{F7877D6E-19ED-47AF-97B0-ED9901DE4D02}"/>
    <cellStyle name="Normal 7 4 2 2 4 3" xfId="1954" xr:uid="{9E2730AC-716C-49A5-AFA0-5FA5F16F563E}"/>
    <cellStyle name="Normal 7 4 2 2 4 3 2" xfId="4364" xr:uid="{C533A909-583D-47DC-87B5-3ADEA76A8BAE}"/>
    <cellStyle name="Normal 7 4 2 2 4 4" xfId="3841" xr:uid="{9CD9C317-77A4-4A3C-8390-9C37EE47ECF4}"/>
    <cellStyle name="Normal 7 4 2 2 5" xfId="2715" xr:uid="{7B74F96A-2B69-49E0-A673-A32E5A09C9BB}"/>
    <cellStyle name="Normal 7 4 2 2 5 2" xfId="5085" xr:uid="{84417081-FB50-4576-96FA-53852E324C15}"/>
    <cellStyle name="Normal 7 4 2 2 6" xfId="2176" xr:uid="{C15F16C5-68B0-4A1C-B3C9-D0FEBB9CB1E1}"/>
    <cellStyle name="Normal 7 4 2 2 6 2" xfId="4557" xr:uid="{DEAB4A18-5111-4884-B114-A1622C04B3E4}"/>
    <cellStyle name="Normal 7 4 2 2 7" xfId="1552" xr:uid="{40984775-E992-437E-8F71-F7189202E02B}"/>
    <cellStyle name="Normal 7 4 2 2 7 2" xfId="3962" xr:uid="{6BAD83C1-D2BE-40BF-9813-B4587EAB4C21}"/>
    <cellStyle name="Normal 7 4 2 2 8" xfId="3081" xr:uid="{98219E31-F87F-448D-ABE0-896BA046A74F}"/>
    <cellStyle name="Normal 7 4 2 2 9" xfId="3385" xr:uid="{9405789E-EA61-423E-B3E5-8E3533476E75}"/>
    <cellStyle name="Normal 7 4 2 3" xfId="781" xr:uid="{00000000-0005-0000-0000-00000D030000}"/>
    <cellStyle name="Normal 7 4 2 3 2" xfId="1203" xr:uid="{24CEB5A1-AEFF-43C1-901F-DBBB4417E31D}"/>
    <cellStyle name="Normal 7 4 2 3 2 2" xfId="1375" xr:uid="{2107E26B-CC5A-4BE9-B736-7EB947C2784E}"/>
    <cellStyle name="Normal 7 4 2 3 2 2 2" xfId="2717" xr:uid="{72DE87C9-5769-4883-B399-E160796E0340}"/>
    <cellStyle name="Normal 7 4 2 3 2 2 2 2" xfId="5087" xr:uid="{452AB7DB-E935-42F6-B1A3-738B6843535B}"/>
    <cellStyle name="Normal 7 4 2 3 2 2 3" xfId="1959" xr:uid="{1F6D8CDA-2AC5-4F72-B9DC-9246F7987C8D}"/>
    <cellStyle name="Normal 7 4 2 3 2 2 3 2" xfId="4369" xr:uid="{3DFC4709-F506-4E5F-9EDD-1BCF94AB8DF0}"/>
    <cellStyle name="Normal 7 4 2 3 2 2 4" xfId="3846" xr:uid="{A0877CDF-3AC5-4F09-A00D-D5DA1F25747F}"/>
    <cellStyle name="Normal 7 4 2 3 2 3" xfId="2718" xr:uid="{F94E8F89-36A9-4804-9331-4FA05EAC1C3D}"/>
    <cellStyle name="Normal 7 4 2 3 2 3 2" xfId="5088" xr:uid="{29A07FC7-FA3B-46D5-BF85-D2E22A9282B6}"/>
    <cellStyle name="Normal 7 4 2 3 2 4" xfId="2716" xr:uid="{DA8FB7CE-56F9-4F58-B242-EC096DB3D2CD}"/>
    <cellStyle name="Normal 7 4 2 3 2 4 2" xfId="5086" xr:uid="{9CF9C3F4-29B3-479D-B97A-C39265001980}"/>
    <cellStyle name="Normal 7 4 2 3 2 5" xfId="1589" xr:uid="{DBDC0E5B-787E-4EA3-81D8-34DB15A193E9}"/>
    <cellStyle name="Normal 7 4 2 3 2 5 2" xfId="3999" xr:uid="{7F84A97C-9C01-4F04-A910-5F9EF3E7E99D}"/>
    <cellStyle name="Normal 7 4 2 3 2 6" xfId="3715" xr:uid="{3519453C-D1E5-4E5E-8C40-9B4D168A6153}"/>
    <cellStyle name="Normal 7 4 2 3 3" xfId="1008" xr:uid="{49818E82-082A-4BE5-B570-C19FC1B08451}"/>
    <cellStyle name="Normal 7 4 2 3 3 2" xfId="1376" xr:uid="{9885E402-1D3E-4AD2-B0E1-D3514FED342C}"/>
    <cellStyle name="Normal 7 4 2 3 3 2 2" xfId="2720" xr:uid="{FFAB22D0-6152-4F67-9759-8BBCE1B8A362}"/>
    <cellStyle name="Normal 7 4 2 3 3 2 2 2" xfId="5090" xr:uid="{25AC2F3A-1275-4EA7-8AF6-91CF2DEB34BA}"/>
    <cellStyle name="Normal 7 4 2 3 3 2 3" xfId="1960" xr:uid="{DD9D7B5F-F68A-4B0D-B522-657408233590}"/>
    <cellStyle name="Normal 7 4 2 3 3 2 3 2" xfId="4370" xr:uid="{7C76D8B9-21F3-4E70-807D-6551F899C290}"/>
    <cellStyle name="Normal 7 4 2 3 3 2 4" xfId="3847" xr:uid="{D75E5860-FEB6-4E7F-BFE2-8FE116361419}"/>
    <cellStyle name="Normal 7 4 2 3 3 3" xfId="2721" xr:uid="{DDA38CE8-D724-4926-804D-03C0AEC04750}"/>
    <cellStyle name="Normal 7 4 2 3 3 3 2" xfId="5091" xr:uid="{88D16749-819C-42DF-8C73-01220A8B866F}"/>
    <cellStyle name="Normal 7 4 2 3 3 4" xfId="2719" xr:uid="{5E4E4B74-F33D-42AF-9360-DA843570A1F7}"/>
    <cellStyle name="Normal 7 4 2 3 3 4 2" xfId="5089" xr:uid="{2D5469D7-CB2A-48A6-A016-2741C9A72C18}"/>
    <cellStyle name="Normal 7 4 2 3 3 5" xfId="1692" xr:uid="{8A2F97EB-AAAB-4000-A70B-A2870677BD30}"/>
    <cellStyle name="Normal 7 4 2 3 3 5 2" xfId="4102" xr:uid="{651A4884-1E61-4917-AE9C-9C8F090FA245}"/>
    <cellStyle name="Normal 7 4 2 3 3 6" xfId="3528" xr:uid="{FAAFEC5C-E667-4539-92B3-8ECACEE42946}"/>
    <cellStyle name="Normal 7 4 2 3 4" xfId="1374" xr:uid="{93EA2CCE-9F0C-49D9-95FB-F85A54AA98D3}"/>
    <cellStyle name="Normal 7 4 2 3 4 2" xfId="2722" xr:uid="{50C1098E-C256-4412-9B94-CA00CC792752}"/>
    <cellStyle name="Normal 7 4 2 3 4 2 2" xfId="5092" xr:uid="{08F031B9-1D35-467F-A140-C0F7EA09043E}"/>
    <cellStyle name="Normal 7 4 2 3 4 3" xfId="1958" xr:uid="{F535B18E-9719-4DAC-B557-831F9CA2D13A}"/>
    <cellStyle name="Normal 7 4 2 3 4 3 2" xfId="4368" xr:uid="{F8AEB495-8E5F-476A-837D-413635DF303D}"/>
    <cellStyle name="Normal 7 4 2 3 4 4" xfId="3845" xr:uid="{9D96A865-AD80-4649-9ED0-F1B79B15CAC3}"/>
    <cellStyle name="Normal 7 4 2 3 5" xfId="2723" xr:uid="{8B3CBE64-E271-423B-B92A-3FE642E2A676}"/>
    <cellStyle name="Normal 7 4 2 3 5 2" xfId="5093" xr:uid="{35906932-D965-42E9-86D9-37816AA8BD52}"/>
    <cellStyle name="Normal 7 4 2 3 6" xfId="2177" xr:uid="{D2CBDA4A-4129-43AA-BB44-2A9108CEE44C}"/>
    <cellStyle name="Normal 7 4 2 3 6 2" xfId="4558" xr:uid="{785CE687-138E-4DB0-8A75-371CB124DA26}"/>
    <cellStyle name="Normal 7 4 2 3 7" xfId="1529" xr:uid="{F25CDDF8-54BC-4A79-AAC7-00E4829EE9B6}"/>
    <cellStyle name="Normal 7 4 2 3 7 2" xfId="3939" xr:uid="{995639DC-DE04-4DF9-81A2-3399D2E8502E}"/>
    <cellStyle name="Normal 7 4 2 3 8" xfId="3082" xr:uid="{666972AB-B1F5-4D45-9AE6-D69CBDD6BB15}"/>
    <cellStyle name="Normal 7 4 2 3 9" xfId="3386" xr:uid="{507E4702-3162-42B6-BE24-E2F68672D805}"/>
    <cellStyle name="Normal 7 4 2 4" xfId="782" xr:uid="{00000000-0005-0000-0000-00000E030000}"/>
    <cellStyle name="Normal 7 4 2 4 2" xfId="1204" xr:uid="{F95CBAEC-FA30-4351-9AEA-2D88D6D5E2BC}"/>
    <cellStyle name="Normal 7 4 2 4 2 2" xfId="1378" xr:uid="{2D2E4FDF-1A60-4F85-A677-75C6CE019D88}"/>
    <cellStyle name="Normal 7 4 2 4 2 2 2" xfId="2725" xr:uid="{370A438F-7D90-482B-87DC-DD57F94A1A3A}"/>
    <cellStyle name="Normal 7 4 2 4 2 2 2 2" xfId="5095" xr:uid="{350F2926-274B-4B1E-A487-F987CD324988}"/>
    <cellStyle name="Normal 7 4 2 4 2 2 3" xfId="1962" xr:uid="{7185E321-81CB-4959-BC81-6E21065C9B66}"/>
    <cellStyle name="Normal 7 4 2 4 2 2 3 2" xfId="4372" xr:uid="{E4E97C2B-01C3-4E94-B4BA-7A5150A39B7D}"/>
    <cellStyle name="Normal 7 4 2 4 2 2 4" xfId="3849" xr:uid="{63E31EC5-357C-4D4A-9B63-9A7EA18CB2B8}"/>
    <cellStyle name="Normal 7 4 2 4 2 3" xfId="2726" xr:uid="{594F4924-F2FC-4E45-AAB8-8A7B41CB296E}"/>
    <cellStyle name="Normal 7 4 2 4 2 3 2" xfId="5096" xr:uid="{1729A02C-10BE-46E6-A414-ED99A4A8B7AB}"/>
    <cellStyle name="Normal 7 4 2 4 2 4" xfId="2724" xr:uid="{3E2B3155-82C0-4067-83F7-9365BC48347D}"/>
    <cellStyle name="Normal 7 4 2 4 2 4 2" xfId="5094" xr:uid="{5599A8A6-BDF7-4AD1-9B59-315670724853}"/>
    <cellStyle name="Normal 7 4 2 4 2 5" xfId="1672" xr:uid="{CB957D20-BE0A-4390-965C-7E3A3F0D021F}"/>
    <cellStyle name="Normal 7 4 2 4 2 5 2" xfId="4082" xr:uid="{29D0FB9A-D6FC-4F62-8770-9A85A94D0AE1}"/>
    <cellStyle name="Normal 7 4 2 4 2 6" xfId="3716" xr:uid="{8C63CD0F-A0FA-4DA6-8FD9-E5320A3D3C52}"/>
    <cellStyle name="Normal 7 4 2 4 3" xfId="1377" xr:uid="{697F19F7-4AA7-453C-968D-326F0215AE61}"/>
    <cellStyle name="Normal 7 4 2 4 3 2" xfId="2727" xr:uid="{B28A237A-0080-4ED4-886A-2100BFF3EE96}"/>
    <cellStyle name="Normal 7 4 2 4 3 2 2" xfId="5097" xr:uid="{F3984FBC-943B-48B4-8F48-9BF37C3B506A}"/>
    <cellStyle name="Normal 7 4 2 4 3 3" xfId="1961" xr:uid="{82C75E50-33F0-4BC5-80B1-2252E376DE57}"/>
    <cellStyle name="Normal 7 4 2 4 3 3 2" xfId="4371" xr:uid="{34473499-18B5-41BD-AC76-EAFF36B0BFA0}"/>
    <cellStyle name="Normal 7 4 2 4 3 4" xfId="3848" xr:uid="{5607706D-3264-4CB3-B597-84C21ADE1307}"/>
    <cellStyle name="Normal 7 4 2 4 4" xfId="2728" xr:uid="{D82FF38E-A9C5-4A53-B637-12286B4338F9}"/>
    <cellStyle name="Normal 7 4 2 4 4 2" xfId="5098" xr:uid="{86296EFC-F1CF-47BF-AEC3-07F9A9498F6F}"/>
    <cellStyle name="Normal 7 4 2 4 5" xfId="2178" xr:uid="{042B124B-BC55-460E-817F-E1A769A1923A}"/>
    <cellStyle name="Normal 7 4 2 4 5 2" xfId="4559" xr:uid="{B2788BE8-DBD3-4FD6-839D-0C706D5538E7}"/>
    <cellStyle name="Normal 7 4 2 4 6" xfId="1509" xr:uid="{25EBCCB2-E86B-4252-986E-4EB8A1D047AF}"/>
    <cellStyle name="Normal 7 4 2 4 6 2" xfId="3919" xr:uid="{C39F9454-7039-4EA1-A61B-F912FADDB835}"/>
    <cellStyle name="Normal 7 4 2 4 7" xfId="3083" xr:uid="{A3187D14-03BA-495C-9428-643EEF6B8DC0}"/>
    <cellStyle name="Normal 7 4 2 4 8" xfId="3387" xr:uid="{548D7556-A1A5-43D3-9905-100EAF33E0E9}"/>
    <cellStyle name="Normal 7 4 2 5" xfId="783" xr:uid="{00000000-0005-0000-0000-00000F030000}"/>
    <cellStyle name="Normal 7 4 2 5 2" xfId="1205" xr:uid="{4A158FCF-ECBC-4284-B2CB-27DF749DEFFF}"/>
    <cellStyle name="Normal 7 4 2 5 2 2" xfId="2729" xr:uid="{F5BEA75F-4A0E-4601-9C9F-3ED1E5CAA8C1}"/>
    <cellStyle name="Normal 7 4 2 5 2 2 2" xfId="5099" xr:uid="{44069010-DCDA-4654-9518-0430A5D0E144}"/>
    <cellStyle name="Normal 7 4 2 5 2 3" xfId="1963" xr:uid="{89EF42E1-F7BC-4DDC-BF3E-301F2389B46E}"/>
    <cellStyle name="Normal 7 4 2 5 2 3 2" xfId="4373" xr:uid="{10C59C22-1EC8-43DF-8635-F0F79B3F5672}"/>
    <cellStyle name="Normal 7 4 2 5 2 4" xfId="3717" xr:uid="{72762FBE-72F7-43E2-9155-09664D9EBED9}"/>
    <cellStyle name="Normal 7 4 2 5 3" xfId="2730" xr:uid="{A01C4F62-4FBA-4976-9D2E-093CB018DBBE}"/>
    <cellStyle name="Normal 7 4 2 5 3 2" xfId="5100" xr:uid="{5CD24A26-9DD4-44E4-AC45-D13A2F8901A9}"/>
    <cellStyle name="Normal 7 4 2 5 4" xfId="2179" xr:uid="{EFFB8601-3B40-4334-ADCD-FAC9681A3AE6}"/>
    <cellStyle name="Normal 7 4 2 5 4 2" xfId="4560" xr:uid="{FCB94A01-AABD-476A-9D2B-4DC5BB123BDF}"/>
    <cellStyle name="Normal 7 4 2 5 5" xfId="1569" xr:uid="{8214138F-02FD-4870-A245-B028E772D270}"/>
    <cellStyle name="Normal 7 4 2 5 5 2" xfId="3979" xr:uid="{06A98D9C-56D9-4862-A9EE-1FCBC2413454}"/>
    <cellStyle name="Normal 7 4 2 5 6" xfId="3084" xr:uid="{97664C8C-B9BE-4E23-AE91-ECF36C68D881}"/>
    <cellStyle name="Normal 7 4 2 5 7" xfId="3388" xr:uid="{5B1C659D-7422-46C6-A5C5-25253184D080}"/>
    <cellStyle name="Normal 7 4 2 6" xfId="784" xr:uid="{00000000-0005-0000-0000-000010030000}"/>
    <cellStyle name="Normal 7 4 2 6 2" xfId="1206" xr:uid="{DCA5D3BC-C71A-4E14-8251-A7A52509A57D}"/>
    <cellStyle name="Normal 7 4 2 6 2 2" xfId="2731" xr:uid="{F3365E1E-48F7-4619-A389-094B45D4E109}"/>
    <cellStyle name="Normal 7 4 2 6 2 2 2" xfId="5101" xr:uid="{9FE0E917-2818-4734-8B2B-2250446D9010}"/>
    <cellStyle name="Normal 7 4 2 6 2 3" xfId="1964" xr:uid="{E424375E-DE7E-4AA5-9458-AA38DC8757F4}"/>
    <cellStyle name="Normal 7 4 2 6 2 3 2" xfId="4374" xr:uid="{0093DF54-A65A-4D3B-9F48-44C7BFDD03B1}"/>
    <cellStyle name="Normal 7 4 2 6 2 4" xfId="3718" xr:uid="{3849B47A-4614-4CCB-8BBD-846AA5201AFC}"/>
    <cellStyle name="Normal 7 4 2 6 3" xfId="2732" xr:uid="{CC232D8C-DA19-41DB-B69D-134CF9903802}"/>
    <cellStyle name="Normal 7 4 2 6 3 2" xfId="5102" xr:uid="{09794023-543F-42C5-B662-874373D6BFAA}"/>
    <cellStyle name="Normal 7 4 2 6 4" xfId="2180" xr:uid="{A1A6309F-E48E-4A8B-B93C-A58493882F61}"/>
    <cellStyle name="Normal 7 4 2 6 4 2" xfId="4561" xr:uid="{A1C6C40F-93A3-4ACC-A823-46AEB5090A5E}"/>
    <cellStyle name="Normal 7 4 2 6 5" xfId="1632" xr:uid="{C989E25C-3A6C-453F-9A8E-4171BF7201CC}"/>
    <cellStyle name="Normal 7 4 2 6 5 2" xfId="4042" xr:uid="{82C3AA27-5C96-4DEF-97C4-C51D94D100BF}"/>
    <cellStyle name="Normal 7 4 2 6 6" xfId="3085" xr:uid="{FBF48279-BBDC-4D70-BBF1-981CDCAB329D}"/>
    <cellStyle name="Normal 7 4 2 6 7" xfId="3389" xr:uid="{FFFEB653-3F3F-45D1-A140-F5574F7C69FA}"/>
    <cellStyle name="Normal 7 4 2 7" xfId="785" xr:uid="{00000000-0005-0000-0000-000011030000}"/>
    <cellStyle name="Normal 7 4 2 7 2" xfId="1207" xr:uid="{041D7557-DC1D-420E-A6A8-5F1FA9E35056}"/>
    <cellStyle name="Normal 7 4 2 7 2 2" xfId="2181" xr:uid="{15920A46-CB8B-4445-9468-A8175466720D}"/>
    <cellStyle name="Normal 7 4 2 7 2 2 2" xfId="4562" xr:uid="{E08F27C2-FB4E-4E12-84DF-DBB22F9B8D37}"/>
    <cellStyle name="Normal 7 4 2 7 2 3" xfId="3719" xr:uid="{7D8A0E01-4206-495B-BEAB-CB1A04E03093}"/>
    <cellStyle name="Normal 7 4 2 7 3" xfId="1965" xr:uid="{B5828234-1761-44B2-9BCE-66B32D3C73EE}"/>
    <cellStyle name="Normal 7 4 2 7 3 2" xfId="4375" xr:uid="{01BAFB8A-7796-4643-B9C9-FE468B2EA03E}"/>
    <cellStyle name="Normal 7 4 2 7 4" xfId="3086" xr:uid="{26AD4547-1BE0-42B7-9FEA-F34630EEF0F0}"/>
    <cellStyle name="Normal 7 4 2 7 5" xfId="3390" xr:uid="{E5D736D8-ADBD-421D-A165-1388F15790FC}"/>
    <cellStyle name="Normal 7 4 2 8" xfId="786" xr:uid="{00000000-0005-0000-0000-000012030000}"/>
    <cellStyle name="Normal 7 4 2 8 2" xfId="1208" xr:uid="{B97C0F73-71FF-410B-B7DD-A5FC2F8B7B1E}"/>
    <cellStyle name="Normal 7 4 2 8 2 2" xfId="2182" xr:uid="{F6537C50-816C-47B0-895E-CFD5D15104E1}"/>
    <cellStyle name="Normal 7 4 2 8 2 2 2" xfId="4563" xr:uid="{1BC9B801-AF9A-4656-8CC8-0C7C81533A19}"/>
    <cellStyle name="Normal 7 4 2 8 2 3" xfId="3720" xr:uid="{E12DD6CC-A0FF-4477-9B27-238DEA880788}"/>
    <cellStyle name="Normal 7 4 2 8 3" xfId="1966" xr:uid="{E5FA404A-0A72-4754-B797-DDA10A88F63B}"/>
    <cellStyle name="Normal 7 4 2 8 3 2" xfId="4376" xr:uid="{D8FE5119-2AD7-4838-A08C-51BF03B53A11}"/>
    <cellStyle name="Normal 7 4 2 8 4" xfId="3087" xr:uid="{F13DD7B0-9A3B-47AA-8A7F-8AF8B682D7DC}"/>
    <cellStyle name="Normal 7 4 2 8 5" xfId="3391" xr:uid="{2C9FCD11-64C8-4A0B-A41F-34BDCE04A8D2}"/>
    <cellStyle name="Normal 7 4 2 9" xfId="1201" xr:uid="{52BF681F-4138-4102-AE16-3AEFDB97613E}"/>
    <cellStyle name="Normal 7 4 2 9 2" xfId="2733" xr:uid="{D70F0210-6D2A-4128-8A55-0A6C29074BC5}"/>
    <cellStyle name="Normal 7 4 2 9 2 2" xfId="5103" xr:uid="{CAEDDDD9-58A6-440F-B8CF-C80559598F04}"/>
    <cellStyle name="Normal 7 4 2 9 3" xfId="1953" xr:uid="{5C51AB73-0094-4C84-9C3A-A63AB223AD02}"/>
    <cellStyle name="Normal 7 4 2 9 3 2" xfId="4363" xr:uid="{45043C33-146F-4A7F-A308-B7CF09D6CBC0}"/>
    <cellStyle name="Normal 7 4 2 9 4" xfId="3713" xr:uid="{59B99770-CC42-46D5-9C4F-DDA3D2733647}"/>
    <cellStyle name="Normal 7 4 3" xfId="787" xr:uid="{00000000-0005-0000-0000-000013030000}"/>
    <cellStyle name="Normal 7 4 3 2" xfId="788" xr:uid="{00000000-0005-0000-0000-000014030000}"/>
    <cellStyle name="Normal 7 4 3 2 2" xfId="1210" xr:uid="{6771082C-E9AE-4DF0-A0AF-BBB92BDAF1A2}"/>
    <cellStyle name="Normal 7 4 3 2 2 2" xfId="1381" xr:uid="{5B488EE4-4979-441D-A749-E260572F0383}"/>
    <cellStyle name="Normal 7 4 3 2 2 2 2" xfId="2735" xr:uid="{A108D7B4-1D02-4837-A500-FE26164A5EA1}"/>
    <cellStyle name="Normal 7 4 3 2 2 2 2 2" xfId="5105" xr:uid="{923C79A5-8F98-49AA-9474-90EE219091D2}"/>
    <cellStyle name="Normal 7 4 3 2 2 2 3" xfId="1969" xr:uid="{94D323DD-4822-4BC3-92A9-068FF76C1833}"/>
    <cellStyle name="Normal 7 4 3 2 2 2 3 2" xfId="4379" xr:uid="{0C7C02FE-990B-47DA-AF41-B3919E6ABE0D}"/>
    <cellStyle name="Normal 7 4 3 2 2 2 4" xfId="3852" xr:uid="{FB9CC479-633B-43C1-B876-C4095DAB13BD}"/>
    <cellStyle name="Normal 7 4 3 2 2 3" xfId="2736" xr:uid="{916B8A61-326E-41B3-AAF2-10960B85D3F7}"/>
    <cellStyle name="Normal 7 4 3 2 2 3 2" xfId="5106" xr:uid="{C9A35CA4-BEBB-4F0E-AE97-B5E9A1164C9B}"/>
    <cellStyle name="Normal 7 4 3 2 2 4" xfId="2734" xr:uid="{96EE8E91-5593-4237-BCEC-DC5AF84961E3}"/>
    <cellStyle name="Normal 7 4 3 2 2 4 2" xfId="5104" xr:uid="{C0D16CA5-CF09-4ED3-B465-8BDEE7A11BB3}"/>
    <cellStyle name="Normal 7 4 3 2 2 5" xfId="1699" xr:uid="{476AC660-007B-41F1-8BC2-A1B186D0A2F4}"/>
    <cellStyle name="Normal 7 4 3 2 2 5 2" xfId="4109" xr:uid="{0227F20A-0834-4D76-9076-951A23B1A471}"/>
    <cellStyle name="Normal 7 4 3 2 2 6" xfId="3722" xr:uid="{B0932F10-480E-4AF9-9660-23172B7582A0}"/>
    <cellStyle name="Normal 7 4 3 2 3" xfId="1380" xr:uid="{D24C62C9-E9F9-4BDF-A930-C53AD4191C7B}"/>
    <cellStyle name="Normal 7 4 3 2 3 2" xfId="2737" xr:uid="{2FB3551F-A25A-4B69-9EE5-8142B7252AB6}"/>
    <cellStyle name="Normal 7 4 3 2 3 2 2" xfId="5107" xr:uid="{05583EF4-FCF3-4F37-8DA4-211BD909B0E0}"/>
    <cellStyle name="Normal 7 4 3 2 3 3" xfId="1968" xr:uid="{5740B44D-2B5F-49C3-8BFF-F634EC489B84}"/>
    <cellStyle name="Normal 7 4 3 2 3 3 2" xfId="4378" xr:uid="{86678D33-F5EA-4233-AFFD-F53B60FB0E7C}"/>
    <cellStyle name="Normal 7 4 3 2 3 4" xfId="3851" xr:uid="{9D1D77A2-4F93-4B93-9FD1-D93490318BFB}"/>
    <cellStyle name="Normal 7 4 3 2 4" xfId="2738" xr:uid="{6D8DFE32-38A4-4345-8CB3-C7B43131C2AE}"/>
    <cellStyle name="Normal 7 4 3 2 4 2" xfId="5108" xr:uid="{957ED3E4-9C82-4096-9EB6-A8CDE2F1D4EC}"/>
    <cellStyle name="Normal 7 4 3 2 5" xfId="2184" xr:uid="{492FECDC-626C-485C-98AC-4C645BB47E1E}"/>
    <cellStyle name="Normal 7 4 3 2 5 2" xfId="4565" xr:uid="{0ABF2568-F861-4416-95DE-1BEB1A9CB0E8}"/>
    <cellStyle name="Normal 7 4 3 2 6" xfId="1596" xr:uid="{D14F8857-1FA1-41EF-9E3E-5D5E7A8F9BA9}"/>
    <cellStyle name="Normal 7 4 3 2 6 2" xfId="4006" xr:uid="{EFAA030B-AED1-4417-A50C-BC3C6EAB0868}"/>
    <cellStyle name="Normal 7 4 3 2 7" xfId="3089" xr:uid="{477D6371-69DD-418F-9795-9703A1C5A2BE}"/>
    <cellStyle name="Normal 7 4 3 2 8" xfId="3393" xr:uid="{ECF3BC34-4BA7-481F-8A43-DB6A00BEC5ED}"/>
    <cellStyle name="Normal 7 4 3 3" xfId="1209" xr:uid="{F5732FFD-1216-4697-BC4D-6D1DAACCD666}"/>
    <cellStyle name="Normal 7 4 3 3 2" xfId="1382" xr:uid="{4E0262E9-F7E1-45A1-91A2-FC8F55DFFBB8}"/>
    <cellStyle name="Normal 7 4 3 3 2 2" xfId="2740" xr:uid="{D18ED103-FA63-437B-B5D4-CE72940389D7}"/>
    <cellStyle name="Normal 7 4 3 3 2 2 2" xfId="5110" xr:uid="{1AEF7512-689F-407F-A563-44A5D0DF2D53}"/>
    <cellStyle name="Normal 7 4 3 3 2 3" xfId="1970" xr:uid="{E2A3C535-3597-4B53-88C9-A6C0AD900110}"/>
    <cellStyle name="Normal 7 4 3 3 2 3 2" xfId="4380" xr:uid="{EED0EC50-1E35-484C-BFD5-02957A8994C6}"/>
    <cellStyle name="Normal 7 4 3 3 2 4" xfId="3853" xr:uid="{B807E4B9-B1CA-4C90-ACCF-C04169D46F35}"/>
    <cellStyle name="Normal 7 4 3 3 3" xfId="2741" xr:uid="{5F8B87C9-A6DF-4562-8E36-FB4EB8191E20}"/>
    <cellStyle name="Normal 7 4 3 3 3 2" xfId="5111" xr:uid="{1EF4F099-61F8-4B8F-8977-7E839DFB49AC}"/>
    <cellStyle name="Normal 7 4 3 3 4" xfId="2739" xr:uid="{2B29B7C4-726F-4267-9F58-19B0DCB6128F}"/>
    <cellStyle name="Normal 7 4 3 3 4 2" xfId="5109" xr:uid="{7E7A420B-A465-4BB7-8DE9-EDEB4AD4980A}"/>
    <cellStyle name="Normal 7 4 3 3 5" xfId="1639" xr:uid="{56B55FDD-BB8B-4AB0-B75F-74D666379794}"/>
    <cellStyle name="Normal 7 4 3 3 5 2" xfId="4049" xr:uid="{6EA02F2D-A0B2-40BB-8FC2-123AB466C6FF}"/>
    <cellStyle name="Normal 7 4 3 3 6" xfId="3721" xr:uid="{8EF15FE9-52BA-41D1-B4BF-DA3D95388522}"/>
    <cellStyle name="Normal 7 4 3 4" xfId="1379" xr:uid="{7ABD7B94-6DB3-450B-A496-7AEEE5A77EA5}"/>
    <cellStyle name="Normal 7 4 3 4 2" xfId="2742" xr:uid="{1A6545CE-2FF8-4EB7-A742-222615863EE5}"/>
    <cellStyle name="Normal 7 4 3 4 2 2" xfId="5112" xr:uid="{79809D01-18C5-4CF1-BB20-DBEDC8545262}"/>
    <cellStyle name="Normal 7 4 3 4 3" xfId="1967" xr:uid="{63B396AB-CA90-44BA-A99B-E11B8017AC1B}"/>
    <cellStyle name="Normal 7 4 3 4 3 2" xfId="4377" xr:uid="{55D81EC7-FCF5-4413-942B-65251E91897F}"/>
    <cellStyle name="Normal 7 4 3 4 4" xfId="3850" xr:uid="{18A46BB1-CB36-4BC5-8510-7452E71F10DD}"/>
    <cellStyle name="Normal 7 4 3 5" xfId="2743" xr:uid="{C8E6BEDE-FEDF-4E7B-B84C-86F8A441A956}"/>
    <cellStyle name="Normal 7 4 3 5 2" xfId="5113" xr:uid="{3D82AA42-0BDB-485E-9F23-B1F90AF0EFC7}"/>
    <cellStyle name="Normal 7 4 3 6" xfId="2183" xr:uid="{EE6A9634-B5CC-4964-9228-3B68467AE9D3}"/>
    <cellStyle name="Normal 7 4 3 6 2" xfId="4564" xr:uid="{FB2D3350-E62C-4331-9D0D-1195AA9BEE71}"/>
    <cellStyle name="Normal 7 4 3 7" xfId="1536" xr:uid="{2B4ABB06-C794-4DB6-8422-A237339BD5C0}"/>
    <cellStyle name="Normal 7 4 3 7 2" xfId="3946" xr:uid="{3E0FA806-CABF-4DFB-8ECC-1CF0EC5BF135}"/>
    <cellStyle name="Normal 7 4 3 8" xfId="3088" xr:uid="{105F011B-AA1D-4B81-88B0-974A501C9F26}"/>
    <cellStyle name="Normal 7 4 3 9" xfId="3392" xr:uid="{A5324B01-AB59-402E-B7F7-296F929C4C46}"/>
    <cellStyle name="Normal 7 4 4" xfId="789" xr:uid="{00000000-0005-0000-0000-000015030000}"/>
    <cellStyle name="Normal 7 4 4 2" xfId="1211" xr:uid="{BE7DC558-7F40-4A6A-ACF4-19139638BE21}"/>
    <cellStyle name="Normal 7 4 4 2 2" xfId="1069" xr:uid="{0672AE22-D94A-445F-9D24-F9EE1574678E}"/>
    <cellStyle name="Normal 7 4 4 2 2 2" xfId="1385" xr:uid="{BB6965E9-A3C7-4E26-A081-09C445D3D309}"/>
    <cellStyle name="Normal 7 4 4 2 2 2 2" xfId="2746" xr:uid="{A464FA08-B4E2-4640-95C6-8A8C1938ECD9}"/>
    <cellStyle name="Normal 7 4 4 2 2 2 2 2" xfId="5116" xr:uid="{FE9FBCFA-FDD2-42D8-834A-9D5581065EE0}"/>
    <cellStyle name="Normal 7 4 4 2 2 2 3" xfId="1973" xr:uid="{C28D3701-76EE-4982-8462-9C968827799E}"/>
    <cellStyle name="Normal 7 4 4 2 2 2 3 2" xfId="4383" xr:uid="{3BBD8AA0-F92D-415F-AD7E-3B5618DD5F53}"/>
    <cellStyle name="Normal 7 4 4 2 2 2 4" xfId="3856" xr:uid="{4098D04B-2EE5-444D-9E42-C6682F9794C6}"/>
    <cellStyle name="Normal 7 4 4 2 2 3" xfId="2747" xr:uid="{53F6FBCC-1D30-4E9D-993B-244A910FBCF4}"/>
    <cellStyle name="Normal 7 4 4 2 2 3 2" xfId="5117" xr:uid="{2F79328E-13D2-45AA-A565-7FA75099CD9D}"/>
    <cellStyle name="Normal 7 4 4 2 2 4" xfId="2745" xr:uid="{80CEDB97-ADCA-447D-8A43-75DCF27D02F5}"/>
    <cellStyle name="Normal 7 4 4 2 2 4 2" xfId="5115" xr:uid="{15BE6E84-AF09-49FA-85AC-F3FB9464E036}"/>
    <cellStyle name="Normal 7 4 4 2 2 5" xfId="1706" xr:uid="{71ED2A7F-F596-443B-BEBE-7D9E6CD0D89D}"/>
    <cellStyle name="Normal 7 4 4 2 2 5 2" xfId="4116" xr:uid="{17A1633E-9138-4668-A492-562CE3C9922C}"/>
    <cellStyle name="Normal 7 4 4 2 2 6" xfId="3589" xr:uid="{4A421311-17D8-4EB8-940D-DF35262C1DEB}"/>
    <cellStyle name="Normal 7 4 4 2 3" xfId="1384" xr:uid="{85FAD3FA-4C12-4B0F-B5A0-B49F65CF45C0}"/>
    <cellStyle name="Normal 7 4 4 2 3 2" xfId="2748" xr:uid="{B5D0AF45-75FA-47F8-AED4-34BBD85D05F4}"/>
    <cellStyle name="Normal 7 4 4 2 3 2 2" xfId="5118" xr:uid="{6393E437-9729-4C7A-8180-A1AAF79A5AA2}"/>
    <cellStyle name="Normal 7 4 4 2 3 3" xfId="1972" xr:uid="{DEB20E95-A765-4093-8B29-A16D97FD5950}"/>
    <cellStyle name="Normal 7 4 4 2 3 3 2" xfId="4382" xr:uid="{816AD1F0-3707-4561-99ED-1D77E4D59085}"/>
    <cellStyle name="Normal 7 4 4 2 3 4" xfId="3855" xr:uid="{9A32E37F-4BD0-46E0-97C8-439F5B7F5AE5}"/>
    <cellStyle name="Normal 7 4 4 2 4" xfId="2749" xr:uid="{8145E893-D500-4BB9-8734-7C1133F9D145}"/>
    <cellStyle name="Normal 7 4 4 2 4 2" xfId="5119" xr:uid="{53F9BA5E-AF00-4B02-8F6E-772749BEAD3E}"/>
    <cellStyle name="Normal 7 4 4 2 5" xfId="2744" xr:uid="{C531EB10-B2FA-406E-AE56-ED8F87A0994E}"/>
    <cellStyle name="Normal 7 4 4 2 5 2" xfId="5114" xr:uid="{349967D6-BAC6-447B-9D27-E61EF0FE919D}"/>
    <cellStyle name="Normal 7 4 4 2 6" xfId="1603" xr:uid="{37AEBA32-26CC-4C36-B153-AE9217FC2FFB}"/>
    <cellStyle name="Normal 7 4 4 2 6 2" xfId="4013" xr:uid="{1982CC00-9E9E-4596-9520-C583911074E9}"/>
    <cellStyle name="Normal 7 4 4 2 7" xfId="3723" xr:uid="{6E509334-E8A9-4F8C-9896-E9C0583C9E45}"/>
    <cellStyle name="Normal 7 4 4 3" xfId="940" xr:uid="{BA40EBD9-E75F-4621-B109-60EA00487073}"/>
    <cellStyle name="Normal 7 4 4 3 2" xfId="1386" xr:uid="{75C4288F-2A3E-4258-AEEB-72AC0DA5144A}"/>
    <cellStyle name="Normal 7 4 4 3 2 2" xfId="2751" xr:uid="{70CB45A5-7FEF-445D-816C-E59E4DAD1ED0}"/>
    <cellStyle name="Normal 7 4 4 3 2 2 2" xfId="5121" xr:uid="{F30858A1-F432-4F69-96CA-BC8B68E7E7BE}"/>
    <cellStyle name="Normal 7 4 4 3 2 3" xfId="1974" xr:uid="{D3AC68EB-3435-4F28-8285-2208E89F943F}"/>
    <cellStyle name="Normal 7 4 4 3 2 3 2" xfId="4384" xr:uid="{F9DAFDE0-6389-4AFF-BF57-BBA575D084E2}"/>
    <cellStyle name="Normal 7 4 4 3 2 4" xfId="3857" xr:uid="{2881E9E6-348D-474F-83CF-462C653DDD8C}"/>
    <cellStyle name="Normal 7 4 4 3 3" xfId="2752" xr:uid="{EE7535F2-4D8F-4E4B-A143-608D5939049F}"/>
    <cellStyle name="Normal 7 4 4 3 3 2" xfId="5122" xr:uid="{1AEAC370-6E0F-4C8E-AEDC-CEF37E2EF24C}"/>
    <cellStyle name="Normal 7 4 4 3 4" xfId="2750" xr:uid="{424CD90B-933A-4A03-AF13-B8725D7413D2}"/>
    <cellStyle name="Normal 7 4 4 3 4 2" xfId="5120" xr:uid="{B29AFE4A-8B5F-4823-8553-D659918D2676}"/>
    <cellStyle name="Normal 7 4 4 3 5" xfId="1646" xr:uid="{8D0E5D80-FAC0-4894-94ED-1421F124934E}"/>
    <cellStyle name="Normal 7 4 4 3 5 2" xfId="4056" xr:uid="{5750E96B-4AC1-4F44-A283-BB57697E5470}"/>
    <cellStyle name="Normal 7 4 4 3 6" xfId="3502" xr:uid="{35048B55-A38B-4DE7-A1C0-7C3DE784643C}"/>
    <cellStyle name="Normal 7 4 4 4" xfId="1383" xr:uid="{A82D5262-A8E7-4C6B-9B56-C4A059E421EE}"/>
    <cellStyle name="Normal 7 4 4 4 2" xfId="2753" xr:uid="{27B94D4B-3692-41D5-93BC-B9AC19418472}"/>
    <cellStyle name="Normal 7 4 4 4 2 2" xfId="5123" xr:uid="{5B5C8793-1DA8-453F-A55A-2A471774D6CC}"/>
    <cellStyle name="Normal 7 4 4 4 3" xfId="1971" xr:uid="{DBB461BB-D48B-4B00-B0DB-F5B0C97F9325}"/>
    <cellStyle name="Normal 7 4 4 4 3 2" xfId="4381" xr:uid="{B2AAFCD2-3DFA-45F5-8E39-C49252DA3CBD}"/>
    <cellStyle name="Normal 7 4 4 4 4" xfId="3854" xr:uid="{15D7AD9D-480F-4A28-8127-F1AC6317AD88}"/>
    <cellStyle name="Normal 7 4 4 5" xfId="2754" xr:uid="{597DC12E-866A-469D-AF83-7540C9A7028B}"/>
    <cellStyle name="Normal 7 4 4 5 2" xfId="5124" xr:uid="{0FC560E6-3F22-4B8D-9626-EC92C4CE413D}"/>
    <cellStyle name="Normal 7 4 4 6" xfId="2185" xr:uid="{0242BFC5-14FC-42CB-8986-18479144CB51}"/>
    <cellStyle name="Normal 7 4 4 6 2" xfId="4566" xr:uid="{9875C77B-8CB3-487C-9938-F0D194A5F243}"/>
    <cellStyle name="Normal 7 4 4 7" xfId="1543" xr:uid="{53C1324A-364E-43F0-95C0-C90A251EC974}"/>
    <cellStyle name="Normal 7 4 4 7 2" xfId="3953" xr:uid="{784A9E70-62E8-456C-8C95-89C64205C7E8}"/>
    <cellStyle name="Normal 7 4 4 8" xfId="3090" xr:uid="{670FE6DA-D476-4BAA-8608-DCBF4A61EEE3}"/>
    <cellStyle name="Normal 7 4 4 9" xfId="3394" xr:uid="{712C4314-E65B-4CFC-B432-309755185CBB}"/>
    <cellStyle name="Normal 7 4 5" xfId="790" xr:uid="{00000000-0005-0000-0000-000016030000}"/>
    <cellStyle name="Normal 7 4 5 2" xfId="1212" xr:uid="{EAA31370-347C-4649-B95A-0E61D11DDA6A}"/>
    <cellStyle name="Normal 7 4 5 2 2" xfId="1388" xr:uid="{CCAAEFEF-9B91-41A0-B45A-913474F8884C}"/>
    <cellStyle name="Normal 7 4 5 2 2 2" xfId="2756" xr:uid="{8E04C562-C49D-4500-AA57-DD8590CB9EB9}"/>
    <cellStyle name="Normal 7 4 5 2 2 2 2" xfId="5126" xr:uid="{2C60672E-13CD-4860-AC99-25292AB8409B}"/>
    <cellStyle name="Normal 7 4 5 2 2 3" xfId="1976" xr:uid="{D7C09F45-4610-40DA-9D26-391004AE4CB4}"/>
    <cellStyle name="Normal 7 4 5 2 2 3 2" xfId="4386" xr:uid="{7C6BB9A8-603A-4061-825D-BE6CFEF9E2D1}"/>
    <cellStyle name="Normal 7 4 5 2 2 4" xfId="3859" xr:uid="{A7A01677-01FC-427D-80A0-261827D8D257}"/>
    <cellStyle name="Normal 7 4 5 2 3" xfId="2757" xr:uid="{A1969DA8-6B4D-4883-AFCE-7A877A8B9253}"/>
    <cellStyle name="Normal 7 4 5 2 3 2" xfId="5127" xr:uid="{CF3C74AC-FCC8-4D50-9DE1-1FF8A1C0D509}"/>
    <cellStyle name="Normal 7 4 5 2 4" xfId="2755" xr:uid="{ABFFA63D-E8FF-4B9E-B249-ADAE12197548}"/>
    <cellStyle name="Normal 7 4 5 2 4 2" xfId="5125" xr:uid="{2399922C-EF4E-47CF-B2B0-90C47565AE2D}"/>
    <cellStyle name="Normal 7 4 5 2 5" xfId="1577" xr:uid="{404D25C0-5745-478E-B795-2A1E0BC7ABD0}"/>
    <cellStyle name="Normal 7 4 5 2 5 2" xfId="3987" xr:uid="{5D1118CD-1255-4DC4-9793-BFA4D5A10EA8}"/>
    <cellStyle name="Normal 7 4 5 2 6" xfId="3724" xr:uid="{5CB0DD70-8104-4B0A-828F-8A89CB6EFE77}"/>
    <cellStyle name="Normal 7 4 5 3" xfId="996" xr:uid="{080028CE-AD67-4211-8371-2ECA56F46867}"/>
    <cellStyle name="Normal 7 4 5 3 2" xfId="1389" xr:uid="{06638644-E1BD-4E13-87D0-A51E59D68C06}"/>
    <cellStyle name="Normal 7 4 5 3 2 2" xfId="2759" xr:uid="{1C5EDA4F-5743-4532-89CE-4BF5E14638B6}"/>
    <cellStyle name="Normal 7 4 5 3 2 2 2" xfId="5129" xr:uid="{F72E02AA-57A3-4B7E-81EB-87E413B7CC4D}"/>
    <cellStyle name="Normal 7 4 5 3 2 3" xfId="1977" xr:uid="{009FFD5D-BD11-4ADA-B1BA-E6C68E15F835}"/>
    <cellStyle name="Normal 7 4 5 3 2 3 2" xfId="4387" xr:uid="{AD9B362C-07A1-4A40-8164-6614CF5FD1FD}"/>
    <cellStyle name="Normal 7 4 5 3 2 4" xfId="3860" xr:uid="{F45C9D34-98C5-428F-AF04-BF517532AB76}"/>
    <cellStyle name="Normal 7 4 5 3 3" xfId="2760" xr:uid="{CEE27736-4FED-446D-A666-8FBD9046C416}"/>
    <cellStyle name="Normal 7 4 5 3 3 2" xfId="5130" xr:uid="{2E568CC5-54FF-44D0-8D16-5725EF908CB8}"/>
    <cellStyle name="Normal 7 4 5 3 4" xfId="2758" xr:uid="{618F6A12-AA31-4062-B4C9-8BAAAE5230BC}"/>
    <cellStyle name="Normal 7 4 5 3 4 2" xfId="5128" xr:uid="{C155EB67-AD2D-4551-AF03-BB5F6DCB0A1D}"/>
    <cellStyle name="Normal 7 4 5 3 5" xfId="1680" xr:uid="{88BBDE4B-ECF0-4EAD-8BAF-07F35F59D7AA}"/>
    <cellStyle name="Normal 7 4 5 3 5 2" xfId="4090" xr:uid="{6E17652E-CFDA-4AD4-85A2-EE67DBBADBB9}"/>
    <cellStyle name="Normal 7 4 5 3 6" xfId="3516" xr:uid="{E365827F-4FCA-4B97-BDBF-4ED5942BDE48}"/>
    <cellStyle name="Normal 7 4 5 4" xfId="1387" xr:uid="{EC43EDCD-7A8A-461C-9D86-977D4E664F17}"/>
    <cellStyle name="Normal 7 4 5 4 2" xfId="2761" xr:uid="{67CAC471-C101-4FB1-987C-6B39749C41F7}"/>
    <cellStyle name="Normal 7 4 5 4 2 2" xfId="5131" xr:uid="{AA6C24A7-82EC-4D9E-B409-043A516D8EA4}"/>
    <cellStyle name="Normal 7 4 5 4 3" xfId="1975" xr:uid="{82C9A0AF-FFCE-4C64-8E0F-A69CC0F049AE}"/>
    <cellStyle name="Normal 7 4 5 4 3 2" xfId="4385" xr:uid="{4C394331-4F17-45B0-B005-CDADBB96FCD4}"/>
    <cellStyle name="Normal 7 4 5 4 4" xfId="3858" xr:uid="{277D8D42-372E-4B2B-9700-EF5686C7B5A2}"/>
    <cellStyle name="Normal 7 4 5 5" xfId="2762" xr:uid="{B673C07F-2C70-4F83-9E58-158ECB29CB47}"/>
    <cellStyle name="Normal 7 4 5 5 2" xfId="5132" xr:uid="{CE3636FC-074E-4F52-BE5B-3ECF264CB1D8}"/>
    <cellStyle name="Normal 7 4 5 6" xfId="2186" xr:uid="{393D8BA9-BEA6-44ED-BF35-3FD94D827529}"/>
    <cellStyle name="Normal 7 4 5 6 2" xfId="4567" xr:uid="{B102FE42-E29B-4F7A-A899-6A94673F3677}"/>
    <cellStyle name="Normal 7 4 5 7" xfId="1517" xr:uid="{86BC7530-F55D-4487-BC98-F8DF1EF7417E}"/>
    <cellStyle name="Normal 7 4 5 7 2" xfId="3927" xr:uid="{52D6EE2C-392C-48AA-A4E5-C170D1486BE4}"/>
    <cellStyle name="Normal 7 4 5 8" xfId="3091" xr:uid="{14E3F5C7-07A6-4DF9-8AD4-866B9CF54EFB}"/>
    <cellStyle name="Normal 7 4 5 9" xfId="3395" xr:uid="{2F793CCE-AD53-43F1-81C3-2827D3813F9D}"/>
    <cellStyle name="Normal 7 4 6" xfId="791" xr:uid="{00000000-0005-0000-0000-000017030000}"/>
    <cellStyle name="Normal 7 4 6 2" xfId="1213" xr:uid="{6C008D6F-0D7D-4CBD-9D97-2BCD73333EAF}"/>
    <cellStyle name="Normal 7 4 6 2 2" xfId="1391" xr:uid="{CDEA61CD-6BD4-4F50-9B80-7FD4A6A002A1}"/>
    <cellStyle name="Normal 7 4 6 2 2 2" xfId="2764" xr:uid="{198186AD-AF56-4F3B-8E11-FA7CA1344F79}"/>
    <cellStyle name="Normal 7 4 6 2 2 2 2" xfId="5134" xr:uid="{4E9F13CF-6F8C-4C85-B80B-F7906F1FFC82}"/>
    <cellStyle name="Normal 7 4 6 2 2 3" xfId="1979" xr:uid="{7AD61B8B-D005-4539-A707-374817B01A00}"/>
    <cellStyle name="Normal 7 4 6 2 2 3 2" xfId="4389" xr:uid="{7B709405-14A9-4AB2-B690-DE0DB3DBE04C}"/>
    <cellStyle name="Normal 7 4 6 2 2 4" xfId="3862" xr:uid="{4B62D85C-0356-408B-BC48-04B08C7E8128}"/>
    <cellStyle name="Normal 7 4 6 2 3" xfId="2765" xr:uid="{2097FD2C-704F-44C1-8D12-D27ABE3623E6}"/>
    <cellStyle name="Normal 7 4 6 2 3 2" xfId="5135" xr:uid="{5DC2E29F-3032-4E95-B36D-BD83E409B414}"/>
    <cellStyle name="Normal 7 4 6 2 4" xfId="2763" xr:uid="{8BBFB8A0-13A2-4366-9D0B-3D3AA96374F0}"/>
    <cellStyle name="Normal 7 4 6 2 4 2" xfId="5133" xr:uid="{7D964E35-3FB7-4A48-92D6-4015C2E47ECC}"/>
    <cellStyle name="Normal 7 4 6 2 5" xfId="1663" xr:uid="{A77C8C4A-1370-4F2C-BC05-43CB894C676C}"/>
    <cellStyle name="Normal 7 4 6 2 5 2" xfId="4073" xr:uid="{9A33FC00-D753-4579-B389-763EEB7C2132}"/>
    <cellStyle name="Normal 7 4 6 2 6" xfId="3725" xr:uid="{BFB87055-DD21-4889-8A95-468610919058}"/>
    <cellStyle name="Normal 7 4 6 3" xfId="1390" xr:uid="{D7C063A8-54C5-4E49-9E8F-F6D367E9BD34}"/>
    <cellStyle name="Normal 7 4 6 3 2" xfId="2766" xr:uid="{757731F1-044C-41A9-A3BF-BBA0B6A4FC58}"/>
    <cellStyle name="Normal 7 4 6 3 2 2" xfId="5136" xr:uid="{C9F64B19-4545-4B78-A3FF-85BD62FF0F9C}"/>
    <cellStyle name="Normal 7 4 6 3 3" xfId="1978" xr:uid="{46069656-4AE2-45B8-AC91-2B2483E09671}"/>
    <cellStyle name="Normal 7 4 6 3 3 2" xfId="4388" xr:uid="{BAFD2127-8C03-46B0-9569-2DB8D15D117F}"/>
    <cellStyle name="Normal 7 4 6 3 4" xfId="3861" xr:uid="{9765B719-939E-4E7A-8BF2-AA54F9D8A77C}"/>
    <cellStyle name="Normal 7 4 6 4" xfId="2767" xr:uid="{55503DDA-511C-4FCA-AE64-BF9A0B3DDB38}"/>
    <cellStyle name="Normal 7 4 6 4 2" xfId="5137" xr:uid="{DB300B02-ECEE-4A38-BFD4-9BCA03829C0F}"/>
    <cellStyle name="Normal 7 4 6 5" xfId="2187" xr:uid="{DD276531-F9E4-41E9-9B34-C33A3E60B6DE}"/>
    <cellStyle name="Normal 7 4 6 5 2" xfId="4568" xr:uid="{1F384AB5-DC4C-44EC-AAEF-C7F7C9D89EF2}"/>
    <cellStyle name="Normal 7 4 6 6" xfId="1500" xr:uid="{34FB96CA-0C0E-44F8-8F55-2073F5E0D9DB}"/>
    <cellStyle name="Normal 7 4 6 6 2" xfId="3910" xr:uid="{DDD3CA68-0DF9-41E9-B3E5-1F72A6D09295}"/>
    <cellStyle name="Normal 7 4 6 7" xfId="3092" xr:uid="{13A1C88A-B0FF-4C18-B029-DA9A8E5C88C5}"/>
    <cellStyle name="Normal 7 4 6 8" xfId="3396" xr:uid="{8D448B36-9414-46E8-8B2E-26F58A3C21CB}"/>
    <cellStyle name="Normal 7 4 7" xfId="792" xr:uid="{00000000-0005-0000-0000-000018030000}"/>
    <cellStyle name="Normal 7 4 7 2" xfId="1214" xr:uid="{09FAA96B-20CD-49FE-A017-840F7E9F1C3C}"/>
    <cellStyle name="Normal 7 4 7 2 2" xfId="1393" xr:uid="{48426E14-F039-4EE6-9C85-BF6526B0E195}"/>
    <cellStyle name="Normal 7 4 7 2 2 2" xfId="2769" xr:uid="{58473A66-58CA-4577-B763-816F57CCAA55}"/>
    <cellStyle name="Normal 7 4 7 2 2 2 2" xfId="5139" xr:uid="{1494B9CD-66B8-4AC1-8208-76A04900891A}"/>
    <cellStyle name="Normal 7 4 7 2 2 3" xfId="1981" xr:uid="{7006F72C-5D16-4968-85F5-CA10E9E67ECA}"/>
    <cellStyle name="Normal 7 4 7 2 2 3 2" xfId="4391" xr:uid="{840626A9-BB72-421A-9FB1-F0501EFEF047}"/>
    <cellStyle name="Normal 7 4 7 2 2 4" xfId="3864" xr:uid="{BD6B0035-C650-4626-9BB3-93BEF617FF94}"/>
    <cellStyle name="Normal 7 4 7 2 3" xfId="2770" xr:uid="{083252A7-751F-4A9B-8C1E-0608723FD86A}"/>
    <cellStyle name="Normal 7 4 7 2 3 2" xfId="5140" xr:uid="{A993AF2C-32F8-470B-B4FA-B954B7A263E7}"/>
    <cellStyle name="Normal 7 4 7 2 4" xfId="2768" xr:uid="{9F1E4714-5957-41FE-813A-EAF15BA2A7F1}"/>
    <cellStyle name="Normal 7 4 7 2 4 2" xfId="5138" xr:uid="{6CAA51BB-C635-455C-9CCF-19E492E2C101}"/>
    <cellStyle name="Normal 7 4 7 2 5" xfId="1724" xr:uid="{7FD75544-FDE3-4A9D-B31E-0F9E6635EEDC}"/>
    <cellStyle name="Normal 7 4 7 2 5 2" xfId="4134" xr:uid="{CD164090-8C79-484C-9E10-CA9F82B50319}"/>
    <cellStyle name="Normal 7 4 7 2 6" xfId="3726" xr:uid="{DB5D85A4-C7A7-4652-9F47-1FB2A4B5D88C}"/>
    <cellStyle name="Normal 7 4 7 3" xfId="1392" xr:uid="{434A21B1-0B51-4796-9237-9E2E85354FFE}"/>
    <cellStyle name="Normal 7 4 7 3 2" xfId="2771" xr:uid="{EC243E48-6AF3-420C-BD79-DA4101F05198}"/>
    <cellStyle name="Normal 7 4 7 3 2 2" xfId="5141" xr:uid="{3C29C28C-F7A7-4B53-AD5B-E4A8DAB86805}"/>
    <cellStyle name="Normal 7 4 7 3 3" xfId="1980" xr:uid="{BEC6E380-CF23-410F-8CC6-63AEDBF7A290}"/>
    <cellStyle name="Normal 7 4 7 3 3 2" xfId="4390" xr:uid="{6D2063C5-AFFD-460B-A023-3975B5875A95}"/>
    <cellStyle name="Normal 7 4 7 3 4" xfId="3863" xr:uid="{65189E26-B6EB-4FBF-A929-636CB8E0743D}"/>
    <cellStyle name="Normal 7 4 7 4" xfId="2772" xr:uid="{0529F750-0590-45A3-B128-B4EF13C1CC8C}"/>
    <cellStyle name="Normal 7 4 7 4 2" xfId="5142" xr:uid="{A78ABD67-CFB2-47DA-A00E-A7CB286CC044}"/>
    <cellStyle name="Normal 7 4 7 5" xfId="2188" xr:uid="{8AACED4A-38A9-436B-BBBB-15A604DC55D7}"/>
    <cellStyle name="Normal 7 4 7 5 2" xfId="4569" xr:uid="{8A0453C2-D400-4337-9ECF-0C6232A7703D}"/>
    <cellStyle name="Normal 7 4 7 6" xfId="1560" xr:uid="{7730F9B5-49C8-4459-B910-DE8995B289B5}"/>
    <cellStyle name="Normal 7 4 7 6 2" xfId="3970" xr:uid="{20A8E30E-8B72-4392-A139-AD23F8868D7A}"/>
    <cellStyle name="Normal 7 4 7 7" xfId="3093" xr:uid="{2F9D564F-F570-42FB-A6BF-49D6B1CA07BF}"/>
    <cellStyle name="Normal 7 4 7 8" xfId="3397" xr:uid="{01C5A789-CEBE-433E-ADF7-D8C687FF25AD}"/>
    <cellStyle name="Normal 7 4 8" xfId="793" xr:uid="{00000000-0005-0000-0000-000019030000}"/>
    <cellStyle name="Normal 7 4 8 2" xfId="1215" xr:uid="{0A1BB979-A28F-4850-9F64-FA52B1EA7B92}"/>
    <cellStyle name="Normal 7 4 8 2 2" xfId="2773" xr:uid="{C1473CDB-6C85-4F64-BB97-7CCECCAAC573}"/>
    <cellStyle name="Normal 7 4 8 2 2 2" xfId="5143" xr:uid="{01A19D20-E03A-4C2C-9046-0CD9D5AB4F66}"/>
    <cellStyle name="Normal 7 4 8 2 3" xfId="1982" xr:uid="{6143B062-8E02-4109-A2FB-48352A982DBB}"/>
    <cellStyle name="Normal 7 4 8 2 3 2" xfId="4392" xr:uid="{66784653-01F0-4231-AA26-225554C39C28}"/>
    <cellStyle name="Normal 7 4 8 2 4" xfId="3727" xr:uid="{6405615C-68AA-4A60-86DB-E14328F0C7BD}"/>
    <cellStyle name="Normal 7 4 8 3" xfId="2774" xr:uid="{2BC81B82-4B78-4E61-9097-00D8E69B3CD2}"/>
    <cellStyle name="Normal 7 4 8 3 2" xfId="5144" xr:uid="{4CD43B18-E075-4C73-8C4D-3004E67AA05C}"/>
    <cellStyle name="Normal 7 4 8 4" xfId="2189" xr:uid="{73041290-F78E-461C-901C-5A3117B9A10D}"/>
    <cellStyle name="Normal 7 4 8 4 2" xfId="4570" xr:uid="{B5DB2A5C-88DA-4438-9119-9F91B3647AA3}"/>
    <cellStyle name="Normal 7 4 8 5" xfId="1620" xr:uid="{B39C7FCE-1524-4E97-A325-C502BDF5C4E6}"/>
    <cellStyle name="Normal 7 4 8 5 2" xfId="4030" xr:uid="{AF11B862-9E14-4DDA-A701-EECFA3974108}"/>
    <cellStyle name="Normal 7 4 8 6" xfId="3094" xr:uid="{8CE2C790-E9FA-4AB5-8ECB-B96074F040C6}"/>
    <cellStyle name="Normal 7 4 8 7" xfId="3398" xr:uid="{59D9D243-548B-4030-829E-222131B14665}"/>
    <cellStyle name="Normal 7 4 9" xfId="794" xr:uid="{00000000-0005-0000-0000-00001A030000}"/>
    <cellStyle name="Normal 7 4 9 2" xfId="1216" xr:uid="{A7BAD0D1-7E2E-4D92-8F7D-84F3CD6CF1CA}"/>
    <cellStyle name="Normal 7 4 9 2 2" xfId="2775" xr:uid="{AA9EED4D-24FC-45A2-BAAC-823748A6A719}"/>
    <cellStyle name="Normal 7 4 9 2 2 2" xfId="5145" xr:uid="{02FF3247-A1B3-4901-B604-A711DAE31AC4}"/>
    <cellStyle name="Normal 7 4 9 2 3" xfId="3728" xr:uid="{71D19B65-55C4-4B94-85FB-C845AFCEE865}"/>
    <cellStyle name="Normal 7 4 9 3" xfId="2190" xr:uid="{0184F3B1-6519-4659-B49B-F129608B8C5E}"/>
    <cellStyle name="Normal 7 4 9 3 2" xfId="4571" xr:uid="{15162019-B7E4-4B10-A052-7451E4D5235C}"/>
    <cellStyle name="Normal 7 4 9 4" xfId="1983" xr:uid="{BE72C264-8BAE-489C-B169-AB304AAC55D3}"/>
    <cellStyle name="Normal 7 4 9 4 2" xfId="4393" xr:uid="{78BE4933-DDEF-4126-A5BA-135445FE83F0}"/>
    <cellStyle name="Normal 7 4 9 5" xfId="3095" xr:uid="{A36C32A0-61C3-4FEC-A2B4-5B032F86564A}"/>
    <cellStyle name="Normal 7 4 9 6" xfId="3399" xr:uid="{284E27F0-4960-408B-BE83-24834BDAEB0F}"/>
    <cellStyle name="Normal 7 5" xfId="795" xr:uid="{00000000-0005-0000-0000-00001B030000}"/>
    <cellStyle name="Normal 7 6" xfId="796" xr:uid="{00000000-0005-0000-0000-00001C030000}"/>
    <cellStyle name="Normal 7 6 10" xfId="797" xr:uid="{00000000-0005-0000-0000-00001D030000}"/>
    <cellStyle name="Normal 7 6 10 2" xfId="798" xr:uid="{00000000-0005-0000-0000-00001E030000}"/>
    <cellStyle name="Normal 7 6 10 3" xfId="1394" xr:uid="{1A5F8380-59E5-45B7-BD97-6EBD9AB92862}"/>
    <cellStyle name="Normal 7 6 10 4" xfId="2192" xr:uid="{5CE36540-29A3-4061-B6F2-7F81424006CB}"/>
    <cellStyle name="Normal 7 6 10 5" xfId="904" xr:uid="{8A74B01D-20CA-4D9C-B57E-963FCAA9CC2B}"/>
    <cellStyle name="Normal 7 6 10 5 2" xfId="3475" xr:uid="{DF28C6A3-E02C-47B6-B370-4E90EEEF6B9B}"/>
    <cellStyle name="Normal 7 6 10 6" xfId="2917" xr:uid="{5A763472-11BA-4467-A389-B37593309D41}"/>
    <cellStyle name="Normal 7 6 11" xfId="799" xr:uid="{00000000-0005-0000-0000-00001F030000}"/>
    <cellStyle name="Normal 7 6 11 2" xfId="1217" xr:uid="{670CD057-450D-445B-BED2-590F3EEC1162}"/>
    <cellStyle name="Normal 7 6 11 2 2" xfId="2193" xr:uid="{C472D664-DF3A-482F-A378-162B75D1072F}"/>
    <cellStyle name="Normal 7 6 11 2 2 2" xfId="4572" xr:uid="{9EF319E9-3CEF-427B-BB16-79682CFA2360}"/>
    <cellStyle name="Normal 7 6 11 2 3" xfId="3729" xr:uid="{12382113-5884-488E-9616-ED0291893234}"/>
    <cellStyle name="Normal 7 6 11 3" xfId="1984" xr:uid="{DA05BE14-EAC1-42F3-B8BC-03B2BF33D574}"/>
    <cellStyle name="Normal 7 6 11 3 2" xfId="4394" xr:uid="{C5648EC3-DBAC-442D-A37F-EB507909E122}"/>
    <cellStyle name="Normal 7 6 11 4" xfId="3096" xr:uid="{E5B5EA56-33F3-481D-A5D4-2C0948689353}"/>
    <cellStyle name="Normal 7 6 11 5" xfId="3400" xr:uid="{305E105B-A293-4CD4-A010-A0707102B7EA}"/>
    <cellStyle name="Normal 7 6 12" xfId="800" xr:uid="{00000000-0005-0000-0000-000020030000}"/>
    <cellStyle name="Normal 7 6 12 2" xfId="801" xr:uid="{00000000-0005-0000-0000-000021030000}"/>
    <cellStyle name="Normal 7 6 12 3" xfId="903" xr:uid="{1987E58B-AA50-4146-AECD-C44BC3E4E13F}"/>
    <cellStyle name="Normal 7 6 12 3 2" xfId="3474" xr:uid="{A3B2E409-E48D-4E4A-8DF6-8E2D8BFF55C5}"/>
    <cellStyle name="Normal 7 6 12 4" xfId="2916" xr:uid="{8654E303-0A5A-4257-A35D-CD6385ED079E}"/>
    <cellStyle name="Normal 7 6 13" xfId="2776" xr:uid="{1926CC0E-4D4A-4FA5-8EE9-4549899708AF}"/>
    <cellStyle name="Normal 7 6 13 2" xfId="5146" xr:uid="{60D53C9F-7ED4-4225-A2CC-1F08C060DD15}"/>
    <cellStyle name="Normal 7 6 14" xfId="2191" xr:uid="{2AD2B5F5-B7BC-406C-99B3-08AD98DF5C04}"/>
    <cellStyle name="Normal 7 6 15" xfId="1491" xr:uid="{DE3E3762-B793-4C05-849E-BFB7E03BEBA5}"/>
    <cellStyle name="Normal 7 6 15 2" xfId="3901" xr:uid="{7997234B-07F6-4AA9-AB92-974000D0E9F2}"/>
    <cellStyle name="Normal 7 6 2" xfId="802" xr:uid="{00000000-0005-0000-0000-000022030000}"/>
    <cellStyle name="Normal 7 6 2 2" xfId="803" xr:uid="{00000000-0005-0000-0000-000023030000}"/>
    <cellStyle name="Normal 7 6 2 2 2" xfId="1075" xr:uid="{2110D311-877F-4697-9241-A4FD2A96CDBE}"/>
    <cellStyle name="Normal 7 6 2 2 2 2" xfId="1397" xr:uid="{4C449B48-6F03-4DC0-B0DD-7BE120BEEE2E}"/>
    <cellStyle name="Normal 7 6 2 2 2 2 2" xfId="2778" xr:uid="{CFC25C8B-6F9C-41C7-82B0-251F8E000875}"/>
    <cellStyle name="Normal 7 6 2 2 2 2 2 2" xfId="5148" xr:uid="{6D82762F-E4A0-4E39-8210-6435F515418D}"/>
    <cellStyle name="Normal 7 6 2 2 2 2 3" xfId="1985" xr:uid="{4D51D320-7A54-43DB-B0A7-92457A3009CF}"/>
    <cellStyle name="Normal 7 6 2 2 2 2 3 2" xfId="4395" xr:uid="{FA5F646E-4FFE-419E-8818-A559814232AA}"/>
    <cellStyle name="Normal 7 6 2 2 2 2 4" xfId="3865" xr:uid="{A20C0B4F-DE6E-44C6-A1D9-570A9F691CD7}"/>
    <cellStyle name="Normal 7 6 2 2 2 3" xfId="2779" xr:uid="{66F89DAF-8525-45E8-9013-0C161E180A36}"/>
    <cellStyle name="Normal 7 6 2 2 2 3 2" xfId="5149" xr:uid="{6AC5F3BE-6BD4-48EA-BE44-F1FF67A519E2}"/>
    <cellStyle name="Normal 7 6 2 2 2 4" xfId="2777" xr:uid="{35CBDC19-4448-43E9-95B6-945B3FFBBD24}"/>
    <cellStyle name="Normal 7 6 2 2 2 4 2" xfId="5147" xr:uid="{79D50EF6-176C-4C1B-B6CF-8E4693F85329}"/>
    <cellStyle name="Normal 7 6 2 2 2 5" xfId="1714" xr:uid="{578EE7D4-9475-4885-A92F-B130433204C4}"/>
    <cellStyle name="Normal 7 6 2 2 2 5 2" xfId="4124" xr:uid="{B6FFE69E-15B6-4572-9E86-E9715102D53E}"/>
    <cellStyle name="Normal 7 6 2 2 2 6" xfId="3594" xr:uid="{0808F355-6CE3-423A-A771-F233A3DA55C3}"/>
    <cellStyle name="Normal 7 6 2 2 3" xfId="1398" xr:uid="{1CFA7ACA-0530-4242-B676-07B26E9E9A46}"/>
    <cellStyle name="Normal 7 6 2 2 3 2" xfId="2780" xr:uid="{DBBBE5E2-7697-4A49-8508-EDED998B4D6E}"/>
    <cellStyle name="Normal 7 6 2 2 3 2 2" xfId="5150" xr:uid="{5CC732F4-CFBC-4C36-AF28-2451E329106D}"/>
    <cellStyle name="Normal 7 6 2 2 3 3" xfId="1986" xr:uid="{4FCD4712-A60E-4B13-9207-A9FF93CCBF7F}"/>
    <cellStyle name="Normal 7 6 2 2 3 3 2" xfId="4396" xr:uid="{FD702350-486C-413C-8E9C-7D386B39043F}"/>
    <cellStyle name="Normal 7 6 2 2 3 4" xfId="3866" xr:uid="{02D5D9FF-714B-47F4-9A3D-2EA306A477BF}"/>
    <cellStyle name="Normal 7 6 2 2 4" xfId="1396" xr:uid="{997DEC80-F803-4D31-8D22-1B5E25BF503D}"/>
    <cellStyle name="Normal 7 6 2 2 5" xfId="930" xr:uid="{A5BAC1FD-B581-4ABA-A61E-BF26D3B1B382}"/>
    <cellStyle name="Normal 7 6 2 2 5 2" xfId="2781" xr:uid="{468F103A-4AE2-4234-8778-338A3048DBC3}"/>
    <cellStyle name="Normal 7 6 2 2 5 2 2" xfId="5151" xr:uid="{0303D6CB-EF25-4EB7-8342-43C64B51D53E}"/>
    <cellStyle name="Normal 7 6 2 2 5 3" xfId="3492" xr:uid="{0D749DEA-E218-4D61-9A98-D997CCE57EE3}"/>
    <cellStyle name="Normal 7 6 2 2 6" xfId="1611" xr:uid="{79FCB036-4A64-4B57-8105-EA6C2D799E10}"/>
    <cellStyle name="Normal 7 6 2 2 6 2" xfId="4021" xr:uid="{D3310421-3B74-4733-8B0F-8272D31C0404}"/>
    <cellStyle name="Normal 7 6 2 3" xfId="804" xr:uid="{00000000-0005-0000-0000-000024030000}"/>
    <cellStyle name="Normal 7 6 2 3 2" xfId="1220" xr:uid="{3664338D-7238-411F-9002-09B6320B2236}"/>
    <cellStyle name="Normal 7 6 2 3 2 2" xfId="2782" xr:uid="{248A327B-5BBD-4AC0-9CBB-0F1C57C057E7}"/>
    <cellStyle name="Normal 7 6 2 3 2 2 2" xfId="5152" xr:uid="{66771F61-EE5A-4C18-ACC0-4D286500D6FA}"/>
    <cellStyle name="Normal 7 6 2 3 2 3" xfId="1987" xr:uid="{72A6CB5A-BA84-49AD-819F-6FE7B5BB23B4}"/>
    <cellStyle name="Normal 7 6 2 3 2 3 2" xfId="4397" xr:uid="{B5F3D34C-7C1A-4CA7-8504-4059E1CD1D92}"/>
    <cellStyle name="Normal 7 6 2 3 2 4" xfId="3732" xr:uid="{7CA581E4-18E1-412C-A47A-167CF7D2CFAC}"/>
    <cellStyle name="Normal 7 6 2 3 3" xfId="2783" xr:uid="{614794C0-BF5C-4CAB-B61E-8561E82C7DE3}"/>
    <cellStyle name="Normal 7 6 2 3 3 2" xfId="5153" xr:uid="{7D55FD30-E7DF-4097-9965-95F89E1F2A08}"/>
    <cellStyle name="Normal 7 6 2 3 4" xfId="2194" xr:uid="{65EC27BF-CCBB-419A-B3A6-6714DB941D00}"/>
    <cellStyle name="Normal 7 6 2 3 4 2" xfId="4573" xr:uid="{CA1F1D42-0E32-4C03-A390-B8788BCCE77A}"/>
    <cellStyle name="Normal 7 6 2 3 5" xfId="1654" xr:uid="{9287B9C5-20DE-464E-A4EB-820175439321}"/>
    <cellStyle name="Normal 7 6 2 3 5 2" xfId="4064" xr:uid="{A9B37913-3740-473C-B282-E0B6F4185C93}"/>
    <cellStyle name="Normal 7 6 2 3 6" xfId="3097" xr:uid="{40AC1628-43FD-408D-848F-D81AB57B9DE6}"/>
    <cellStyle name="Normal 7 6 2 3 7" xfId="3401" xr:uid="{9525C6C4-3AC3-4D85-9D3A-14469E8019F5}"/>
    <cellStyle name="Normal 7 6 2 4" xfId="1395" xr:uid="{5FFAF00B-9DE3-4E68-B5E5-2BEB962AE005}"/>
    <cellStyle name="Normal 7 6 2 5" xfId="2784" xr:uid="{6FF8C38E-B435-4C7B-9F3B-CEBB84CFB4E7}"/>
    <cellStyle name="Normal 7 6 2 5 2" xfId="5154" xr:uid="{2F7295AA-DD5A-4647-8C1D-8BE2D5C8650C}"/>
    <cellStyle name="Normal 7 6 2 6" xfId="1551" xr:uid="{4C6EB37A-6B40-4C15-8F20-66D2F14E44EA}"/>
    <cellStyle name="Normal 7 6 2 6 2" xfId="3961" xr:uid="{FF02C2C7-FB9C-4559-8029-CB3354E16163}"/>
    <cellStyle name="Normal 7 6 3" xfId="805" xr:uid="{00000000-0005-0000-0000-000025030000}"/>
    <cellStyle name="Normal 7 6 3 2" xfId="806" xr:uid="{00000000-0005-0000-0000-000026030000}"/>
    <cellStyle name="Normal 7 6 3 2 2" xfId="1399" xr:uid="{590B9E86-3E01-4894-8D6F-CEFEF3CF28AB}"/>
    <cellStyle name="Normal 7 6 3 2 2 2" xfId="2786" xr:uid="{5F343D0C-2684-4FB8-A8C8-0B26FB0E7069}"/>
    <cellStyle name="Normal 7 6 3 2 2 2 2" xfId="5156" xr:uid="{48229930-F34A-4E85-8798-57B6078B9CFC}"/>
    <cellStyle name="Normal 7 6 3 2 2 3" xfId="1989" xr:uid="{91C9B38C-4366-467A-8CCF-ABA979224045}"/>
    <cellStyle name="Normal 7 6 3 2 2 3 2" xfId="4399" xr:uid="{77F6C5AB-7455-4335-9D35-1903BBCC9DDC}"/>
    <cellStyle name="Normal 7 6 3 2 2 4" xfId="3867" xr:uid="{3A7240D9-4F54-4AAC-ABFC-CC2149F470D3}"/>
    <cellStyle name="Normal 7 6 3 2 3" xfId="2787" xr:uid="{C0369E79-46F8-41E7-9E14-0F482E675310}"/>
    <cellStyle name="Normal 7 6 3 2 3 2" xfId="5157" xr:uid="{4B665BE8-6CA9-4A1D-8FAA-F195CD82A312}"/>
    <cellStyle name="Normal 7 6 3 2 4" xfId="2785" xr:uid="{ECAC9525-15BB-4757-8544-332F059D7CD1}"/>
    <cellStyle name="Normal 7 6 3 2 4 2" xfId="5155" xr:uid="{8EC4746E-5E4C-40E6-BDD5-7F51DF97B814}"/>
    <cellStyle name="Normal 7 6 3 2 5" xfId="1588" xr:uid="{B874684C-AFC3-4966-B34A-4C3541B4224F}"/>
    <cellStyle name="Normal 7 6 3 2 5 2" xfId="3998" xr:uid="{34A45B4B-31BB-4161-A06A-CDE66A32111A}"/>
    <cellStyle name="Normal 7 6 3 2 6" xfId="3099" xr:uid="{0DC5D1A2-CC33-41B4-9469-55696E8C984E}"/>
    <cellStyle name="Normal 7 6 3 2 7" xfId="3403" xr:uid="{FF0B29F4-62E4-45AB-A259-22EAD5637C9C}"/>
    <cellStyle name="Normal 7 6 3 3" xfId="807" xr:uid="{00000000-0005-0000-0000-000027030000}"/>
    <cellStyle name="Normal 7 6 3 3 2" xfId="1400" xr:uid="{FC9B1A24-7544-49FB-83A1-D581087E22B7}"/>
    <cellStyle name="Normal 7 6 3 3 2 2" xfId="2790" xr:uid="{1B569DA9-9222-416B-9ACA-D9A6222B8410}"/>
    <cellStyle name="Normal 7 6 3 3 2 2 2" xfId="5159" xr:uid="{EF7594D6-29DC-4370-BA47-24D90D5CCEE4}"/>
    <cellStyle name="Normal 7 6 3 3 2 3" xfId="2789" xr:uid="{E3C52A11-B724-41FE-B4B2-577652ABC775}"/>
    <cellStyle name="Normal 7 6 3 3 2 4" xfId="1990" xr:uid="{12042848-54ED-4B1B-8E9D-68E60200527A}"/>
    <cellStyle name="Normal 7 6 3 3 2 4 2" xfId="4400" xr:uid="{A2CB8199-F762-4EB5-87A1-2936B2C4114F}"/>
    <cellStyle name="Normal 7 6 3 3 2 5" xfId="3868" xr:uid="{8416A5A5-E502-4668-B707-F90731B9B665}"/>
    <cellStyle name="Normal 7 6 3 3 3" xfId="1007" xr:uid="{6F73ED33-CDDC-4E39-98BB-3B080F8A73C9}"/>
    <cellStyle name="Normal 7 6 3 3 3 2" xfId="2791" xr:uid="{132A7F78-BC1A-4DDC-9C45-E8B775D9C19C}"/>
    <cellStyle name="Normal 7 6 3 3 3 2 2" xfId="5160" xr:uid="{CB0F1B73-7002-449A-88AC-0B98B9FC5ADD}"/>
    <cellStyle name="Normal 7 6 3 3 3 3" xfId="3527" xr:uid="{52C40E66-544C-4C0E-8344-BE7A791CFC71}"/>
    <cellStyle name="Normal 7 6 3 3 4" xfId="2788" xr:uid="{939895CD-F053-4609-ABA2-C4FECBD9DFCF}"/>
    <cellStyle name="Normal 7 6 3 3 4 2" xfId="5158" xr:uid="{0F5A060D-C98A-4087-B82C-027FB6C47B38}"/>
    <cellStyle name="Normal 7 6 3 3 5" xfId="1691" xr:uid="{876A03F6-D345-4C41-99CA-750328959FBD}"/>
    <cellStyle name="Normal 7 6 3 3 5 2" xfId="4101" xr:uid="{062B1E2B-DCD4-4374-9C6F-DECA5E6AA79F}"/>
    <cellStyle name="Normal 7 6 3 3 6" xfId="925" xr:uid="{2118E5F8-DC91-4125-AD7A-761B49A93A33}"/>
    <cellStyle name="Normal 7 6 3 3 6 2" xfId="3490" xr:uid="{367DBFDD-BA12-4FA1-B9FA-335946C1CBB1}"/>
    <cellStyle name="Normal 7 6 3 3 7" xfId="2934" xr:uid="{9048E699-CE67-4D11-9A26-D03A3DB40B56}"/>
    <cellStyle name="Normal 7 6 3 4" xfId="1221" xr:uid="{2F566C01-FE85-4F0E-938C-06BBA8DB8662}"/>
    <cellStyle name="Normal 7 6 3 4 2" xfId="2792" xr:uid="{D0E3CB23-165B-4148-B1DA-AFA2CCD92ACD}"/>
    <cellStyle name="Normal 7 6 3 4 2 2" xfId="5161" xr:uid="{630D394B-1329-463E-A0B1-CD64456403D3}"/>
    <cellStyle name="Normal 7 6 3 4 3" xfId="1988" xr:uid="{8D2E6CC2-1CC0-4992-8446-F135E1C9EEC8}"/>
    <cellStyle name="Normal 7 6 3 4 3 2" xfId="4398" xr:uid="{DA165886-9150-409F-BD9A-4FBEB81113AE}"/>
    <cellStyle name="Normal 7 6 3 4 4" xfId="3733" xr:uid="{6920E782-AE85-4050-BA6A-584961E60216}"/>
    <cellStyle name="Normal 7 6 3 5" xfId="2793" xr:uid="{F88F0AA8-AE76-4476-AB17-B77A866E7750}"/>
    <cellStyle name="Normal 7 6 3 5 2" xfId="5162" xr:uid="{9370CF57-B32C-4CE5-B06B-9E545571346E}"/>
    <cellStyle name="Normal 7 6 3 6" xfId="2195" xr:uid="{ACD8F983-F94F-4CE8-A577-6D2EDCC60022}"/>
    <cellStyle name="Normal 7 6 3 6 2" xfId="4574" xr:uid="{9C06A9AF-378D-4186-AA27-7267B9A51A6B}"/>
    <cellStyle name="Normal 7 6 3 7" xfId="1528" xr:uid="{C1C8D532-2C5B-47FD-8FE2-3862B14924CA}"/>
    <cellStyle name="Normal 7 6 3 7 2" xfId="3938" xr:uid="{E2569BCF-494B-4640-B51F-8EE947625860}"/>
    <cellStyle name="Normal 7 6 3 8" xfId="3098" xr:uid="{39BC2C11-8C0F-487D-A217-29DFBE8FCB91}"/>
    <cellStyle name="Normal 7 6 3 9" xfId="3402" xr:uid="{4DE03D77-15E0-403F-A9C1-2745CD687B19}"/>
    <cellStyle name="Normal 7 6 4" xfId="808" xr:uid="{00000000-0005-0000-0000-000028030000}"/>
    <cellStyle name="Normal 7 6 4 2" xfId="1222" xr:uid="{590628A6-C8FA-443B-9229-1DCD680D6A30}"/>
    <cellStyle name="Normal 7 6 4 2 2" xfId="1402" xr:uid="{3E8CA145-B6E6-4E77-A4C0-BC9EFEF9AA0B}"/>
    <cellStyle name="Normal 7 6 4 2 2 2" xfId="2795" xr:uid="{D04CCB24-F72C-457D-B622-9A8FFEE9A3F3}"/>
    <cellStyle name="Normal 7 6 4 2 2 2 2" xfId="5164" xr:uid="{D94F38FF-734B-41D3-ADC9-43E7EA07876D}"/>
    <cellStyle name="Normal 7 6 4 2 2 3" xfId="1992" xr:uid="{EDA3B6D0-2C78-4D37-97AE-BF75F659CC9C}"/>
    <cellStyle name="Normal 7 6 4 2 2 3 2" xfId="4402" xr:uid="{9F94F316-421E-47E9-BA33-CE92B63F1117}"/>
    <cellStyle name="Normal 7 6 4 2 2 4" xfId="3870" xr:uid="{B610D832-6996-4C61-8567-F911DB61F065}"/>
    <cellStyle name="Normal 7 6 4 2 3" xfId="2796" xr:uid="{5331D87F-0E0E-4B29-8B07-66039D04DF56}"/>
    <cellStyle name="Normal 7 6 4 2 3 2" xfId="5165" xr:uid="{817C5C6B-656A-46E3-B674-BF2C4B0F48D7}"/>
    <cellStyle name="Normal 7 6 4 2 4" xfId="2794" xr:uid="{B40E55CF-9DA7-44E0-AC56-AC7DA505885F}"/>
    <cellStyle name="Normal 7 6 4 2 4 2" xfId="5163" xr:uid="{24EF215D-440E-4B43-8533-9911046B5295}"/>
    <cellStyle name="Normal 7 6 4 2 5" xfId="1671" xr:uid="{9D228385-3E5A-4CF3-96AE-420BB5498C52}"/>
    <cellStyle name="Normal 7 6 4 2 5 2" xfId="4081" xr:uid="{1914F433-501D-4817-A0FF-A300B2EDAB28}"/>
    <cellStyle name="Normal 7 6 4 2 6" xfId="3734" xr:uid="{2DB414B0-7559-4297-AD12-A8600B86D448}"/>
    <cellStyle name="Normal 7 6 4 3" xfId="1401" xr:uid="{E664D949-DE9D-4B25-8D49-69ED16DECE6B}"/>
    <cellStyle name="Normal 7 6 4 3 2" xfId="2797" xr:uid="{37110029-4802-415E-89DA-EA24A7DBFDDA}"/>
    <cellStyle name="Normal 7 6 4 3 2 2" xfId="5166" xr:uid="{0208D6AF-A63C-4D2F-949E-C020992777AD}"/>
    <cellStyle name="Normal 7 6 4 3 3" xfId="1991" xr:uid="{12B49FE4-6FA7-4173-AF4C-AEFA3A6ABDCF}"/>
    <cellStyle name="Normal 7 6 4 3 3 2" xfId="4401" xr:uid="{8B115293-5B5B-4EC7-A502-BEF254AC0A7C}"/>
    <cellStyle name="Normal 7 6 4 3 4" xfId="3869" xr:uid="{70AA1816-9725-4DA9-B3C9-2892E79EE44C}"/>
    <cellStyle name="Normal 7 6 4 4" xfId="2798" xr:uid="{43EC97D5-6F57-4F8C-800A-BCA09CD6F0AA}"/>
    <cellStyle name="Normal 7 6 4 4 2" xfId="5167" xr:uid="{09470937-460B-4D4D-B6EA-9AFB3197344B}"/>
    <cellStyle name="Normal 7 6 4 5" xfId="2196" xr:uid="{F999A01E-0A1C-47CA-BAAD-6FEB541B608D}"/>
    <cellStyle name="Normal 7 6 4 5 2" xfId="4575" xr:uid="{FF4365A5-CAB5-42CA-9E78-3419487A2CB0}"/>
    <cellStyle name="Normal 7 6 4 6" xfId="1508" xr:uid="{C2167979-A4B5-4547-97E0-C692C145F838}"/>
    <cellStyle name="Normal 7 6 4 6 2" xfId="3918" xr:uid="{526BBCFA-8AD3-4482-9AC5-415D9648AF55}"/>
    <cellStyle name="Normal 7 6 4 7" xfId="3100" xr:uid="{868C0939-C2AD-44D1-A3B5-77A7A1E29578}"/>
    <cellStyle name="Normal 7 6 4 8" xfId="3404" xr:uid="{205AE1C7-FCE7-4036-BAB6-8ED9F34C4CAD}"/>
    <cellStyle name="Normal 7 6 5" xfId="809" xr:uid="{00000000-0005-0000-0000-000029030000}"/>
    <cellStyle name="Normal 7 6 5 2" xfId="1223" xr:uid="{7D16C7DE-D5EA-4761-8CF5-57CB76416249}"/>
    <cellStyle name="Normal 7 6 5 2 2" xfId="2799" xr:uid="{A2B0AFD6-8CF3-4D18-AB10-970986013183}"/>
    <cellStyle name="Normal 7 6 5 2 2 2" xfId="5168" xr:uid="{ED195DB3-852E-4CC9-9DB3-B0CCDFBC9B52}"/>
    <cellStyle name="Normal 7 6 5 2 3" xfId="1993" xr:uid="{2D763172-9AD8-46D9-B99E-542C5C236514}"/>
    <cellStyle name="Normal 7 6 5 2 3 2" xfId="4403" xr:uid="{E5ECCDB8-7537-4DA9-B837-F6D7C975931F}"/>
    <cellStyle name="Normal 7 6 5 2 4" xfId="3735" xr:uid="{D5796835-9E2A-48CD-AF0E-2FB53A97BBEF}"/>
    <cellStyle name="Normal 7 6 5 3" xfId="2800" xr:uid="{518FCA37-7D47-43BF-8AC8-22E95A022C40}"/>
    <cellStyle name="Normal 7 6 5 3 2" xfId="5169" xr:uid="{D0915D1A-CFA9-4932-9366-22200DE54EFA}"/>
    <cellStyle name="Normal 7 6 5 4" xfId="2197" xr:uid="{53A14F34-AB42-45DF-9939-92F6FC6D7C7F}"/>
    <cellStyle name="Normal 7 6 5 4 2" xfId="4576" xr:uid="{EBC6C7F1-6D86-4163-AE37-61E15E230293}"/>
    <cellStyle name="Normal 7 6 5 5" xfId="1568" xr:uid="{373640B6-242B-4168-86D0-A5C625BDA3DE}"/>
    <cellStyle name="Normal 7 6 5 5 2" xfId="3978" xr:uid="{042AC3CF-73E7-49C1-9B5E-2F9DACB838B2}"/>
    <cellStyle name="Normal 7 6 5 6" xfId="3101" xr:uid="{84B04BC4-F08F-466C-8A9A-718522ACAAEE}"/>
    <cellStyle name="Normal 7 6 5 7" xfId="3405" xr:uid="{588A9E8F-38FF-41AD-855A-DE580477AAFA}"/>
    <cellStyle name="Normal 7 6 6" xfId="810" xr:uid="{00000000-0005-0000-0000-00002A030000}"/>
    <cellStyle name="Normal 7 6 6 2" xfId="1224" xr:uid="{44E6BEB4-2D04-4E5C-B558-42F515100DFF}"/>
    <cellStyle name="Normal 7 6 6 2 2" xfId="2801" xr:uid="{6ABC41B2-62D4-4B56-9DEE-85E69D2721F1}"/>
    <cellStyle name="Normal 7 6 6 2 2 2" xfId="5170" xr:uid="{EB3D20E8-A61F-4F1B-8E8A-3BD3ED26EE6D}"/>
    <cellStyle name="Normal 7 6 6 2 3" xfId="1994" xr:uid="{DD50E1CE-2F6F-4B46-BC81-E57538F76CC2}"/>
    <cellStyle name="Normal 7 6 6 2 3 2" xfId="4404" xr:uid="{3E601524-CB14-4348-BA59-72305002627A}"/>
    <cellStyle name="Normal 7 6 6 2 4" xfId="3736" xr:uid="{6F65F092-8048-40BE-BBCA-CBA542C6AB8F}"/>
    <cellStyle name="Normal 7 6 6 3" xfId="2802" xr:uid="{736C51E3-8013-41A3-8F19-EBEF661CA0A8}"/>
    <cellStyle name="Normal 7 6 6 3 2" xfId="5171" xr:uid="{16B65E9B-F1E8-4481-BB5C-AF86122334D2}"/>
    <cellStyle name="Normal 7 6 6 4" xfId="2198" xr:uid="{B24D3716-18F6-43DD-95EF-CA93A6E04F65}"/>
    <cellStyle name="Normal 7 6 6 4 2" xfId="4577" xr:uid="{E7EC9D8C-426B-47A9-9E1C-A9CB9EFB2DB0}"/>
    <cellStyle name="Normal 7 6 6 5" xfId="1631" xr:uid="{36297EBC-36E1-477B-A77A-27F04BE52334}"/>
    <cellStyle name="Normal 7 6 6 5 2" xfId="4041" xr:uid="{FB1D8965-80E3-4ED7-8E99-1248FEDF328D}"/>
    <cellStyle name="Normal 7 6 6 6" xfId="3102" xr:uid="{2E5FF489-A3D9-4D6F-857D-FA32314DBC6D}"/>
    <cellStyle name="Normal 7 6 6 7" xfId="3406" xr:uid="{FF1DF54C-ECFB-47CC-82E9-862A6F39683A}"/>
    <cellStyle name="Normal 7 6 7" xfId="811" xr:uid="{00000000-0005-0000-0000-00002B030000}"/>
    <cellStyle name="Normal 7 6 7 2" xfId="1225" xr:uid="{6742757F-E8E8-46B7-BB9E-C174AC2C5D34}"/>
    <cellStyle name="Normal 7 6 7 2 2" xfId="2199" xr:uid="{FFDB8283-3076-4ED4-8FD0-F61E6B97C8E0}"/>
    <cellStyle name="Normal 7 6 7 2 2 2" xfId="4578" xr:uid="{54320FC3-AADC-49BD-B486-2641F27B0A07}"/>
    <cellStyle name="Normal 7 6 7 2 3" xfId="3737" xr:uid="{CF209406-0443-40FC-8A5B-C0E5D95C8494}"/>
    <cellStyle name="Normal 7 6 7 3" xfId="1995" xr:uid="{D6914A01-57C1-4A6B-AAE8-B3144F2E2A9F}"/>
    <cellStyle name="Normal 7 6 7 3 2" xfId="4405" xr:uid="{E6F81201-9961-478A-8C81-249D18B69E20}"/>
    <cellStyle name="Normal 7 6 7 4" xfId="3103" xr:uid="{278B1A91-0BF1-4A34-8451-589BC995DD51}"/>
    <cellStyle name="Normal 7 6 7 5" xfId="3407" xr:uid="{D0358238-02B3-49D2-82D5-07E4E4987797}"/>
    <cellStyle name="Normal 7 6 8" xfId="812" xr:uid="{00000000-0005-0000-0000-00002C030000}"/>
    <cellStyle name="Normal 7 6 8 2" xfId="1226" xr:uid="{76667347-92F5-4C16-AC01-6DD27951594A}"/>
    <cellStyle name="Normal 7 6 8 2 2" xfId="2200" xr:uid="{C8DD769C-9755-4126-9F66-D902A1771E8E}"/>
    <cellStyle name="Normal 7 6 8 2 2 2" xfId="4579" xr:uid="{BD6E2E26-C967-4D7C-9C05-0E531C5AE764}"/>
    <cellStyle name="Normal 7 6 8 2 3" xfId="3738" xr:uid="{CDFD6E13-F79B-4788-80F5-0EA8BFC07518}"/>
    <cellStyle name="Normal 7 6 8 3" xfId="1996" xr:uid="{B1AECAFD-E6EE-43D6-91CC-EA1F2FD17066}"/>
    <cellStyle name="Normal 7 6 8 3 2" xfId="4406" xr:uid="{101AD6AC-71AF-42E8-9AB1-486F050ED72A}"/>
    <cellStyle name="Normal 7 6 8 4" xfId="3104" xr:uid="{44B43059-B04A-46B4-980A-CAA7DEADD462}"/>
    <cellStyle name="Normal 7 6 8 5" xfId="3408" xr:uid="{A5AF4F70-42B4-4E59-965A-EA65E51E8D12}"/>
    <cellStyle name="Normal 7 6 9" xfId="813" xr:uid="{00000000-0005-0000-0000-00002D030000}"/>
    <cellStyle name="Normal 7 7" xfId="814" xr:uid="{00000000-0005-0000-0000-00002E030000}"/>
    <cellStyle name="Normal 7 7 2" xfId="1228" xr:uid="{4816399F-BDD2-4C35-B36F-82760BA43570}"/>
    <cellStyle name="Normal 7 7 2 2" xfId="1068" xr:uid="{74D905E5-C03B-4E03-8EB4-A3290B36DB79}"/>
    <cellStyle name="Normal 7 7 2 2 2" xfId="1405" xr:uid="{77EF7846-0239-4AB5-BFDE-67C4BEEEB887}"/>
    <cellStyle name="Normal 7 7 2 2 2 2" xfId="2805" xr:uid="{E74D4323-3ECF-4067-9AE0-ED0358DFE513}"/>
    <cellStyle name="Normal 7 7 2 2 2 2 2" xfId="5174" xr:uid="{51A48856-03DE-4C19-85A3-2169C92B9C89}"/>
    <cellStyle name="Normal 7 7 2 2 2 3" xfId="1999" xr:uid="{C980831A-A42A-4F03-B0D9-60939E0AC82D}"/>
    <cellStyle name="Normal 7 7 2 2 2 3 2" xfId="4409" xr:uid="{4C0DCCB7-3980-4D99-B2EB-58E4DC5929E3}"/>
    <cellStyle name="Normal 7 7 2 2 2 4" xfId="3873" xr:uid="{5627493B-2412-4243-92BD-CED80FA40C28}"/>
    <cellStyle name="Normal 7 7 2 2 3" xfId="2806" xr:uid="{C393B916-6F26-4D30-A706-5CFE008D0AF3}"/>
    <cellStyle name="Normal 7 7 2 2 3 2" xfId="5175" xr:uid="{46DFF55B-9809-4B70-B2F3-D3BD4785635D}"/>
    <cellStyle name="Normal 7 7 2 2 4" xfId="2804" xr:uid="{84FDF560-F832-42D2-8EC4-87B49ADEA822}"/>
    <cellStyle name="Normal 7 7 2 2 4 2" xfId="5173" xr:uid="{CC2B3728-6812-49E8-90FC-B139A0460B94}"/>
    <cellStyle name="Normal 7 7 2 2 5" xfId="1705" xr:uid="{FA5B237B-EF0E-4255-A99F-E77D92DF8F3D}"/>
    <cellStyle name="Normal 7 7 2 2 5 2" xfId="4115" xr:uid="{BB1C2CF5-D4FC-4E99-A679-6FD97AFC9244}"/>
    <cellStyle name="Normal 7 7 2 2 6" xfId="3588" xr:uid="{F3A8C2AF-DC5A-4CEA-8176-A3D99EEBFAAE}"/>
    <cellStyle name="Normal 7 7 2 3" xfId="1404" xr:uid="{3268D5FF-7C38-4D17-9EA8-5251AF57CC2B}"/>
    <cellStyle name="Normal 7 7 2 3 2" xfId="2807" xr:uid="{A3CFAA7B-6608-44DA-B3E5-C95854EE3A4E}"/>
    <cellStyle name="Normal 7 7 2 3 2 2" xfId="5176" xr:uid="{98364786-2FBC-4D9B-B4F5-C6916BD1336D}"/>
    <cellStyle name="Normal 7 7 2 3 3" xfId="1998" xr:uid="{5D15D8BF-4840-40F6-9FD2-A5A8798B05A3}"/>
    <cellStyle name="Normal 7 7 2 3 3 2" xfId="4408" xr:uid="{DAA8254C-4F62-4662-80FB-FFBAC0994DC6}"/>
    <cellStyle name="Normal 7 7 2 3 4" xfId="3872" xr:uid="{7A6A6CB1-AC5D-499E-A91F-1196A217B80E}"/>
    <cellStyle name="Normal 7 7 2 4" xfId="2808" xr:uid="{D9271B20-D7D3-41B4-B43D-48939BC1CB6F}"/>
    <cellStyle name="Normal 7 7 2 4 2" xfId="5177" xr:uid="{58EC32BB-20AD-4E21-BF5E-F3345EA47583}"/>
    <cellStyle name="Normal 7 7 2 5" xfId="2803" xr:uid="{2B1F9097-A61C-4F2D-B45C-35067173410F}"/>
    <cellStyle name="Normal 7 7 2 5 2" xfId="5172" xr:uid="{9917FC07-767E-4588-8573-A97B95913935}"/>
    <cellStyle name="Normal 7 7 2 6" xfId="1602" xr:uid="{B4BD4140-7D9E-40F3-98E5-6007436F0498}"/>
    <cellStyle name="Normal 7 7 2 6 2" xfId="4012" xr:uid="{1C9AB8C4-56D7-4D33-B9DC-7077F1236283}"/>
    <cellStyle name="Normal 7 7 2 7" xfId="3740" xr:uid="{DC723D82-7262-4056-85F6-9D9AB6A4F3C4}"/>
    <cellStyle name="Normal 7 7 3" xfId="939" xr:uid="{A0F1A456-6DCC-4D73-9A6C-59CF16B17B2F}"/>
    <cellStyle name="Normal 7 7 3 2" xfId="1406" xr:uid="{E661CDE5-00CD-4705-A753-942F60513276}"/>
    <cellStyle name="Normal 7 7 3 2 2" xfId="2810" xr:uid="{B8826A4A-D389-47FB-A9A8-B4AD166640CC}"/>
    <cellStyle name="Normal 7 7 3 2 2 2" xfId="5179" xr:uid="{15665606-D021-4922-B72A-A0C0CB4ACB59}"/>
    <cellStyle name="Normal 7 7 3 2 3" xfId="2000" xr:uid="{12391E0D-1673-452E-9344-8DBCA9D2C2B2}"/>
    <cellStyle name="Normal 7 7 3 2 3 2" xfId="4410" xr:uid="{02691B18-A160-40D4-B9E6-36DB5FD7B7A5}"/>
    <cellStyle name="Normal 7 7 3 2 4" xfId="3874" xr:uid="{4DCC9639-B39B-4BF9-8D92-918659C5005E}"/>
    <cellStyle name="Normal 7 7 3 3" xfId="2811" xr:uid="{773454F0-AED8-46E9-95BD-D0118EBA56B1}"/>
    <cellStyle name="Normal 7 7 3 3 2" xfId="5180" xr:uid="{64E53688-0059-48AA-9DFC-44B40E6D4EEB}"/>
    <cellStyle name="Normal 7 7 3 4" xfId="2809" xr:uid="{E5AD7E2C-561F-4C7C-AB32-D2A6AA988A20}"/>
    <cellStyle name="Normal 7 7 3 4 2" xfId="5178" xr:uid="{F1366CCE-7067-496E-8102-E4FEFCCE436D}"/>
    <cellStyle name="Normal 7 7 3 5" xfId="1645" xr:uid="{F7B11CCA-F2FA-42CA-BFE0-44ABB906AA67}"/>
    <cellStyle name="Normal 7 7 3 5 2" xfId="4055" xr:uid="{987FA2ED-11FF-42CD-B204-22DB2560A9AD}"/>
    <cellStyle name="Normal 7 7 3 6" xfId="3501" xr:uid="{326C7617-0332-42C0-A4CD-38C69D2B6937}"/>
    <cellStyle name="Normal 7 7 4" xfId="1403" xr:uid="{C4BB753E-68FD-44D2-BD45-D59F42138808}"/>
    <cellStyle name="Normal 7 7 4 2" xfId="2812" xr:uid="{16199AFF-764A-4747-9842-3F6645B144BD}"/>
    <cellStyle name="Normal 7 7 4 2 2" xfId="5181" xr:uid="{477D531A-D3EC-44BE-B118-8B07E87D6F01}"/>
    <cellStyle name="Normal 7 7 4 3" xfId="1997" xr:uid="{B9790985-0DC4-4D1A-89C7-6FD26FD130AD}"/>
    <cellStyle name="Normal 7 7 4 3 2" xfId="4407" xr:uid="{84FC9D8F-C3D9-49D7-9D5D-12A681ADE4CE}"/>
    <cellStyle name="Normal 7 7 4 4" xfId="3871" xr:uid="{1064D86B-EEAF-41E6-A5F3-E06336DD39E6}"/>
    <cellStyle name="Normal 7 7 5" xfId="2813" xr:uid="{52ACB7D8-FEF5-4ADE-970A-1177D75F7504}"/>
    <cellStyle name="Normal 7 7 5 2" xfId="5182" xr:uid="{50E5E123-155C-48FD-A3FB-5BA3F921AE42}"/>
    <cellStyle name="Normal 7 7 6" xfId="2201" xr:uid="{7BD293A9-2C7D-4737-8BA4-851D2C32F2E7}"/>
    <cellStyle name="Normal 7 7 6 2" xfId="4580" xr:uid="{0A90CA90-43A0-4B45-921F-178BEC0A6473}"/>
    <cellStyle name="Normal 7 7 7" xfId="1542" xr:uid="{36A81E30-955F-4F19-BD40-3BC92377D289}"/>
    <cellStyle name="Normal 7 7 7 2" xfId="3952" xr:uid="{12178FFB-9CA3-446F-B0D9-A5512509E051}"/>
    <cellStyle name="Normal 7 7 8" xfId="3105" xr:uid="{CF719459-C31B-4493-8DF1-7E56D5E237DE}"/>
    <cellStyle name="Normal 7 7 9" xfId="3409" xr:uid="{08FAEB47-DB13-4CBD-99F0-5E6571C3E0EF}"/>
    <cellStyle name="Normal 7 8" xfId="815" xr:uid="{00000000-0005-0000-0000-00002F030000}"/>
    <cellStyle name="Normal 7 8 2" xfId="1229" xr:uid="{C2E51CF3-083B-4EEB-B043-9E90D850720E}"/>
    <cellStyle name="Normal 7 8 2 2" xfId="1408" xr:uid="{AFFFF5DC-651E-463E-A12B-05896DD20B07}"/>
    <cellStyle name="Normal 7 8 2 2 2" xfId="2815" xr:uid="{A2A4DC5C-4893-499E-89D6-B955D965CFB1}"/>
    <cellStyle name="Normal 7 8 2 2 2 2" xfId="5184" xr:uid="{44EDA695-81B3-4380-942B-4B0E7C54645F}"/>
    <cellStyle name="Normal 7 8 2 2 3" xfId="2002" xr:uid="{0D2DBB25-D7F9-4FF2-9A10-2F5FF6C62393}"/>
    <cellStyle name="Normal 7 8 2 2 3 2" xfId="4412" xr:uid="{E81B6211-FF07-4F63-8D96-AA77F0960B14}"/>
    <cellStyle name="Normal 7 8 2 2 4" xfId="3876" xr:uid="{E324031E-16CA-457E-923B-320D445A117D}"/>
    <cellStyle name="Normal 7 8 2 3" xfId="2816" xr:uid="{3E7B7000-A29D-4179-BC45-A82B420285F5}"/>
    <cellStyle name="Normal 7 8 2 3 2" xfId="5185" xr:uid="{E3DF037C-63FD-4E76-A64B-BC9825B73248}"/>
    <cellStyle name="Normal 7 8 2 4" xfId="2814" xr:uid="{ABDBC4B3-60B9-42A0-9F59-2170FF4C99C6}"/>
    <cellStyle name="Normal 7 8 2 4 2" xfId="5183" xr:uid="{C3BEE49C-5625-44E5-82A5-BC1ADCCBC218}"/>
    <cellStyle name="Normal 7 8 2 5" xfId="1576" xr:uid="{1D798FF1-761C-4457-BD32-9BAC7EA56751}"/>
    <cellStyle name="Normal 7 8 2 5 2" xfId="3986" xr:uid="{181D301A-7306-4DB0-80F5-5D2B380155C6}"/>
    <cellStyle name="Normal 7 8 2 6" xfId="3741" xr:uid="{6B689818-29F2-4B37-B97E-43C5560FBBA0}"/>
    <cellStyle name="Normal 7 8 3" xfId="995" xr:uid="{FF515284-D14D-44B4-8AC6-A9B8DC94DF02}"/>
    <cellStyle name="Normal 7 8 3 2" xfId="1409" xr:uid="{93DEEFA0-F45B-4535-A8A1-D34A5A9ED87F}"/>
    <cellStyle name="Normal 7 8 3 2 2" xfId="2818" xr:uid="{F4CE14BD-93D9-4E1A-B1E2-1CFCD588C019}"/>
    <cellStyle name="Normal 7 8 3 2 2 2" xfId="5187" xr:uid="{2FECAA03-CC41-4C57-A654-720F3C462DAF}"/>
    <cellStyle name="Normal 7 8 3 2 3" xfId="2003" xr:uid="{A5C9D68B-65DB-42C8-B921-A531ECAEB50E}"/>
    <cellStyle name="Normal 7 8 3 2 3 2" xfId="4413" xr:uid="{D34313FB-13F0-4D0C-9E94-4308254AA3F3}"/>
    <cellStyle name="Normal 7 8 3 2 4" xfId="3877" xr:uid="{ECB3B0F4-481D-4D32-AE8C-DA85D79234A5}"/>
    <cellStyle name="Normal 7 8 3 3" xfId="2819" xr:uid="{D6891276-165F-4C35-9245-2AF65415C079}"/>
    <cellStyle name="Normal 7 8 3 3 2" xfId="5188" xr:uid="{7DE60D9F-9DC6-4A52-8500-2BBA8039218F}"/>
    <cellStyle name="Normal 7 8 3 4" xfId="2817" xr:uid="{6B78B466-B214-42D8-868E-BD35F8F7B6E6}"/>
    <cellStyle name="Normal 7 8 3 4 2" xfId="5186" xr:uid="{92824033-7C52-455C-9A7B-98F1EAD97964}"/>
    <cellStyle name="Normal 7 8 3 5" xfId="1679" xr:uid="{C0B2F8D7-BACA-4797-84A9-04542289CAFC}"/>
    <cellStyle name="Normal 7 8 3 5 2" xfId="4089" xr:uid="{43A8CF5E-94D0-4B79-8036-61B1BB7A1CAE}"/>
    <cellStyle name="Normal 7 8 3 6" xfId="3515" xr:uid="{490CD1EB-AB5F-424E-A7C1-9E49FE7DFE01}"/>
    <cellStyle name="Normal 7 8 4" xfId="1407" xr:uid="{946C7204-6DF9-4C75-885C-3EDFBAFECCAE}"/>
    <cellStyle name="Normal 7 8 4 2" xfId="2820" xr:uid="{23DAEF92-036F-4943-8F2B-EDF71CCA6DB3}"/>
    <cellStyle name="Normal 7 8 4 2 2" xfId="5189" xr:uid="{B692EAD2-B464-42F6-B5BD-A17824F26E4E}"/>
    <cellStyle name="Normal 7 8 4 3" xfId="2001" xr:uid="{98C9F0CB-CB04-4ED5-9C15-345B6584C472}"/>
    <cellStyle name="Normal 7 8 4 3 2" xfId="4411" xr:uid="{04F83566-CBF5-422A-B2EA-485D3BAE8C15}"/>
    <cellStyle name="Normal 7 8 4 4" xfId="3875" xr:uid="{C73F8402-C30C-4ED0-AC85-557FBDED8D41}"/>
    <cellStyle name="Normal 7 8 5" xfId="2821" xr:uid="{501AAC0D-AD20-4041-ACDF-997257924D9F}"/>
    <cellStyle name="Normal 7 8 5 2" xfId="5190" xr:uid="{51D81591-6495-4773-B83D-D632953687C5}"/>
    <cellStyle name="Normal 7 8 6" xfId="2202" xr:uid="{478CB702-211C-4D4F-9373-DF50C32AF003}"/>
    <cellStyle name="Normal 7 8 6 2" xfId="4581" xr:uid="{506DE831-AF79-4A94-91F5-B969A7E45FC5}"/>
    <cellStyle name="Normal 7 8 7" xfId="1516" xr:uid="{7FB0DDB8-315D-4F8B-8C53-9EF072218FF2}"/>
    <cellStyle name="Normal 7 8 7 2" xfId="3926" xr:uid="{18FC4953-49A6-4732-9A9D-C24966C68946}"/>
    <cellStyle name="Normal 7 8 8" xfId="3106" xr:uid="{60E6941B-DC32-4348-950B-B7FEE1C2C455}"/>
    <cellStyle name="Normal 7 8 9" xfId="3410" xr:uid="{AEF5EFD8-D516-4EBB-B691-9C3F8E79B9BC}"/>
    <cellStyle name="Normal 7 9" xfId="816" xr:uid="{00000000-0005-0000-0000-000030030000}"/>
    <cellStyle name="Normal 7 9 2" xfId="1230" xr:uid="{EC91B91F-1D9D-42B7-83EE-1756AB71C229}"/>
    <cellStyle name="Normal 7 9 2 2" xfId="1411" xr:uid="{96AFB251-33D8-4266-BB57-4C88100B2B96}"/>
    <cellStyle name="Normal 7 9 2 2 2" xfId="2823" xr:uid="{701555B7-5DF9-496F-8250-7BB412C0F5B1}"/>
    <cellStyle name="Normal 7 9 2 2 2 2" xfId="5192" xr:uid="{DCAFB17A-46EB-4404-917B-6E362378EA1E}"/>
    <cellStyle name="Normal 7 9 2 2 3" xfId="2005" xr:uid="{FB8D49B4-6C7A-4601-99B4-E0F285D9868A}"/>
    <cellStyle name="Normal 7 9 2 2 3 2" xfId="4415" xr:uid="{A8EF7166-8610-4200-9457-9DBBAC5CA462}"/>
    <cellStyle name="Normal 7 9 2 2 4" xfId="3879" xr:uid="{6D0C8281-AED1-48D4-BA23-C66B7BE4FE2B}"/>
    <cellStyle name="Normal 7 9 2 3" xfId="2824" xr:uid="{6EABB47B-EBA7-47AA-AFA7-54B5F54FD813}"/>
    <cellStyle name="Normal 7 9 2 3 2" xfId="5193" xr:uid="{E479DDE7-B53B-41A3-8E8C-84DE5BF60BC8}"/>
    <cellStyle name="Normal 7 9 2 4" xfId="2822" xr:uid="{AE7A1A4D-0A43-41EA-80A8-0AB287121CEA}"/>
    <cellStyle name="Normal 7 9 2 4 2" xfId="5191" xr:uid="{EF4189F4-D636-4B2E-B62B-00A26D12F6AE}"/>
    <cellStyle name="Normal 7 9 2 5" xfId="1662" xr:uid="{E5124033-ECAA-4AFC-9D74-F2CBFEFEB142}"/>
    <cellStyle name="Normal 7 9 2 5 2" xfId="4072" xr:uid="{3E2DC49E-FFC2-4D8B-8D3B-765EC54EB5FE}"/>
    <cellStyle name="Normal 7 9 2 6" xfId="3742" xr:uid="{63A361CC-BB65-4381-9783-DD6E9A0045D5}"/>
    <cellStyle name="Normal 7 9 3" xfId="1410" xr:uid="{8A2D7774-6107-4FEC-97D1-A53F9F784AFF}"/>
    <cellStyle name="Normal 7 9 3 2" xfId="2825" xr:uid="{91A4D63D-81E4-47A7-A605-52C166AC6586}"/>
    <cellStyle name="Normal 7 9 3 2 2" xfId="5194" xr:uid="{0A00B4F0-9F79-45C0-BD09-6D43C9AD21DB}"/>
    <cellStyle name="Normal 7 9 3 3" xfId="2004" xr:uid="{D61F67B4-967E-4C6D-8C7D-F3B2B7BAB83A}"/>
    <cellStyle name="Normal 7 9 3 3 2" xfId="4414" xr:uid="{6CA70A7E-3D74-4707-8C6F-18EAC93602D3}"/>
    <cellStyle name="Normal 7 9 3 4" xfId="3878" xr:uid="{82268C43-9B20-42A7-8BEA-7466585FEEB6}"/>
    <cellStyle name="Normal 7 9 4" xfId="2826" xr:uid="{28C7DD6E-A377-40A1-89C7-832555BF6453}"/>
    <cellStyle name="Normal 7 9 4 2" xfId="5195" xr:uid="{C0F8B093-6DE0-4ACD-8C2D-F75E897B09D5}"/>
    <cellStyle name="Normal 7 9 5" xfId="2203" xr:uid="{D94C2B00-CF0A-40CA-80EC-CFF86146A809}"/>
    <cellStyle name="Normal 7 9 5 2" xfId="4582" xr:uid="{93BC340E-2787-425B-9634-D63FB622AF8B}"/>
    <cellStyle name="Normal 7 9 6" xfId="1499" xr:uid="{1B4E8BA9-6E87-4776-A631-11021C21E8BA}"/>
    <cellStyle name="Normal 7 9 6 2" xfId="3909" xr:uid="{EEC7E0BF-3CDE-4059-8F47-C4CF8C833F4A}"/>
    <cellStyle name="Normal 7 9 7" xfId="3107" xr:uid="{D6EC4B4B-6F63-441D-8F15-B721DB781368}"/>
    <cellStyle name="Normal 7 9 8" xfId="3411" xr:uid="{B4D4AF55-2B8F-49A7-98EE-8EB0DF5302D7}"/>
    <cellStyle name="Normal 8" xfId="817" xr:uid="{00000000-0005-0000-0000-000031030000}"/>
    <cellStyle name="Normal 9" xfId="818" xr:uid="{00000000-0005-0000-0000-000032030000}"/>
    <cellStyle name="Normal 9 2" xfId="819" xr:uid="{00000000-0005-0000-0000-000033030000}"/>
    <cellStyle name="Normal 9 3" xfId="820" xr:uid="{00000000-0005-0000-0000-000034030000}"/>
    <cellStyle name="Normal 9 3 2" xfId="1234" xr:uid="{A9409315-C319-4AFE-960B-D12A4D99700F}"/>
    <cellStyle name="Normal 9 3 2 2" xfId="1413" xr:uid="{48078875-074E-4C30-AFA8-963E6C1F5528}"/>
    <cellStyle name="Normal 9 3 2 2 2" xfId="2828" xr:uid="{E097B47A-B73B-4B89-B114-316ED62974F5}"/>
    <cellStyle name="Normal 9 3 2 2 2 2" xfId="5197" xr:uid="{9C27454E-3C29-48AB-B8A7-60C05879DDAD}"/>
    <cellStyle name="Normal 9 3 2 2 3" xfId="2007" xr:uid="{5E4E9F1C-BA78-4A98-9CF8-FBB953036404}"/>
    <cellStyle name="Normal 9 3 2 2 3 2" xfId="4417" xr:uid="{C37C01F9-F9AB-4A2A-B5B4-C176D98388FB}"/>
    <cellStyle name="Normal 9 3 2 2 4" xfId="3881" xr:uid="{5D4E5B1E-1FA1-454E-8620-C8AFFCC83AE2}"/>
    <cellStyle name="Normal 9 3 2 3" xfId="2829" xr:uid="{4B432B13-1847-45B5-A993-87D4676DD378}"/>
    <cellStyle name="Normal 9 3 2 3 2" xfId="5198" xr:uid="{1B11D6EA-35B4-4227-A03B-52E21C214B75}"/>
    <cellStyle name="Normal 9 3 2 4" xfId="2827" xr:uid="{C8D26EAE-964B-469F-9B5A-99E0E745BF74}"/>
    <cellStyle name="Normal 9 3 2 4 2" xfId="5196" xr:uid="{8C4C3BB2-EB2C-4E24-87CA-CCE9F91C9075}"/>
    <cellStyle name="Normal 9 3 2 5" xfId="1578" xr:uid="{BF90BDAB-2A2A-444F-AEAF-6D0F68CF57E2}"/>
    <cellStyle name="Normal 9 3 2 5 2" xfId="3988" xr:uid="{CFA3BD0B-4878-4C0A-9BDF-0090A5FC1AA2}"/>
    <cellStyle name="Normal 9 3 2 6" xfId="3746" xr:uid="{3D2C3BE4-338A-405A-BE98-22BDAD8184DD}"/>
    <cellStyle name="Normal 9 3 3" xfId="997" xr:uid="{03AF8183-8903-4BC5-B5A7-9A50BC7B3574}"/>
    <cellStyle name="Normal 9 3 3 2" xfId="1414" xr:uid="{98EE8D09-E9A2-42FB-9BA1-434382368610}"/>
    <cellStyle name="Normal 9 3 3 2 2" xfId="2831" xr:uid="{0D1B5720-31F0-42D8-832C-864EF8940E02}"/>
    <cellStyle name="Normal 9 3 3 2 2 2" xfId="5200" xr:uid="{D0BCAD6B-436B-4F78-80DF-BE92B6099AC2}"/>
    <cellStyle name="Normal 9 3 3 2 3" xfId="2008" xr:uid="{D090C9C8-4879-4FA7-AD77-59BFBEB86E41}"/>
    <cellStyle name="Normal 9 3 3 2 3 2" xfId="4418" xr:uid="{20AFF778-8B45-4D27-BC3A-C5160C4CE3F8}"/>
    <cellStyle name="Normal 9 3 3 2 4" xfId="3882" xr:uid="{1DDE77FA-3C60-4621-88A0-3F2C99F6C4BD}"/>
    <cellStyle name="Normal 9 3 3 3" xfId="2832" xr:uid="{E9F5CA2D-3323-4DAE-822A-E0D9D2FD09C1}"/>
    <cellStyle name="Normal 9 3 3 3 2" xfId="5201" xr:uid="{F3E47BBC-D65B-4A53-A779-FD38C53A53F3}"/>
    <cellStyle name="Normal 9 3 3 4" xfId="2830" xr:uid="{490D1E70-27DB-43AF-801A-BBA30C3E5E3E}"/>
    <cellStyle name="Normal 9 3 3 4 2" xfId="5199" xr:uid="{1E4EC6BB-07D8-407A-9FB6-D775C57C5355}"/>
    <cellStyle name="Normal 9 3 3 5" xfId="1681" xr:uid="{96E6C09E-CA83-4454-BC43-06666E5323E1}"/>
    <cellStyle name="Normal 9 3 3 5 2" xfId="4091" xr:uid="{84D30F3F-7BCB-4116-A3BA-88FBB8C5F4B5}"/>
    <cellStyle name="Normal 9 3 3 6" xfId="3517" xr:uid="{1D4A3275-2840-4BA4-B275-B26982C58FE7}"/>
    <cellStyle name="Normal 9 3 4" xfId="1412" xr:uid="{4C41B988-4E67-40DE-A142-321E8C5CDF08}"/>
    <cellStyle name="Normal 9 3 4 2" xfId="2833" xr:uid="{9BC18FDC-5CAC-4FD7-9A49-0DA7621C3A0F}"/>
    <cellStyle name="Normal 9 3 4 2 2" xfId="5202" xr:uid="{84F363F0-6655-4E8F-A77F-158DBA6BB9E5}"/>
    <cellStyle name="Normal 9 3 4 3" xfId="2006" xr:uid="{BA200940-7B89-474F-B9C7-8A199E19D5BB}"/>
    <cellStyle name="Normal 9 3 4 3 2" xfId="4416" xr:uid="{79E9AB91-6B4D-4BAA-95C8-450EB1B9B1D2}"/>
    <cellStyle name="Normal 9 3 4 4" xfId="3880" xr:uid="{A238FA5F-FC13-4AAE-8BB6-DFB520EC867E}"/>
    <cellStyle name="Normal 9 3 5" xfId="2834" xr:uid="{7CF24470-1CE1-4965-8A6F-4F997F9F6FB7}"/>
    <cellStyle name="Normal 9 3 5 2" xfId="5203" xr:uid="{2C1732EF-4BC2-4529-96DF-B140B6338AB6}"/>
    <cellStyle name="Normal 9 3 6" xfId="2204" xr:uid="{586E1A5E-40F4-41EA-BABF-4E7D02A05B56}"/>
    <cellStyle name="Normal 9 3 6 2" xfId="4583" xr:uid="{439BB74E-43C0-4C80-9391-88131301A148}"/>
    <cellStyle name="Normal 9 3 7" xfId="1518" xr:uid="{D59DBA2D-9096-4036-A8E5-25E9091FFB10}"/>
    <cellStyle name="Normal 9 3 7 2" xfId="3928" xr:uid="{49181B5A-0B42-45CC-B374-28DB0FEA2892}"/>
    <cellStyle name="Normal 9 3 8" xfId="3108" xr:uid="{B35C8F8F-0FB6-40A4-996F-FF0831B5FB2A}"/>
    <cellStyle name="Normal 9 3 9" xfId="3412" xr:uid="{26022B6C-D00E-4805-98AE-F1299EFA3B4E}"/>
    <cellStyle name="Normal 9 4" xfId="931" xr:uid="{BA0FA388-D6E0-41DF-8C74-82C62C63BE29}"/>
    <cellStyle name="Normal 9 4 2" xfId="1415" xr:uid="{7F6948A5-8995-456F-A7DF-221597036186}"/>
    <cellStyle name="Normal 9 4 2 2" xfId="2836" xr:uid="{8C2F1883-D1CA-4E21-89CA-F8CCCF028433}"/>
    <cellStyle name="Normal 9 4 2 2 2" xfId="5205" xr:uid="{5075A76D-3017-4BBA-A23E-3BC2542BCDA9}"/>
    <cellStyle name="Normal 9 4 2 3" xfId="2009" xr:uid="{7B08F064-2BF0-4765-A56E-9A1C5D7CDF0B}"/>
    <cellStyle name="Normal 9 4 2 3 2" xfId="4419" xr:uid="{E2B3A520-0C83-45EE-8E77-8F4F3C7ADF12}"/>
    <cellStyle name="Normal 9 4 2 4" xfId="3883" xr:uid="{FF2FB7DE-8FD5-4187-B53F-FEFEBC017E2B}"/>
    <cellStyle name="Normal 9 4 3" xfId="2837" xr:uid="{B60D8D79-219E-414D-9636-3E4767526C08}"/>
    <cellStyle name="Normal 9 4 3 2" xfId="5206" xr:uid="{15E63B2F-FE6B-44D8-9606-4F46C784CC64}"/>
    <cellStyle name="Normal 9 4 4" xfId="2835" xr:uid="{8DE4F2A7-F172-4071-B3EE-197FFD6E6A4B}"/>
    <cellStyle name="Normal 9 4 4 2" xfId="5204" xr:uid="{1129BFC3-6CD5-4891-B22E-28DA71D8F225}"/>
    <cellStyle name="Normal 9 4 5" xfId="1621" xr:uid="{C80FDDCD-D1D2-45D0-AC9D-3C4CA643330A}"/>
    <cellStyle name="Normal 9 4 5 2" xfId="4031" xr:uid="{AC96D71E-72CD-480C-AEC2-78CC39E7BBA1}"/>
    <cellStyle name="Normal 9 4 6" xfId="3493" xr:uid="{3F5C4062-8DE6-45C0-80FC-DD08636BA406}"/>
    <cellStyle name="Normal_98AFRCOU" xfId="821" xr:uid="{00000000-0005-0000-0000-000035030000}"/>
    <cellStyle name="Note 2" xfId="822" xr:uid="{00000000-0005-0000-0000-000036030000}"/>
    <cellStyle name="Note 3" xfId="823" xr:uid="{00000000-0005-0000-0000-000037030000}"/>
    <cellStyle name="Note 4" xfId="1120" xr:uid="{08F4B32B-A84A-4287-8361-53262093C443}"/>
    <cellStyle name="Note 4 2" xfId="1416" xr:uid="{4BAC1A69-4371-4E87-9167-6B85BCBFBEA1}"/>
    <cellStyle name="Note 4 2 2" xfId="2839" xr:uid="{F01693F6-2FEA-43E7-AFEF-81B7E8DCAA5B}"/>
    <cellStyle name="Note 4 2 3" xfId="2838" xr:uid="{87AB8B72-1480-43E4-8428-2FB757CBC4DA}"/>
    <cellStyle name="Note 4 3" xfId="2925" xr:uid="{C2E1F0A5-899D-43B6-8B1C-C4ABC7F13547}"/>
    <cellStyle name="Note 5" xfId="3111" xr:uid="{04B34111-CCED-486A-9671-47BEA5C27503}"/>
    <cellStyle name="Output" xfId="2850" builtinId="21" customBuiltin="1"/>
    <cellStyle name="Output 2" xfId="824" xr:uid="{00000000-0005-0000-0000-000038030000}"/>
    <cellStyle name="Output 3" xfId="825" xr:uid="{00000000-0005-0000-0000-000039030000}"/>
    <cellStyle name="Percent 2" xfId="826" xr:uid="{00000000-0005-0000-0000-00003A030000}"/>
    <cellStyle name="Percent 2 2" xfId="827" xr:uid="{00000000-0005-0000-0000-00003B030000}"/>
    <cellStyle name="Percent 3" xfId="828" xr:uid="{00000000-0005-0000-0000-00003C030000}"/>
    <cellStyle name="Percent 3 2" xfId="829" xr:uid="{00000000-0005-0000-0000-00003D030000}"/>
    <cellStyle name="Percent 3 3" xfId="1239" xr:uid="{E029AFD8-9032-4DF3-A15D-B9B4C77D7BCD}"/>
    <cellStyle name="ReportHeaderRowCol.*" xfId="3202" xr:uid="{BFCA8839-D201-4A7F-B77D-BC6E2FF8AD26}"/>
    <cellStyle name="ReportHeaderRowCol.1" xfId="3203" xr:uid="{BD4C8FF9-1524-4889-8D0B-439ED97E0B73}"/>
    <cellStyle name="ReportHeaderRowCol.2" xfId="3204" xr:uid="{8B5FA626-D699-4C97-BE78-85E1DAF13FB0}"/>
    <cellStyle name="ReportHeaderRowCol.Date" xfId="3205" xr:uid="{800316D0-02B2-45BF-BD21-E3626EEF7F50}"/>
    <cellStyle name="Sheet Title" xfId="830" xr:uid="{00000000-0005-0000-0000-00003E030000}"/>
    <cellStyle name="Style 1" xfId="831" xr:uid="{00000000-0005-0000-0000-00003F030000}"/>
    <cellStyle name="Style 1 2" xfId="832" xr:uid="{00000000-0005-0000-0000-000040030000}"/>
    <cellStyle name="Style 1 2 2" xfId="833" xr:uid="{00000000-0005-0000-0000-000041030000}"/>
    <cellStyle name="Style 1 2 3" xfId="1242" xr:uid="{10539F1D-99D4-44A4-BADB-794DF4B0A2C1}"/>
    <cellStyle name="Style 1 3" xfId="834" xr:uid="{00000000-0005-0000-0000-000042030000}"/>
    <cellStyle name="Style 1 4" xfId="835" xr:uid="{00000000-0005-0000-0000-000043030000}"/>
    <cellStyle name="SubgroupSectionHeaderRowBalanceCol" xfId="3206" xr:uid="{13C4E742-2BFE-43ED-8C52-97B7E93B03F0}"/>
    <cellStyle name="SubgroupSectionHeaderRowDescCol" xfId="3207" xr:uid="{F04172F8-8EBC-47FA-A7CC-9A5CBAC9A62B}"/>
    <cellStyle name="SubgroupSectionHeaderRowNameCol" xfId="3208" xr:uid="{72D83E81-43BD-408C-B4AB-B4DA7A04CDDE}"/>
    <cellStyle name="SubGroupSelectionHeaderRowJERefCol" xfId="3209" xr:uid="{76028ECC-8536-474B-A4EF-CEF2353D1BFE}"/>
    <cellStyle name="SubgroupSubtotalRowBalanceCol" xfId="3210" xr:uid="{AA86B670-4964-4B93-9EC9-38D2C57EC88E}"/>
    <cellStyle name="SubgroupSubtotalRowDescCol" xfId="3211" xr:uid="{AA85C514-6B37-40A5-A696-7B156472AFDC}"/>
    <cellStyle name="SubgroupSubtotalRowJERefCol" xfId="3212" xr:uid="{F0ECF746-79AD-4913-AEF6-C2C26C926C00}"/>
    <cellStyle name="SubgroupSubtotalRowNameCol" xfId="3213" xr:uid="{1AE46F42-D808-4B16-B52F-FC5EE129E6AE}"/>
    <cellStyle name="SubgroupSubtotalRowVarPectCol" xfId="3214" xr:uid="{F1E2C137-BE7E-4F99-9E0C-74894CA27837}"/>
    <cellStyle name="SubgroupSubtotalRowWPRefCol" xfId="3215" xr:uid="{2378C9E0-CEF2-4A58-A43A-8B8D50666EAE}"/>
    <cellStyle name="SumAccountGroupsRowBalanceCol" xfId="3216" xr:uid="{D2A3401D-3567-48CD-8069-F628F794F463}"/>
    <cellStyle name="SumAccountGroupsRowDescCol" xfId="3217" xr:uid="{CAFCE75C-595E-4C21-9101-BD84DAB1BFE5}"/>
    <cellStyle name="SumAccountGroupsRowJERefCol" xfId="3218" xr:uid="{36A64F97-2C7C-4580-A5D7-4C8146404B9A}"/>
    <cellStyle name="SumAccountGroupsRowNameCol" xfId="3219" xr:uid="{C5F057AF-61C7-499B-B9A1-BAC076C35E11}"/>
    <cellStyle name="SumAccountGroupsRowVarPectCol" xfId="3220" xr:uid="{BF6E3921-1277-4466-8A94-3138948A251D}"/>
    <cellStyle name="SumAccountGroupsRowWPRefCol" xfId="3221" xr:uid="{ABC5D218-3C07-4B66-B55B-35ADF7ADD5B5}"/>
    <cellStyle name="Total" xfId="2855" builtinId="25" customBuiltin="1"/>
    <cellStyle name="Total 2" xfId="836" xr:uid="{00000000-0005-0000-0000-000044030000}"/>
    <cellStyle name="Total 3" xfId="837" xr:uid="{00000000-0005-0000-0000-000045030000}"/>
    <cellStyle name="TotalRow" xfId="3222" xr:uid="{C486386A-BFCD-4145-8214-DB04024037BB}"/>
    <cellStyle name="TotalRowCreditCol" xfId="3223" xr:uid="{4CA3095D-E265-4826-9746-D52428EADA94}"/>
    <cellStyle name="TotalRowDebitCol" xfId="3224" xr:uid="{AA8BCEEF-448C-47EE-999E-75DAFB7A6A0F}"/>
    <cellStyle name="TransactionRowAcctDescCol" xfId="3225" xr:uid="{C6BEB031-5374-4034-ABDD-A04105342AD4}"/>
    <cellStyle name="TransactionRowAcctNumCol" xfId="3226" xr:uid="{914920D9-FE64-45DD-8B2D-7F2BB7AA9D97}"/>
    <cellStyle name="TransactionRowCreditCol" xfId="3227" xr:uid="{DD6589E6-3DD6-4768-8FE9-C6224B961D05}"/>
    <cellStyle name="TransactionRowDateCol" xfId="3228" xr:uid="{879C8BDC-0600-4A3E-BC89-A333147717C6}"/>
    <cellStyle name="TransactionRowDebitCol" xfId="3229" xr:uid="{3517B178-F454-4EA2-AD4F-5CA61F8C5A62}"/>
    <cellStyle name="TransactionRowRefCol" xfId="3230" xr:uid="{9931AB96-5B63-4C44-A7F1-E1D00FEF1677}"/>
    <cellStyle name="TransactionRowTransactionCol" xfId="3231" xr:uid="{C3CBBEA2-100A-4BCB-88C6-409A8A129116}"/>
    <cellStyle name="UnclassifiedTotalRowBalanceCol" xfId="3232" xr:uid="{89C75F05-662B-4A2C-A3FD-30246F8CCF12}"/>
    <cellStyle name="UnclassifiedTotalRowDescCol" xfId="3233" xr:uid="{51D433AF-FB09-4F52-9AAE-521B6063FC21}"/>
    <cellStyle name="UnclassifiedTotalRowJERefCol" xfId="3234" xr:uid="{5BCC6F11-E2CF-4D30-8350-E90D9AFE3A01}"/>
    <cellStyle name="UnclassifiedTotalRowNameCol" xfId="3235" xr:uid="{B178302E-3030-48A0-A7A4-FB72A9B02F33}"/>
    <cellStyle name="UnclassifiedTotalRowVarPectCol" xfId="3236" xr:uid="{A305B6CB-9D6C-47EE-8D23-D325C981E8AB}"/>
    <cellStyle name="UnclassifiedTotalRowWPRefCol" xfId="3237" xr:uid="{6684E43C-E721-4B45-A3D6-3866C7239371}"/>
    <cellStyle name="Warning Text" xfId="2854" builtinId="11" customBuiltin="1"/>
    <cellStyle name="Warning Text 2" xfId="838" xr:uid="{00000000-0005-0000-0000-000046030000}"/>
    <cellStyle name="Warning Text 3" xfId="839" xr:uid="{00000000-0005-0000-0000-000047030000}"/>
  </cellStyles>
  <dxfs count="14">
    <dxf>
      <fill>
        <patternFill>
          <bgColor rgb="FF66FFFF"/>
        </patternFill>
      </fill>
    </dxf>
    <dxf>
      <font>
        <color auto="1"/>
      </font>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2" defaultTableStyle="TableStyleMedium9" defaultPivotStyle="PivotStyleLight16">
    <tableStyle name="Table Style 1" pivot="0" count="0" xr9:uid="{00000000-0011-0000-FFFF-FFFF00000000}"/>
    <tableStyle name="Table Style 2" pivot="0" count="0" xr9:uid="{00000000-0011-0000-FFFF-FFFF01000000}"/>
  </tableStyles>
  <colors>
    <mruColors>
      <color rgb="FFFFFFCC"/>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zalaj\LoGics%20project\Copy%20of%20newaud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heet"/>
      <sheetName val="Database"/>
    </sheetNames>
    <sheetDataSet>
      <sheetData sheetId="0"/>
      <sheetData sheetId="1">
        <row r="3">
          <cell r="AC3">
            <v>4</v>
          </cell>
          <cell r="AD3">
            <v>28</v>
          </cell>
          <cell r="AE3" t="str">
            <v>GF</v>
          </cell>
          <cell r="AF3" t="str">
            <v>2</v>
          </cell>
          <cell r="AH3" t="str">
            <v>+2314345-851911</v>
          </cell>
          <cell r="AI3">
            <v>1462434</v>
          </cell>
          <cell r="AN3">
            <v>1462434</v>
          </cell>
          <cell r="AO3" t="str">
            <v>+2314345-851911</v>
          </cell>
          <cell r="BF3" t="str">
            <v>N</v>
          </cell>
          <cell r="BG3" t="str">
            <v>Alexander County</v>
          </cell>
          <cell r="BH3" t="str">
            <v>MARTIN STARNES &amp; ASSOCIATES CPAs  730 13TH AVE DRIVE SOUTHEAST  , HICKORY, NC 28602</v>
          </cell>
          <cell r="BI3" t="str">
            <v>22-Oct-10</v>
          </cell>
          <cell r="BJ3" t="str">
            <v>U</v>
          </cell>
          <cell r="BM3" t="str">
            <v>5444484</v>
          </cell>
          <cell r="BW3" t="str">
            <v>19.07</v>
          </cell>
          <cell r="BX3" t="str">
            <v>19.07</v>
          </cell>
          <cell r="CF3" t="str">
            <v>.76</v>
          </cell>
          <cell r="CG3" t="str">
            <v>-722391</v>
          </cell>
          <cell r="CT3" t="str">
            <v>2.66</v>
          </cell>
          <cell r="CU3" t="str">
            <v>1249377</v>
          </cell>
          <cell r="CY3" t="str">
            <v>0</v>
          </cell>
          <cell r="CZ3" t="str">
            <v>0</v>
          </cell>
          <cell r="DE3" t="str">
            <v xml:space="preserve"> SOLID WASTE WATER/SEWER</v>
          </cell>
          <cell r="DI3" t="str">
            <v xml:space="preserve"> 911- CAPITAL OUTLAY-</v>
          </cell>
          <cell r="DX3" t="str">
            <v>CANADY</v>
          </cell>
          <cell r="DY3" t="str">
            <v>02-NOV-10</v>
          </cell>
          <cell r="DZ3" t="str">
            <v>BURKE2</v>
          </cell>
          <cell r="EA3" t="str">
            <v>02-NOV-10</v>
          </cell>
          <cell r="EB3" t="str">
            <v>BURKE2</v>
          </cell>
          <cell r="EC3" t="str">
            <v>05-NOV-10</v>
          </cell>
          <cell r="ED3" t="str">
            <v>2010</v>
          </cell>
          <cell r="EE3" t="str">
            <v>30-Jun-10</v>
          </cell>
          <cell r="EF3" t="str">
            <v>01</v>
          </cell>
          <cell r="EG3" t="str">
            <v>SZALAJ</v>
          </cell>
        </row>
        <row r="4">
          <cell r="AC4">
            <v>5</v>
          </cell>
          <cell r="AD4">
            <v>29</v>
          </cell>
          <cell r="AE4" t="str">
            <v>GF</v>
          </cell>
          <cell r="AF4" t="str">
            <v>2</v>
          </cell>
          <cell r="AH4" t="str">
            <v>+116754+10100</v>
          </cell>
          <cell r="AI4">
            <v>126854</v>
          </cell>
          <cell r="AN4">
            <v>126854</v>
          </cell>
          <cell r="AO4" t="str">
            <v>+116754+10100</v>
          </cell>
        </row>
        <row r="5">
          <cell r="AC5">
            <v>6</v>
          </cell>
          <cell r="AD5">
            <v>34</v>
          </cell>
          <cell r="AE5" t="str">
            <v>GF</v>
          </cell>
          <cell r="AF5" t="str">
            <v>2</v>
          </cell>
        </row>
        <row r="6">
          <cell r="AC6">
            <v>7</v>
          </cell>
          <cell r="AD6">
            <v>35</v>
          </cell>
          <cell r="AE6" t="str">
            <v>GF</v>
          </cell>
          <cell r="AF6" t="str">
            <v>2</v>
          </cell>
        </row>
        <row r="7">
          <cell r="AC7">
            <v>8</v>
          </cell>
          <cell r="AD7">
            <v>46</v>
          </cell>
          <cell r="AE7" t="str">
            <v>GF</v>
          </cell>
          <cell r="AF7" t="str">
            <v>1</v>
          </cell>
          <cell r="AH7" t="str">
            <v>n</v>
          </cell>
          <cell r="AO7" t="str">
            <v>n</v>
          </cell>
        </row>
        <row r="8">
          <cell r="AC8">
            <v>9</v>
          </cell>
          <cell r="AD8">
            <v>32</v>
          </cell>
          <cell r="AE8" t="str">
            <v>GF</v>
          </cell>
          <cell r="AF8" t="str">
            <v>2</v>
          </cell>
          <cell r="AH8" t="str">
            <v>+7576459</v>
          </cell>
          <cell r="AI8">
            <v>7576459</v>
          </cell>
          <cell r="AN8">
            <v>7576459</v>
          </cell>
          <cell r="AO8" t="str">
            <v>+7576459</v>
          </cell>
        </row>
        <row r="9">
          <cell r="AC9">
            <v>10</v>
          </cell>
          <cell r="AD9">
            <v>33</v>
          </cell>
          <cell r="AE9" t="str">
            <v>GF</v>
          </cell>
          <cell r="AF9" t="str">
            <v>2</v>
          </cell>
          <cell r="AH9" t="str">
            <v>+2131976</v>
          </cell>
          <cell r="AI9">
            <v>2131976</v>
          </cell>
          <cell r="AN9">
            <v>2131976</v>
          </cell>
          <cell r="AO9" t="str">
            <v>+2131976</v>
          </cell>
        </row>
        <row r="10">
          <cell r="AC10">
            <v>12</v>
          </cell>
          <cell r="AD10">
            <v>49</v>
          </cell>
          <cell r="AE10" t="str">
            <v>EFO</v>
          </cell>
          <cell r="AF10" t="str">
            <v>2</v>
          </cell>
          <cell r="AH10" t="str">
            <v>+2252598</v>
          </cell>
          <cell r="AI10">
            <v>2252598</v>
          </cell>
          <cell r="AN10">
            <v>2252598</v>
          </cell>
          <cell r="AO10" t="str">
            <v>+2252598</v>
          </cell>
        </row>
        <row r="11">
          <cell r="AC11">
            <v>13</v>
          </cell>
          <cell r="AD11">
            <v>50</v>
          </cell>
          <cell r="AE11" t="str">
            <v>EFO</v>
          </cell>
          <cell r="AF11" t="str">
            <v>2</v>
          </cell>
          <cell r="AH11" t="str">
            <v>+2252598</v>
          </cell>
          <cell r="AI11">
            <v>2252598</v>
          </cell>
          <cell r="AN11">
            <v>2252598</v>
          </cell>
          <cell r="AO11" t="str">
            <v>+2252598</v>
          </cell>
        </row>
        <row r="12">
          <cell r="AC12">
            <v>14</v>
          </cell>
          <cell r="AD12">
            <v>51</v>
          </cell>
          <cell r="AE12" t="str">
            <v>EFO</v>
          </cell>
          <cell r="AF12" t="str">
            <v>2</v>
          </cell>
          <cell r="AH12" t="str">
            <v>+2981389-6400</v>
          </cell>
          <cell r="AI12">
            <v>2974989</v>
          </cell>
          <cell r="AN12">
            <v>2974989</v>
          </cell>
          <cell r="AO12" t="str">
            <v>+2981389-6400</v>
          </cell>
        </row>
        <row r="13">
          <cell r="AC13">
            <v>16</v>
          </cell>
          <cell r="AD13">
            <v>36</v>
          </cell>
          <cell r="AE13" t="str">
            <v>GF</v>
          </cell>
          <cell r="AF13" t="str">
            <v>2</v>
          </cell>
          <cell r="AH13" t="str">
            <v>+28657168</v>
          </cell>
          <cell r="AI13">
            <v>28657168</v>
          </cell>
          <cell r="AN13">
            <v>28657168</v>
          </cell>
          <cell r="AO13" t="str">
            <v>+28657168</v>
          </cell>
        </row>
        <row r="14">
          <cell r="AC14">
            <v>17</v>
          </cell>
          <cell r="AD14">
            <v>40</v>
          </cell>
          <cell r="AE14" t="str">
            <v>GF</v>
          </cell>
          <cell r="AF14" t="str">
            <v>2</v>
          </cell>
          <cell r="AH14" t="str">
            <v>+1422967</v>
          </cell>
          <cell r="AI14">
            <v>1422967</v>
          </cell>
          <cell r="AN14">
            <v>1422967</v>
          </cell>
          <cell r="AO14" t="str">
            <v>+1422967</v>
          </cell>
        </row>
        <row r="15">
          <cell r="AC15">
            <v>19</v>
          </cell>
          <cell r="AD15">
            <v>38</v>
          </cell>
          <cell r="AE15" t="str">
            <v>GF</v>
          </cell>
          <cell r="AF15" t="str">
            <v>2</v>
          </cell>
          <cell r="AH15" t="str">
            <v>+28022648</v>
          </cell>
          <cell r="AI15">
            <v>28022648</v>
          </cell>
          <cell r="AN15">
            <v>28022648</v>
          </cell>
          <cell r="AO15" t="str">
            <v>+28022648</v>
          </cell>
        </row>
        <row r="16">
          <cell r="AC16">
            <v>20</v>
          </cell>
          <cell r="AD16">
            <v>41</v>
          </cell>
          <cell r="AE16" t="str">
            <v>GF</v>
          </cell>
          <cell r="AF16" t="str">
            <v>2</v>
          </cell>
          <cell r="AH16" t="str">
            <v>+525429</v>
          </cell>
          <cell r="AI16">
            <v>525429</v>
          </cell>
          <cell r="AN16">
            <v>525429</v>
          </cell>
          <cell r="AO16" t="str">
            <v>+525429</v>
          </cell>
        </row>
        <row r="17">
          <cell r="AC17">
            <v>21</v>
          </cell>
          <cell r="AD17">
            <v>43</v>
          </cell>
          <cell r="AE17" t="str">
            <v>GF</v>
          </cell>
          <cell r="AF17" t="str">
            <v>2</v>
          </cell>
          <cell r="AH17" t="str">
            <v>+0</v>
          </cell>
          <cell r="AI17">
            <v>0</v>
          </cell>
          <cell r="AN17">
            <v>0</v>
          </cell>
          <cell r="AO17" t="str">
            <v>+0</v>
          </cell>
        </row>
        <row r="18">
          <cell r="AC18">
            <v>22</v>
          </cell>
          <cell r="AD18">
            <v>42</v>
          </cell>
          <cell r="AE18" t="str">
            <v>GF</v>
          </cell>
          <cell r="AF18" t="str">
            <v>2</v>
          </cell>
        </row>
        <row r="19">
          <cell r="AC19">
            <v>23</v>
          </cell>
          <cell r="AD19">
            <v>44</v>
          </cell>
          <cell r="AE19" t="str">
            <v>GF</v>
          </cell>
          <cell r="AF19" t="str">
            <v>2</v>
          </cell>
          <cell r="AH19" t="str">
            <v>+1532058</v>
          </cell>
          <cell r="AI19">
            <v>1532058</v>
          </cell>
          <cell r="AN19">
            <v>1532058</v>
          </cell>
          <cell r="AO19" t="str">
            <v>+1532058</v>
          </cell>
        </row>
        <row r="20">
          <cell r="AC20">
            <v>31</v>
          </cell>
          <cell r="AD20">
            <v>67</v>
          </cell>
          <cell r="AE20" t="str">
            <v>EFO</v>
          </cell>
          <cell r="AF20" t="str">
            <v>2</v>
          </cell>
          <cell r="AH20" t="str">
            <v>+924370</v>
          </cell>
          <cell r="AI20">
            <v>924370</v>
          </cell>
          <cell r="AN20">
            <v>924370</v>
          </cell>
          <cell r="AO20" t="str">
            <v>+924370</v>
          </cell>
        </row>
        <row r="21">
          <cell r="AC21">
            <v>42</v>
          </cell>
          <cell r="AD21">
            <v>127</v>
          </cell>
          <cell r="AE21" t="str">
            <v>NF</v>
          </cell>
          <cell r="AF21" t="str">
            <v>1</v>
          </cell>
          <cell r="AH21" t="str">
            <v>n</v>
          </cell>
          <cell r="AO21" t="str">
            <v>n</v>
          </cell>
        </row>
        <row r="22">
          <cell r="AC22">
            <v>43</v>
          </cell>
          <cell r="AD22">
            <v>54</v>
          </cell>
          <cell r="AE22" t="str">
            <v>EFWS</v>
          </cell>
          <cell r="AF22" t="str">
            <v>2</v>
          </cell>
          <cell r="AH22" t="str">
            <v>+1440246+562153</v>
          </cell>
          <cell r="AI22">
            <v>2002399</v>
          </cell>
          <cell r="AN22">
            <v>2002399</v>
          </cell>
          <cell r="AO22" t="str">
            <v>+1440246+562153</v>
          </cell>
        </row>
        <row r="23">
          <cell r="AC23">
            <v>44</v>
          </cell>
          <cell r="AD23">
            <v>55</v>
          </cell>
          <cell r="AE23" t="str">
            <v>EFWS</v>
          </cell>
          <cell r="AF23" t="str">
            <v>2</v>
          </cell>
          <cell r="AH23" t="str">
            <v>+562153+1440246</v>
          </cell>
          <cell r="AI23">
            <v>2002399</v>
          </cell>
          <cell r="AN23">
            <v>2002399</v>
          </cell>
          <cell r="AO23" t="str">
            <v>+562153+1440246</v>
          </cell>
        </row>
        <row r="24">
          <cell r="AC24">
            <v>45</v>
          </cell>
          <cell r="AD24">
            <v>57</v>
          </cell>
          <cell r="AE24" t="str">
            <v>EFWS</v>
          </cell>
          <cell r="AF24" t="str">
            <v>2</v>
          </cell>
          <cell r="AH24" t="str">
            <v>+563977+189354-309</v>
          </cell>
          <cell r="AI24">
            <v>753022</v>
          </cell>
          <cell r="AN24">
            <v>753022</v>
          </cell>
          <cell r="AO24" t="str">
            <v>+563977+189354-309</v>
          </cell>
        </row>
        <row r="25">
          <cell r="AC25">
            <v>49</v>
          </cell>
          <cell r="AD25">
            <v>70</v>
          </cell>
          <cell r="AE25" t="str">
            <v>EFWS</v>
          </cell>
          <cell r="AF25" t="str">
            <v>2</v>
          </cell>
          <cell r="AH25" t="str">
            <v>+250464+93188</v>
          </cell>
          <cell r="AI25">
            <v>343652</v>
          </cell>
          <cell r="AN25">
            <v>343652</v>
          </cell>
          <cell r="AO25" t="str">
            <v>+250464+93188</v>
          </cell>
        </row>
        <row r="26">
          <cell r="AC26">
            <v>50</v>
          </cell>
          <cell r="AD26">
            <v>78</v>
          </cell>
          <cell r="AE26" t="str">
            <v>EFWS</v>
          </cell>
          <cell r="AF26" t="str">
            <v>2</v>
          </cell>
          <cell r="AH26" t="str">
            <v>+7451707+192125</v>
          </cell>
          <cell r="AI26">
            <v>7643832</v>
          </cell>
          <cell r="AN26">
            <v>7643832</v>
          </cell>
          <cell r="AO26" t="str">
            <v>+7451707+192125</v>
          </cell>
        </row>
        <row r="27">
          <cell r="AC27">
            <v>51</v>
          </cell>
          <cell r="AD27">
            <v>86</v>
          </cell>
          <cell r="AE27" t="str">
            <v>EFWS</v>
          </cell>
          <cell r="AF27" t="str">
            <v>2</v>
          </cell>
          <cell r="AH27" t="str">
            <v>+229612+334956</v>
          </cell>
          <cell r="AI27">
            <v>564568</v>
          </cell>
          <cell r="AN27">
            <v>564568</v>
          </cell>
          <cell r="AO27" t="str">
            <v>+229612+334956</v>
          </cell>
        </row>
        <row r="28">
          <cell r="AC28">
            <v>56</v>
          </cell>
          <cell r="AD28">
            <v>125</v>
          </cell>
          <cell r="AE28" t="str">
            <v>NF</v>
          </cell>
          <cell r="AF28" t="str">
            <v>1</v>
          </cell>
          <cell r="AH28" t="str">
            <v>n</v>
          </cell>
          <cell r="AO28" t="str">
            <v>n</v>
          </cell>
        </row>
        <row r="29">
          <cell r="AC29">
            <v>57</v>
          </cell>
          <cell r="AD29">
            <v>124</v>
          </cell>
          <cell r="AE29" t="str">
            <v>NF</v>
          </cell>
          <cell r="AF29" t="str">
            <v>1</v>
          </cell>
          <cell r="AH29" t="str">
            <v>Y</v>
          </cell>
          <cell r="AJ29" t="str">
            <v>very concerned about solid waste and landfill closure - landfill sceduled to cl</v>
          </cell>
          <cell r="AO29" t="str">
            <v>Y</v>
          </cell>
        </row>
        <row r="30">
          <cell r="AC30">
            <v>58</v>
          </cell>
          <cell r="AD30">
            <v>123</v>
          </cell>
          <cell r="AE30" t="str">
            <v>GF</v>
          </cell>
          <cell r="AF30" t="str">
            <v>1</v>
          </cell>
          <cell r="AH30" t="str">
            <v>n</v>
          </cell>
          <cell r="AO30" t="str">
            <v>n</v>
          </cell>
        </row>
        <row r="31">
          <cell r="AC31">
            <v>59</v>
          </cell>
          <cell r="AD31">
            <v>122</v>
          </cell>
          <cell r="AE31" t="str">
            <v>GF</v>
          </cell>
          <cell r="AF31" t="str">
            <v>1</v>
          </cell>
          <cell r="AH31" t="str">
            <v>n</v>
          </cell>
          <cell r="AJ31" t="str">
            <v>Agency BS should be before notes</v>
          </cell>
          <cell r="AO31" t="str">
            <v>n</v>
          </cell>
        </row>
        <row r="32">
          <cell r="AC32">
            <v>61</v>
          </cell>
          <cell r="AD32">
            <v>115</v>
          </cell>
          <cell r="AE32" t="str">
            <v>NF</v>
          </cell>
          <cell r="AF32" t="str">
            <v>2</v>
          </cell>
          <cell r="AH32" t="str">
            <v>+96.02</v>
          </cell>
          <cell r="AI32">
            <v>96.02</v>
          </cell>
          <cell r="AN32">
            <v>96.02</v>
          </cell>
          <cell r="AO32" t="str">
            <v>+96.02</v>
          </cell>
        </row>
        <row r="33">
          <cell r="AC33">
            <v>63</v>
          </cell>
          <cell r="AD33">
            <v>119</v>
          </cell>
          <cell r="AE33" t="str">
            <v>NF</v>
          </cell>
          <cell r="AF33" t="str">
            <v>1</v>
          </cell>
          <cell r="AH33" t="str">
            <v>n</v>
          </cell>
          <cell r="AO33" t="str">
            <v>n</v>
          </cell>
        </row>
        <row r="34">
          <cell r="AC34">
            <v>64</v>
          </cell>
          <cell r="AD34">
            <v>120</v>
          </cell>
          <cell r="AE34" t="str">
            <v>NF</v>
          </cell>
          <cell r="AF34" t="str">
            <v>1</v>
          </cell>
          <cell r="AH34" t="str">
            <v>n</v>
          </cell>
          <cell r="AO34" t="str">
            <v>n</v>
          </cell>
        </row>
        <row r="35">
          <cell r="AC35">
            <v>65</v>
          </cell>
          <cell r="AD35">
            <v>121</v>
          </cell>
          <cell r="AE35" t="str">
            <v>NF</v>
          </cell>
          <cell r="AF35" t="str">
            <v>1</v>
          </cell>
          <cell r="AH35" t="str">
            <v>n</v>
          </cell>
          <cell r="AO35" t="str">
            <v>n</v>
          </cell>
        </row>
        <row r="36">
          <cell r="AC36">
            <v>66</v>
          </cell>
          <cell r="AD36">
            <v>118</v>
          </cell>
          <cell r="AE36" t="str">
            <v>NF</v>
          </cell>
          <cell r="AF36" t="str">
            <v>1</v>
          </cell>
          <cell r="AH36" t="str">
            <v>0</v>
          </cell>
          <cell r="AO36" t="str">
            <v>0</v>
          </cell>
        </row>
        <row r="37">
          <cell r="AC37">
            <v>67</v>
          </cell>
          <cell r="AD37">
            <v>129</v>
          </cell>
          <cell r="AE37" t="str">
            <v>NF</v>
          </cell>
          <cell r="AF37" t="str">
            <v>1</v>
          </cell>
          <cell r="AH37" t="str">
            <v>n</v>
          </cell>
          <cell r="AJ37" t="str">
            <v>Agency BS and landfill</v>
          </cell>
          <cell r="AO37" t="str">
            <v>n</v>
          </cell>
        </row>
        <row r="38">
          <cell r="AC38">
            <v>68</v>
          </cell>
          <cell r="AD38">
            <v>128</v>
          </cell>
          <cell r="AE38" t="str">
            <v>NF</v>
          </cell>
          <cell r="AF38" t="str">
            <v>1</v>
          </cell>
          <cell r="AH38" t="str">
            <v>y</v>
          </cell>
          <cell r="AO38" t="str">
            <v>y</v>
          </cell>
        </row>
        <row r="39">
          <cell r="AC39">
            <v>71</v>
          </cell>
          <cell r="AD39">
            <v>130</v>
          </cell>
          <cell r="AE39" t="str">
            <v>NF</v>
          </cell>
          <cell r="AF39" t="str">
            <v>1</v>
          </cell>
          <cell r="AH39" t="str">
            <v>N</v>
          </cell>
          <cell r="AO39" t="str">
            <v>N</v>
          </cell>
        </row>
        <row r="40">
          <cell r="AC40">
            <v>79</v>
          </cell>
          <cell r="AD40">
            <v>62</v>
          </cell>
          <cell r="AE40" t="str">
            <v>EFWS</v>
          </cell>
          <cell r="AF40" t="str">
            <v>1</v>
          </cell>
          <cell r="AH40" t="str">
            <v>n</v>
          </cell>
          <cell r="AO40" t="str">
            <v>n</v>
          </cell>
        </row>
        <row r="41">
          <cell r="AC41">
            <v>80</v>
          </cell>
          <cell r="AD41">
            <v>52</v>
          </cell>
          <cell r="AE41" t="str">
            <v>EFWS</v>
          </cell>
          <cell r="AF41" t="str">
            <v>2</v>
          </cell>
          <cell r="AH41" t="str">
            <v>+1161540+463875</v>
          </cell>
          <cell r="AI41">
            <v>1625415</v>
          </cell>
          <cell r="AN41">
            <v>1625415</v>
          </cell>
          <cell r="AO41" t="str">
            <v>+1161540+463875</v>
          </cell>
        </row>
        <row r="42">
          <cell r="AC42">
            <v>81</v>
          </cell>
          <cell r="AD42">
            <v>53</v>
          </cell>
          <cell r="AE42" t="str">
            <v>EFWS</v>
          </cell>
          <cell r="AF42" t="str">
            <v>2</v>
          </cell>
          <cell r="AH42" t="str">
            <v>+142450+98278</v>
          </cell>
          <cell r="AI42">
            <v>240728</v>
          </cell>
          <cell r="AN42">
            <v>240728</v>
          </cell>
          <cell r="AO42" t="str">
            <v>+142450+98278</v>
          </cell>
        </row>
        <row r="43">
          <cell r="AC43">
            <v>82</v>
          </cell>
          <cell r="AD43">
            <v>103</v>
          </cell>
          <cell r="AE43" t="str">
            <v>EFWS</v>
          </cell>
          <cell r="AF43" t="str">
            <v>2</v>
          </cell>
          <cell r="AH43" t="str">
            <v>+1305696+3519615</v>
          </cell>
          <cell r="AI43">
            <v>4825311</v>
          </cell>
          <cell r="AN43">
            <v>4825311</v>
          </cell>
          <cell r="AO43" t="str">
            <v>+1305696+3519615</v>
          </cell>
        </row>
        <row r="44">
          <cell r="AC44">
            <v>83</v>
          </cell>
          <cell r="AD44">
            <v>61</v>
          </cell>
          <cell r="AE44" t="str">
            <v>EFWS</v>
          </cell>
          <cell r="AF44" t="str">
            <v>2</v>
          </cell>
          <cell r="AH44" t="str">
            <v>+8492177+1055841</v>
          </cell>
          <cell r="AI44">
            <v>9548018</v>
          </cell>
          <cell r="AN44">
            <v>9548018</v>
          </cell>
          <cell r="AO44" t="str">
            <v>+8492177+1055841</v>
          </cell>
        </row>
        <row r="45">
          <cell r="AC45">
            <v>84</v>
          </cell>
          <cell r="AD45">
            <v>69</v>
          </cell>
          <cell r="AE45" t="str">
            <v>EFWS</v>
          </cell>
          <cell r="AF45" t="str">
            <v>2</v>
          </cell>
          <cell r="AH45" t="str">
            <v>+2144006</v>
          </cell>
          <cell r="AI45">
            <v>2144006</v>
          </cell>
          <cell r="AN45">
            <v>2144006</v>
          </cell>
          <cell r="AO45" t="str">
            <v>+2144006</v>
          </cell>
        </row>
        <row r="46">
          <cell r="AC46">
            <v>85</v>
          </cell>
          <cell r="AD46">
            <v>71</v>
          </cell>
          <cell r="AE46" t="str">
            <v>EFWS</v>
          </cell>
          <cell r="AF46" t="str">
            <v>2</v>
          </cell>
          <cell r="AH46" t="str">
            <v>+951793+864576</v>
          </cell>
          <cell r="AI46">
            <v>1816369</v>
          </cell>
          <cell r="AN46">
            <v>1816369</v>
          </cell>
          <cell r="AO46" t="str">
            <v>+951793+864576</v>
          </cell>
        </row>
        <row r="47">
          <cell r="AC47">
            <v>88</v>
          </cell>
          <cell r="AD47">
            <v>68</v>
          </cell>
          <cell r="AE47" t="str">
            <v>EFWS</v>
          </cell>
          <cell r="AF47" t="str">
            <v>2</v>
          </cell>
          <cell r="AH47" t="str">
            <v>+1031335+1112671</v>
          </cell>
          <cell r="AI47">
            <v>2144006</v>
          </cell>
          <cell r="AN47">
            <v>2144006</v>
          </cell>
          <cell r="AO47" t="str">
            <v>+1031335+1112671</v>
          </cell>
        </row>
        <row r="48">
          <cell r="AC48">
            <v>89</v>
          </cell>
          <cell r="AD48">
            <v>72</v>
          </cell>
          <cell r="AE48" t="str">
            <v>EFWS</v>
          </cell>
          <cell r="AF48" t="str">
            <v>2</v>
          </cell>
          <cell r="AH48" t="str">
            <v>+56725</v>
          </cell>
          <cell r="AI48">
            <v>56725</v>
          </cell>
          <cell r="AN48">
            <v>56725</v>
          </cell>
          <cell r="AO48" t="str">
            <v>+56725</v>
          </cell>
        </row>
        <row r="49">
          <cell r="AC49">
            <v>102</v>
          </cell>
          <cell r="AD49">
            <v>116</v>
          </cell>
          <cell r="AE49" t="str">
            <v>NF</v>
          </cell>
          <cell r="AF49" t="str">
            <v>2</v>
          </cell>
          <cell r="AH49" t="str">
            <v>+96.69</v>
          </cell>
          <cell r="AI49">
            <v>96.69</v>
          </cell>
          <cell r="AN49">
            <v>96.69</v>
          </cell>
          <cell r="AO49" t="str">
            <v>+96.69</v>
          </cell>
        </row>
        <row r="50">
          <cell r="AC50">
            <v>103</v>
          </cell>
          <cell r="AD50">
            <v>117</v>
          </cell>
          <cell r="AE50" t="str">
            <v>NF</v>
          </cell>
          <cell r="AF50" t="str">
            <v>2</v>
          </cell>
          <cell r="AH50" t="str">
            <v>+89.37</v>
          </cell>
          <cell r="AI50">
            <v>89.37</v>
          </cell>
          <cell r="AN50">
            <v>89.37</v>
          </cell>
          <cell r="AO50" t="str">
            <v>+89.37</v>
          </cell>
        </row>
        <row r="51">
          <cell r="AC51">
            <v>147</v>
          </cell>
          <cell r="AD51">
            <v>111</v>
          </cell>
          <cell r="AE51" t="str">
            <v>GF</v>
          </cell>
          <cell r="AF51" t="str">
            <v>2</v>
          </cell>
          <cell r="AH51" t="str">
            <v>+5000000</v>
          </cell>
          <cell r="AI51">
            <v>5000000</v>
          </cell>
          <cell r="AN51">
            <v>5000000</v>
          </cell>
          <cell r="AO51" t="str">
            <v>+5000000</v>
          </cell>
        </row>
        <row r="52">
          <cell r="AC52">
            <v>148</v>
          </cell>
          <cell r="AD52">
            <v>112</v>
          </cell>
          <cell r="AE52" t="str">
            <v>GF</v>
          </cell>
          <cell r="AF52" t="str">
            <v>2</v>
          </cell>
          <cell r="AH52" t="str">
            <v>+150000</v>
          </cell>
          <cell r="AI52">
            <v>150000</v>
          </cell>
          <cell r="AN52">
            <v>150000</v>
          </cell>
          <cell r="AO52" t="str">
            <v>+150000</v>
          </cell>
        </row>
        <row r="53">
          <cell r="AC53">
            <v>171</v>
          </cell>
          <cell r="AD53">
            <v>45</v>
          </cell>
          <cell r="AE53" t="str">
            <v>GF</v>
          </cell>
          <cell r="AF53" t="str">
            <v>2</v>
          </cell>
          <cell r="AH53" t="str">
            <v>+1379392+435435</v>
          </cell>
          <cell r="AI53">
            <v>1814827</v>
          </cell>
          <cell r="AN53">
            <v>1814827</v>
          </cell>
          <cell r="AO53" t="str">
            <v>+1379392+435435</v>
          </cell>
        </row>
        <row r="54">
          <cell r="AC54">
            <v>191</v>
          </cell>
          <cell r="AD54">
            <v>75</v>
          </cell>
          <cell r="AE54" t="str">
            <v>EFWS</v>
          </cell>
          <cell r="AF54" t="str">
            <v>2</v>
          </cell>
          <cell r="AH54" t="str">
            <v>+866550</v>
          </cell>
          <cell r="AI54">
            <v>866550</v>
          </cell>
          <cell r="AN54">
            <v>866550</v>
          </cell>
          <cell r="AO54" t="str">
            <v>+866550</v>
          </cell>
        </row>
        <row r="55">
          <cell r="AC55">
            <v>231</v>
          </cell>
          <cell r="AD55">
            <v>25</v>
          </cell>
          <cell r="AE55" t="str">
            <v>GF</v>
          </cell>
          <cell r="AF55" t="str">
            <v>2</v>
          </cell>
          <cell r="AH55" t="str">
            <v>+7033772</v>
          </cell>
          <cell r="AI55">
            <v>7033772</v>
          </cell>
          <cell r="AN55">
            <v>7033772</v>
          </cell>
          <cell r="AO55" t="str">
            <v>+7033772</v>
          </cell>
        </row>
        <row r="56">
          <cell r="AC56">
            <v>251</v>
          </cell>
          <cell r="AD56">
            <v>1</v>
          </cell>
          <cell r="AE56" t="str">
            <v>NF</v>
          </cell>
          <cell r="AF56" t="str">
            <v>2</v>
          </cell>
          <cell r="AH56" t="str">
            <v>+11695331</v>
          </cell>
          <cell r="AI56">
            <v>11695331</v>
          </cell>
          <cell r="AJ56" t="str">
            <v>no Agency funds in statements but notes indicate they exist</v>
          </cell>
          <cell r="AN56">
            <v>11695331</v>
          </cell>
          <cell r="AO56" t="str">
            <v>+11695331</v>
          </cell>
        </row>
        <row r="57">
          <cell r="AC57">
            <v>252</v>
          </cell>
          <cell r="AD57">
            <v>7</v>
          </cell>
          <cell r="AE57" t="str">
            <v>GF</v>
          </cell>
          <cell r="AF57" t="str">
            <v>2</v>
          </cell>
          <cell r="AH57" t="str">
            <v>+7724295</v>
          </cell>
          <cell r="AI57">
            <v>7724295</v>
          </cell>
          <cell r="AN57">
            <v>7724295</v>
          </cell>
          <cell r="AO57" t="str">
            <v>+7724295</v>
          </cell>
        </row>
        <row r="58">
          <cell r="AC58">
            <v>253</v>
          </cell>
          <cell r="AD58">
            <v>8</v>
          </cell>
          <cell r="AE58" t="str">
            <v>GF</v>
          </cell>
          <cell r="AF58" t="str">
            <v>2</v>
          </cell>
          <cell r="AH58" t="str">
            <v>+1653914+9454+26522</v>
          </cell>
          <cell r="AI58">
            <v>1689890</v>
          </cell>
          <cell r="AN58">
            <v>1689890</v>
          </cell>
          <cell r="AO58" t="str">
            <v>+1653914+9454+26522</v>
          </cell>
        </row>
        <row r="59">
          <cell r="AC59">
            <v>254</v>
          </cell>
          <cell r="AD59">
            <v>9</v>
          </cell>
          <cell r="AE59" t="str">
            <v>GF</v>
          </cell>
          <cell r="AF59" t="str">
            <v>2</v>
          </cell>
          <cell r="AH59" t="str">
            <v>-1815315</v>
          </cell>
          <cell r="AI59">
            <v>-1815315</v>
          </cell>
          <cell r="AN59">
            <v>-1815315</v>
          </cell>
          <cell r="AO59" t="str">
            <v>-1815315</v>
          </cell>
        </row>
        <row r="60">
          <cell r="AC60">
            <v>255</v>
          </cell>
          <cell r="AD60">
            <v>20</v>
          </cell>
          <cell r="AE60" t="str">
            <v>GF</v>
          </cell>
          <cell r="AF60" t="str">
            <v>2</v>
          </cell>
          <cell r="AH60" t="str">
            <v>+2231384</v>
          </cell>
          <cell r="AI60">
            <v>2231384</v>
          </cell>
          <cell r="AN60">
            <v>2231384</v>
          </cell>
          <cell r="AO60" t="str">
            <v>+2231384</v>
          </cell>
        </row>
        <row r="61">
          <cell r="AC61">
            <v>258</v>
          </cell>
          <cell r="AD61">
            <v>10</v>
          </cell>
          <cell r="AE61" t="str">
            <v>NF</v>
          </cell>
          <cell r="AF61" t="str">
            <v>2</v>
          </cell>
          <cell r="AH61" t="str">
            <v>+9576154</v>
          </cell>
          <cell r="AI61">
            <v>9576154</v>
          </cell>
          <cell r="AN61">
            <v>9576154</v>
          </cell>
          <cell r="AO61" t="str">
            <v>+9576154</v>
          </cell>
        </row>
        <row r="62">
          <cell r="AC62">
            <v>259</v>
          </cell>
          <cell r="AD62">
            <v>11</v>
          </cell>
          <cell r="AE62" t="str">
            <v>NF</v>
          </cell>
          <cell r="AF62" t="str">
            <v>2</v>
          </cell>
          <cell r="AH62" t="str">
            <v>+0</v>
          </cell>
          <cell r="AI62">
            <v>0</v>
          </cell>
          <cell r="AN62">
            <v>0</v>
          </cell>
          <cell r="AO62" t="str">
            <v>+0</v>
          </cell>
        </row>
        <row r="63">
          <cell r="AC63">
            <v>260</v>
          </cell>
          <cell r="AD63">
            <v>12</v>
          </cell>
          <cell r="AE63" t="str">
            <v>NF</v>
          </cell>
          <cell r="AF63" t="str">
            <v>2</v>
          </cell>
          <cell r="AH63" t="str">
            <v>-432885</v>
          </cell>
          <cell r="AI63">
            <v>-432885</v>
          </cell>
          <cell r="AN63">
            <v>-432885</v>
          </cell>
          <cell r="AO63" t="str">
            <v>-432885</v>
          </cell>
        </row>
        <row r="64">
          <cell r="AC64">
            <v>261</v>
          </cell>
          <cell r="AD64">
            <v>23</v>
          </cell>
          <cell r="AE64" t="str">
            <v>NF</v>
          </cell>
          <cell r="AF64" t="str">
            <v>2</v>
          </cell>
          <cell r="AH64" t="str">
            <v>+924370</v>
          </cell>
          <cell r="AI64">
            <v>924370</v>
          </cell>
          <cell r="AN64">
            <v>924370</v>
          </cell>
          <cell r="AO64" t="str">
            <v>+924370</v>
          </cell>
        </row>
        <row r="65">
          <cell r="AC65">
            <v>264</v>
          </cell>
          <cell r="AD65">
            <v>47</v>
          </cell>
          <cell r="AE65" t="str">
            <v>GF</v>
          </cell>
          <cell r="AF65" t="str">
            <v>1</v>
          </cell>
          <cell r="AH65" t="str">
            <v>n</v>
          </cell>
          <cell r="AO65" t="str">
            <v>n</v>
          </cell>
        </row>
        <row r="66">
          <cell r="AC66">
            <v>273</v>
          </cell>
          <cell r="AD66">
            <v>48</v>
          </cell>
          <cell r="AE66" t="str">
            <v>GF</v>
          </cell>
          <cell r="AF66" t="str">
            <v>1</v>
          </cell>
          <cell r="AH66" t="str">
            <v>n</v>
          </cell>
          <cell r="AO66" t="str">
            <v>n</v>
          </cell>
        </row>
        <row r="67">
          <cell r="AC67">
            <v>318</v>
          </cell>
          <cell r="AD67">
            <v>126</v>
          </cell>
          <cell r="AE67" t="str">
            <v>NF</v>
          </cell>
          <cell r="AF67" t="str">
            <v>1</v>
          </cell>
          <cell r="AH67" t="str">
            <v>n</v>
          </cell>
          <cell r="AO67" t="str">
            <v>n</v>
          </cell>
        </row>
        <row r="68">
          <cell r="AC68">
            <v>320</v>
          </cell>
          <cell r="AD68">
            <v>106</v>
          </cell>
          <cell r="AE68" t="str">
            <v>NF</v>
          </cell>
          <cell r="AF68" t="str">
            <v>2</v>
          </cell>
          <cell r="AH68" t="str">
            <v>+2156883</v>
          </cell>
          <cell r="AI68">
            <v>2156883</v>
          </cell>
          <cell r="AN68">
            <v>2156883</v>
          </cell>
          <cell r="AO68" t="str">
            <v>+2156883</v>
          </cell>
        </row>
        <row r="69">
          <cell r="AC69">
            <v>321</v>
          </cell>
          <cell r="AD69">
            <v>105</v>
          </cell>
          <cell r="AE69" t="str">
            <v>NF</v>
          </cell>
          <cell r="AF69" t="str">
            <v>2</v>
          </cell>
          <cell r="AH69" t="str">
            <v>+1144567</v>
          </cell>
          <cell r="AI69">
            <v>1144567</v>
          </cell>
          <cell r="AN69">
            <v>1144567</v>
          </cell>
          <cell r="AO69" t="str">
            <v>+1144567</v>
          </cell>
        </row>
        <row r="70">
          <cell r="AC70">
            <v>322</v>
          </cell>
          <cell r="AD70">
            <v>108</v>
          </cell>
          <cell r="AE70" t="str">
            <v>NF</v>
          </cell>
          <cell r="AF70" t="str">
            <v>2</v>
          </cell>
          <cell r="AH70" t="str">
            <v>+9133405</v>
          </cell>
          <cell r="AI70">
            <v>9133405</v>
          </cell>
          <cell r="AN70">
            <v>9133405</v>
          </cell>
          <cell r="AO70" t="str">
            <v>+9133405</v>
          </cell>
        </row>
        <row r="71">
          <cell r="AC71">
            <v>323</v>
          </cell>
          <cell r="AD71">
            <v>107</v>
          </cell>
          <cell r="AE71" t="str">
            <v>NF</v>
          </cell>
          <cell r="AF71" t="str">
            <v>2</v>
          </cell>
          <cell r="AH71" t="str">
            <v>+0</v>
          </cell>
          <cell r="AI71">
            <v>0</v>
          </cell>
          <cell r="AN71">
            <v>0</v>
          </cell>
          <cell r="AO71" t="str">
            <v>+0</v>
          </cell>
        </row>
        <row r="72">
          <cell r="AC72">
            <v>324</v>
          </cell>
          <cell r="AD72">
            <v>104</v>
          </cell>
          <cell r="AE72" t="str">
            <v>NF</v>
          </cell>
          <cell r="AF72" t="str">
            <v>2</v>
          </cell>
          <cell r="AH72" t="str">
            <v>+1144567</v>
          </cell>
          <cell r="AI72">
            <v>1144567</v>
          </cell>
          <cell r="AN72">
            <v>1144567</v>
          </cell>
          <cell r="AO72" t="str">
            <v>+1144567</v>
          </cell>
        </row>
        <row r="73">
          <cell r="AC73">
            <v>325</v>
          </cell>
          <cell r="AD73">
            <v>109</v>
          </cell>
          <cell r="AE73" t="str">
            <v>NF</v>
          </cell>
          <cell r="AF73" t="str">
            <v>2</v>
          </cell>
          <cell r="AH73" t="str">
            <v>+98.9</v>
          </cell>
          <cell r="AI73">
            <v>98.9</v>
          </cell>
          <cell r="AN73">
            <v>98.9</v>
          </cell>
          <cell r="AO73" t="str">
            <v>+98.9</v>
          </cell>
        </row>
        <row r="74">
          <cell r="AC74">
            <v>326</v>
          </cell>
          <cell r="AD74">
            <v>96</v>
          </cell>
          <cell r="AE74" t="str">
            <v>EFWS</v>
          </cell>
          <cell r="AF74" t="str">
            <v>2</v>
          </cell>
          <cell r="AH74" t="str">
            <v>+5398356+13327987-5010186</v>
          </cell>
          <cell r="AI74">
            <v>13716157</v>
          </cell>
          <cell r="AN74">
            <v>13716157</v>
          </cell>
          <cell r="AO74" t="str">
            <v>+5398356+13327987-5010186</v>
          </cell>
        </row>
        <row r="75">
          <cell r="AC75">
            <v>327</v>
          </cell>
          <cell r="AD75">
            <v>94</v>
          </cell>
          <cell r="AE75" t="str">
            <v>EFWS</v>
          </cell>
          <cell r="AF75" t="str">
            <v>2</v>
          </cell>
        </row>
        <row r="76">
          <cell r="AC76">
            <v>328</v>
          </cell>
          <cell r="AD76">
            <v>93</v>
          </cell>
          <cell r="AE76" t="str">
            <v>EFWS</v>
          </cell>
          <cell r="AF76" t="str">
            <v>2</v>
          </cell>
          <cell r="AH76" t="str">
            <v>+5398356</v>
          </cell>
          <cell r="AI76">
            <v>5398356</v>
          </cell>
          <cell r="AN76">
            <v>5398356</v>
          </cell>
          <cell r="AO76" t="str">
            <v>+5398356</v>
          </cell>
        </row>
        <row r="77">
          <cell r="AC77">
            <v>329</v>
          </cell>
          <cell r="AD77">
            <v>97</v>
          </cell>
          <cell r="AE77" t="str">
            <v>EFWS</v>
          </cell>
          <cell r="AF77" t="str">
            <v>2</v>
          </cell>
          <cell r="AH77" t="str">
            <v>+377608</v>
          </cell>
          <cell r="AI77">
            <v>377608</v>
          </cell>
          <cell r="AN77">
            <v>377608</v>
          </cell>
          <cell r="AO77" t="str">
            <v>+377608</v>
          </cell>
        </row>
        <row r="78">
          <cell r="AC78">
            <v>330</v>
          </cell>
          <cell r="AD78">
            <v>98</v>
          </cell>
          <cell r="AE78" t="str">
            <v>EFWS</v>
          </cell>
          <cell r="AF78" t="str">
            <v>2</v>
          </cell>
          <cell r="AH78" t="str">
            <v>+5010186</v>
          </cell>
          <cell r="AI78">
            <v>5010186</v>
          </cell>
          <cell r="AN78">
            <v>5010186</v>
          </cell>
          <cell r="AO78" t="str">
            <v>+5010186</v>
          </cell>
        </row>
        <row r="79">
          <cell r="AC79">
            <v>331</v>
          </cell>
          <cell r="AD79">
            <v>88</v>
          </cell>
          <cell r="AE79" t="str">
            <v>EFWS</v>
          </cell>
          <cell r="AF79" t="str">
            <v>2</v>
          </cell>
          <cell r="AH79" t="str">
            <v>+166196</v>
          </cell>
          <cell r="AI79">
            <v>166196</v>
          </cell>
          <cell r="AN79">
            <v>166196</v>
          </cell>
          <cell r="AO79" t="str">
            <v>+166196</v>
          </cell>
        </row>
        <row r="80">
          <cell r="AC80">
            <v>332</v>
          </cell>
          <cell r="AD80">
            <v>87</v>
          </cell>
          <cell r="AE80" t="str">
            <v>EFWS</v>
          </cell>
          <cell r="AF80" t="str">
            <v>2</v>
          </cell>
          <cell r="AH80" t="str">
            <v>+970926</v>
          </cell>
          <cell r="AI80">
            <v>970926</v>
          </cell>
          <cell r="AN80">
            <v>970926</v>
          </cell>
          <cell r="AO80" t="str">
            <v>+970926</v>
          </cell>
        </row>
        <row r="81">
          <cell r="AC81">
            <v>333</v>
          </cell>
          <cell r="AD81">
            <v>2</v>
          </cell>
          <cell r="AE81" t="str">
            <v>GF</v>
          </cell>
          <cell r="AF81" t="str">
            <v>2</v>
          </cell>
          <cell r="AH81" t="str">
            <v>+9924515</v>
          </cell>
          <cell r="AI81">
            <v>9924515</v>
          </cell>
          <cell r="AN81">
            <v>9924515</v>
          </cell>
          <cell r="AO81" t="str">
            <v>+9924515</v>
          </cell>
        </row>
        <row r="82">
          <cell r="AC82">
            <v>334</v>
          </cell>
          <cell r="AD82">
            <v>91</v>
          </cell>
          <cell r="AE82" t="str">
            <v>GF</v>
          </cell>
          <cell r="AF82" t="str">
            <v>2</v>
          </cell>
          <cell r="AH82" t="str">
            <v>+17006136</v>
          </cell>
          <cell r="AI82">
            <v>17006136</v>
          </cell>
          <cell r="AN82">
            <v>17006136</v>
          </cell>
          <cell r="AO82" t="str">
            <v>+17006136</v>
          </cell>
        </row>
        <row r="83">
          <cell r="AC83">
            <v>335</v>
          </cell>
          <cell r="AD83">
            <v>6</v>
          </cell>
          <cell r="AE83" t="str">
            <v>GF</v>
          </cell>
          <cell r="AF83" t="str">
            <v>2</v>
          </cell>
          <cell r="AH83" t="str">
            <v>+126854</v>
          </cell>
          <cell r="AI83">
            <v>126854</v>
          </cell>
          <cell r="AN83">
            <v>126854</v>
          </cell>
          <cell r="AO83" t="str">
            <v>+126854</v>
          </cell>
        </row>
        <row r="84">
          <cell r="AC84">
            <v>336</v>
          </cell>
          <cell r="AD84">
            <v>5</v>
          </cell>
          <cell r="AE84" t="str">
            <v>GF</v>
          </cell>
          <cell r="AF84" t="str">
            <v>2</v>
          </cell>
          <cell r="AH84" t="str">
            <v>+902188+552196+126854+1082033</v>
          </cell>
          <cell r="AI84">
            <v>2663271</v>
          </cell>
          <cell r="AN84">
            <v>2663271</v>
          </cell>
          <cell r="AO84" t="str">
            <v>+902188+552196+126854+1082033</v>
          </cell>
        </row>
        <row r="85">
          <cell r="AC85">
            <v>337</v>
          </cell>
          <cell r="AD85">
            <v>101</v>
          </cell>
          <cell r="AE85" t="str">
            <v>GF</v>
          </cell>
          <cell r="AF85" t="str">
            <v>2</v>
          </cell>
          <cell r="AH85" t="str">
            <v>+9440484</v>
          </cell>
          <cell r="AI85">
            <v>9440484</v>
          </cell>
          <cell r="AN85">
            <v>9440484</v>
          </cell>
          <cell r="AO85" t="str">
            <v>+9440484</v>
          </cell>
        </row>
        <row r="86">
          <cell r="AC86">
            <v>338</v>
          </cell>
          <cell r="AD86">
            <v>4</v>
          </cell>
          <cell r="AE86" t="str">
            <v>GF</v>
          </cell>
          <cell r="AF86" t="str">
            <v>2</v>
          </cell>
          <cell r="AH86" t="str">
            <v>+14160156</v>
          </cell>
          <cell r="AI86">
            <v>14160156</v>
          </cell>
          <cell r="AN86">
            <v>14160156</v>
          </cell>
          <cell r="AO86" t="str">
            <v>+14160156</v>
          </cell>
        </row>
        <row r="87">
          <cell r="AC87">
            <v>339</v>
          </cell>
          <cell r="AD87">
            <v>14</v>
          </cell>
          <cell r="AE87" t="str">
            <v>GF</v>
          </cell>
          <cell r="AF87" t="str">
            <v>2</v>
          </cell>
          <cell r="AH87" t="str">
            <v>+4233711</v>
          </cell>
          <cell r="AI87">
            <v>4233711</v>
          </cell>
          <cell r="AN87">
            <v>4233711</v>
          </cell>
          <cell r="AO87" t="str">
            <v>+4233711</v>
          </cell>
        </row>
        <row r="88">
          <cell r="AC88">
            <v>340</v>
          </cell>
          <cell r="AD88">
            <v>15</v>
          </cell>
          <cell r="AE88" t="str">
            <v>GF</v>
          </cell>
          <cell r="AF88" t="str">
            <v>2</v>
          </cell>
          <cell r="AH88" t="str">
            <v>+4233711+6103404</v>
          </cell>
          <cell r="AI88">
            <v>10337115</v>
          </cell>
          <cell r="AN88">
            <v>10337115</v>
          </cell>
          <cell r="AO88" t="str">
            <v>+4233711+6103404</v>
          </cell>
        </row>
        <row r="89">
          <cell r="AC89">
            <v>341</v>
          </cell>
          <cell r="AD89">
            <v>16</v>
          </cell>
          <cell r="AE89" t="str">
            <v>GF</v>
          </cell>
          <cell r="AF89" t="str">
            <v>2</v>
          </cell>
          <cell r="AH89" t="str">
            <v>+21918131+25003</v>
          </cell>
          <cell r="AI89">
            <v>21943134</v>
          </cell>
          <cell r="AN89">
            <v>21943134</v>
          </cell>
          <cell r="AO89" t="str">
            <v>+21918131+25003</v>
          </cell>
        </row>
        <row r="90">
          <cell r="AC90">
            <v>343</v>
          </cell>
          <cell r="AD90">
            <v>102</v>
          </cell>
          <cell r="AE90" t="str">
            <v>GF</v>
          </cell>
          <cell r="AF90" t="str">
            <v>2</v>
          </cell>
          <cell r="AH90" t="str">
            <v>+1379392</v>
          </cell>
          <cell r="AI90">
            <v>1379392</v>
          </cell>
          <cell r="AN90">
            <v>1379392</v>
          </cell>
          <cell r="AO90" t="str">
            <v>+1379392</v>
          </cell>
        </row>
        <row r="91">
          <cell r="AC91">
            <v>344</v>
          </cell>
          <cell r="AD91">
            <v>13</v>
          </cell>
          <cell r="AE91" t="str">
            <v>GF</v>
          </cell>
          <cell r="AF91" t="str">
            <v>2</v>
          </cell>
          <cell r="AH91" t="str">
            <v>+435435</v>
          </cell>
          <cell r="AI91">
            <v>435435</v>
          </cell>
          <cell r="AN91">
            <v>435435</v>
          </cell>
          <cell r="AO91" t="str">
            <v>+435435</v>
          </cell>
        </row>
        <row r="92">
          <cell r="AC92">
            <v>346</v>
          </cell>
          <cell r="AD92">
            <v>95</v>
          </cell>
          <cell r="AE92" t="str">
            <v>EFWS</v>
          </cell>
          <cell r="AF92" t="str">
            <v>2</v>
          </cell>
          <cell r="AH92" t="str">
            <v>+13327987</v>
          </cell>
          <cell r="AI92">
            <v>13327987</v>
          </cell>
          <cell r="AN92">
            <v>13327987</v>
          </cell>
          <cell r="AO92" t="str">
            <v>+13327987</v>
          </cell>
        </row>
        <row r="93">
          <cell r="AC93">
            <v>347</v>
          </cell>
          <cell r="AD93">
            <v>99</v>
          </cell>
          <cell r="AE93" t="str">
            <v>EFWS</v>
          </cell>
          <cell r="AF93" t="str">
            <v>2</v>
          </cell>
          <cell r="AH93" t="str">
            <v>+5010186</v>
          </cell>
          <cell r="AI93">
            <v>5010186</v>
          </cell>
          <cell r="AN93">
            <v>5010186</v>
          </cell>
          <cell r="AO93" t="str">
            <v>+5010186</v>
          </cell>
        </row>
        <row r="94">
          <cell r="AC94">
            <v>349</v>
          </cell>
          <cell r="AD94">
            <v>59</v>
          </cell>
          <cell r="AE94" t="str">
            <v>EFWS</v>
          </cell>
          <cell r="AF94" t="str">
            <v>2</v>
          </cell>
          <cell r="AH94" t="str">
            <v>+3864199+1353393</v>
          </cell>
          <cell r="AI94">
            <v>5217592</v>
          </cell>
          <cell r="AN94">
            <v>5217592</v>
          </cell>
          <cell r="AO94" t="str">
            <v>+3864199+1353393</v>
          </cell>
        </row>
        <row r="95">
          <cell r="AC95">
            <v>350</v>
          </cell>
          <cell r="AD95">
            <v>73</v>
          </cell>
          <cell r="AE95" t="str">
            <v>EFWS</v>
          </cell>
          <cell r="AF95" t="str">
            <v>2</v>
          </cell>
          <cell r="AH95" t="str">
            <v>+758+755</v>
          </cell>
          <cell r="AI95">
            <v>1513</v>
          </cell>
          <cell r="AN95">
            <v>1513</v>
          </cell>
          <cell r="AO95" t="str">
            <v>+758+755</v>
          </cell>
        </row>
        <row r="96">
          <cell r="AC96">
            <v>351</v>
          </cell>
          <cell r="AD96">
            <v>74</v>
          </cell>
          <cell r="AE96" t="str">
            <v>EFWS</v>
          </cell>
          <cell r="AF96" t="str">
            <v>2</v>
          </cell>
          <cell r="AH96" t="str">
            <v>+56725</v>
          </cell>
          <cell r="AI96">
            <v>56725</v>
          </cell>
          <cell r="AN96">
            <v>56725</v>
          </cell>
          <cell r="AO96" t="str">
            <v>+56725</v>
          </cell>
        </row>
        <row r="97">
          <cell r="AC97">
            <v>352</v>
          </cell>
          <cell r="AD97">
            <v>76</v>
          </cell>
          <cell r="AE97" t="str">
            <v>EFWS</v>
          </cell>
          <cell r="AF97" t="str">
            <v>2</v>
          </cell>
          <cell r="AH97" t="str">
            <v>+6504857</v>
          </cell>
          <cell r="AI97">
            <v>6504857</v>
          </cell>
          <cell r="AN97">
            <v>6504857</v>
          </cell>
          <cell r="AO97" t="str">
            <v>+6504857</v>
          </cell>
        </row>
        <row r="98">
          <cell r="AC98">
            <v>353</v>
          </cell>
          <cell r="AD98">
            <v>77</v>
          </cell>
          <cell r="AE98" t="str">
            <v>EFWS</v>
          </cell>
          <cell r="AF98" t="str">
            <v>2</v>
          </cell>
        </row>
        <row r="99">
          <cell r="AC99">
            <v>367</v>
          </cell>
          <cell r="AD99">
            <v>26</v>
          </cell>
          <cell r="AE99" t="str">
            <v>GF</v>
          </cell>
          <cell r="AF99" t="str">
            <v>2</v>
          </cell>
        </row>
        <row r="100">
          <cell r="AC100">
            <v>368</v>
          </cell>
          <cell r="AD100">
            <v>31</v>
          </cell>
          <cell r="AE100" t="str">
            <v>GF</v>
          </cell>
          <cell r="AF100" t="str">
            <v>2</v>
          </cell>
        </row>
        <row r="101">
          <cell r="AC101">
            <v>369</v>
          </cell>
          <cell r="AD101">
            <v>37</v>
          </cell>
          <cell r="AE101" t="str">
            <v>GF</v>
          </cell>
          <cell r="AF101" t="str">
            <v>2</v>
          </cell>
          <cell r="AH101" t="str">
            <v>+3219+5238716</v>
          </cell>
          <cell r="AI101">
            <v>5241935</v>
          </cell>
          <cell r="AN101">
            <v>5241935</v>
          </cell>
          <cell r="AO101" t="str">
            <v>+3219+5238716</v>
          </cell>
        </row>
        <row r="102">
          <cell r="AC102">
            <v>370</v>
          </cell>
          <cell r="AD102">
            <v>39</v>
          </cell>
          <cell r="AE102" t="str">
            <v>GF</v>
          </cell>
          <cell r="AF102" t="str">
            <v>2</v>
          </cell>
          <cell r="AH102" t="str">
            <v>+1379392+435435</v>
          </cell>
          <cell r="AI102">
            <v>1814827</v>
          </cell>
          <cell r="AN102">
            <v>1814827</v>
          </cell>
          <cell r="AO102" t="str">
            <v>+1379392+435435</v>
          </cell>
        </row>
        <row r="103">
          <cell r="AC103">
            <v>371</v>
          </cell>
          <cell r="AD103">
            <v>110</v>
          </cell>
          <cell r="AE103" t="str">
            <v>GF</v>
          </cell>
          <cell r="AF103" t="str">
            <v>2</v>
          </cell>
        </row>
        <row r="104">
          <cell r="AC104">
            <v>373</v>
          </cell>
          <cell r="AD104">
            <v>92</v>
          </cell>
          <cell r="AE104" t="str">
            <v>GF</v>
          </cell>
          <cell r="AF104" t="str">
            <v>2</v>
          </cell>
          <cell r="AH104" t="str">
            <v>+8218296</v>
          </cell>
          <cell r="AI104">
            <v>8218296</v>
          </cell>
          <cell r="AN104">
            <v>8218296</v>
          </cell>
          <cell r="AO104" t="str">
            <v>+8218296</v>
          </cell>
        </row>
        <row r="105">
          <cell r="AC105">
            <v>375</v>
          </cell>
          <cell r="AD105">
            <v>60</v>
          </cell>
          <cell r="AE105" t="str">
            <v>EFWS</v>
          </cell>
          <cell r="AF105" t="str">
            <v>2</v>
          </cell>
          <cell r="AH105" t="str">
            <v>+1065662+557105</v>
          </cell>
          <cell r="AI105">
            <v>1622767</v>
          </cell>
          <cell r="AN105">
            <v>1622767</v>
          </cell>
          <cell r="AO105" t="str">
            <v>+1065662+557105</v>
          </cell>
        </row>
        <row r="106">
          <cell r="AC106">
            <v>376</v>
          </cell>
          <cell r="AD106">
            <v>22</v>
          </cell>
          <cell r="AE106" t="str">
            <v>GF</v>
          </cell>
          <cell r="AF106" t="str">
            <v>2</v>
          </cell>
        </row>
        <row r="107">
          <cell r="AC107">
            <v>377</v>
          </cell>
          <cell r="AD107">
            <v>79</v>
          </cell>
          <cell r="AE107" t="str">
            <v>EFWS</v>
          </cell>
          <cell r="AF107" t="str">
            <v>2</v>
          </cell>
        </row>
        <row r="108">
          <cell r="AC108">
            <v>379</v>
          </cell>
          <cell r="AD108">
            <v>27</v>
          </cell>
          <cell r="AE108" t="str">
            <v>GF</v>
          </cell>
          <cell r="AF108" t="str">
            <v>2</v>
          </cell>
          <cell r="AH108" t="str">
            <v>+9890804</v>
          </cell>
          <cell r="AI108">
            <v>9890804</v>
          </cell>
          <cell r="AN108">
            <v>9890804</v>
          </cell>
          <cell r="AO108" t="str">
            <v>+9890804</v>
          </cell>
        </row>
        <row r="109">
          <cell r="AC109">
            <v>380</v>
          </cell>
          <cell r="AD109">
            <v>30</v>
          </cell>
          <cell r="AE109" t="str">
            <v>GF</v>
          </cell>
          <cell r="AF109" t="str">
            <v>2</v>
          </cell>
          <cell r="AH109" t="str">
            <v>+664323+60734</v>
          </cell>
          <cell r="AI109">
            <v>725057</v>
          </cell>
          <cell r="AN109">
            <v>725057</v>
          </cell>
          <cell r="AO109" t="str">
            <v>+664323+60734</v>
          </cell>
        </row>
        <row r="110">
          <cell r="AC110">
            <v>381</v>
          </cell>
          <cell r="AD110">
            <v>56</v>
          </cell>
          <cell r="AE110" t="str">
            <v>EFWS</v>
          </cell>
          <cell r="AF110" t="str">
            <v>2</v>
          </cell>
          <cell r="AH110" t="str">
            <v>+12356376+2409234</v>
          </cell>
          <cell r="AI110">
            <v>14765610</v>
          </cell>
          <cell r="AN110">
            <v>14765610</v>
          </cell>
          <cell r="AO110" t="str">
            <v>+12356376+2409234</v>
          </cell>
        </row>
        <row r="111">
          <cell r="AC111">
            <v>383</v>
          </cell>
          <cell r="AD111">
            <v>58</v>
          </cell>
          <cell r="AE111" t="str">
            <v>EFWS</v>
          </cell>
          <cell r="AF111" t="str">
            <v>2</v>
          </cell>
        </row>
        <row r="112">
          <cell r="AC112">
            <v>385</v>
          </cell>
          <cell r="AD112">
            <v>3</v>
          </cell>
          <cell r="AE112" t="str">
            <v>GF</v>
          </cell>
          <cell r="AF112" t="str">
            <v>2</v>
          </cell>
          <cell r="AH112" t="str">
            <v>+21759026</v>
          </cell>
          <cell r="AI112">
            <v>21759026</v>
          </cell>
          <cell r="AN112">
            <v>21759026</v>
          </cell>
          <cell r="AO112" t="str">
            <v>+21759026</v>
          </cell>
        </row>
        <row r="113">
          <cell r="AC113">
            <v>386</v>
          </cell>
          <cell r="AD113">
            <v>18</v>
          </cell>
          <cell r="AE113" t="str">
            <v>GF</v>
          </cell>
          <cell r="AF113" t="str">
            <v>2</v>
          </cell>
        </row>
        <row r="114">
          <cell r="AC114">
            <v>387</v>
          </cell>
          <cell r="AD114">
            <v>19</v>
          </cell>
          <cell r="AE114" t="str">
            <v>GF</v>
          </cell>
          <cell r="AF114" t="str">
            <v>2</v>
          </cell>
          <cell r="AH114" t="str">
            <v>+25003</v>
          </cell>
          <cell r="AI114">
            <v>25003</v>
          </cell>
          <cell r="AN114">
            <v>25003</v>
          </cell>
          <cell r="AO114" t="str">
            <v>+25003</v>
          </cell>
        </row>
        <row r="115">
          <cell r="AC115">
            <v>388</v>
          </cell>
          <cell r="AD115">
            <v>17</v>
          </cell>
          <cell r="AE115" t="str">
            <v>GF</v>
          </cell>
          <cell r="AF115" t="str">
            <v>2</v>
          </cell>
          <cell r="AH115" t="str">
            <v>+30023862</v>
          </cell>
          <cell r="AI115">
            <v>30023862</v>
          </cell>
          <cell r="AN115">
            <v>30023862</v>
          </cell>
          <cell r="AO115" t="str">
            <v>+30023862</v>
          </cell>
        </row>
        <row r="116">
          <cell r="AC116">
            <v>389</v>
          </cell>
          <cell r="AD116">
            <v>21</v>
          </cell>
          <cell r="AE116" t="str">
            <v>GF</v>
          </cell>
          <cell r="AF116" t="str">
            <v>2</v>
          </cell>
        </row>
        <row r="117">
          <cell r="AC117">
            <v>390</v>
          </cell>
          <cell r="AD117">
            <v>24</v>
          </cell>
          <cell r="AE117" t="str">
            <v>NF</v>
          </cell>
          <cell r="AF117" t="str">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ctreasurer.com/state-and-local-government-finance-division/local-government-commission/submitting-your-audit" TargetMode="External"/><Relationship Id="rId2" Type="http://schemas.openxmlformats.org/officeDocument/2006/relationships/hyperlink" Target="https://www.nctreasurer.com/slg/lfm/financial-analysis/Pages/Analysis-by-Population.aspx" TargetMode="External"/><Relationship Id="rId1" Type="http://schemas.openxmlformats.org/officeDocument/2006/relationships/hyperlink" Target="https://efc.sog.unc.edu/reslib/item/north-carolina-water-and-wastewater-rates-dashboar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2AB4-BA63-455C-A0A7-D68EFD5F296F}">
  <dimension ref="A1:D38"/>
  <sheetViews>
    <sheetView tabSelected="1" workbookViewId="0">
      <selection activeCell="B2" sqref="B2"/>
    </sheetView>
  </sheetViews>
  <sheetFormatPr defaultRowHeight="15" x14ac:dyDescent="0.25"/>
  <cols>
    <col min="1" max="1" width="1.7109375" style="341" customWidth="1"/>
    <col min="2" max="2" width="155" style="341" customWidth="1"/>
    <col min="3" max="4" width="9.140625" style="341" hidden="1" customWidth="1"/>
    <col min="5" max="5" width="2.28515625" style="341" customWidth="1"/>
    <col min="6" max="7" width="8.140625" style="341" customWidth="1"/>
    <col min="8" max="16384" width="9.140625" style="341"/>
  </cols>
  <sheetData>
    <row r="1" spans="2:2" ht="15.75" customHeight="1" thickBot="1" x14ac:dyDescent="0.3">
      <c r="B1" s="351"/>
    </row>
    <row r="2" spans="2:2" ht="31.5" customHeight="1" thickBot="1" x14ac:dyDescent="0.3">
      <c r="B2" s="483" t="s">
        <v>549</v>
      </c>
    </row>
    <row r="3" spans="2:2" ht="79.5" customHeight="1" x14ac:dyDescent="0.25">
      <c r="B3" s="484" t="s">
        <v>538</v>
      </c>
    </row>
    <row r="4" spans="2:2" ht="32.25" customHeight="1" x14ac:dyDescent="0.25">
      <c r="B4" s="485" t="s">
        <v>539</v>
      </c>
    </row>
    <row r="5" spans="2:2" ht="15.75" customHeight="1" x14ac:dyDescent="0.25">
      <c r="B5" s="351"/>
    </row>
    <row r="6" spans="2:2" ht="31.5" x14ac:dyDescent="0.25">
      <c r="B6" s="486" t="s">
        <v>540</v>
      </c>
    </row>
    <row r="7" spans="2:2" ht="15.75" customHeight="1" x14ac:dyDescent="0.25">
      <c r="B7" s="351"/>
    </row>
    <row r="8" spans="2:2" ht="31.5" x14ac:dyDescent="0.25">
      <c r="B8" s="486" t="s">
        <v>541</v>
      </c>
    </row>
    <row r="9" spans="2:2" x14ac:dyDescent="0.25">
      <c r="B9" s="351"/>
    </row>
    <row r="10" spans="2:2" ht="32.450000000000003" customHeight="1" x14ac:dyDescent="0.25">
      <c r="B10" s="485" t="s">
        <v>542</v>
      </c>
    </row>
    <row r="11" spans="2:2" x14ac:dyDescent="0.25">
      <c r="B11" s="351"/>
    </row>
    <row r="12" spans="2:2" ht="15.75" x14ac:dyDescent="0.25">
      <c r="B12" s="487" t="s">
        <v>543</v>
      </c>
    </row>
    <row r="13" spans="2:2" ht="15.75" x14ac:dyDescent="0.25">
      <c r="B13" s="487"/>
    </row>
    <row r="14" spans="2:2" ht="31.5" x14ac:dyDescent="0.25">
      <c r="B14" s="488" t="s">
        <v>553</v>
      </c>
    </row>
    <row r="15" spans="2:2" ht="9" customHeight="1" x14ac:dyDescent="0.25">
      <c r="B15" s="351"/>
    </row>
    <row r="16" spans="2:2" ht="60" customHeight="1" x14ac:dyDescent="0.25">
      <c r="B16" s="488" t="s">
        <v>558</v>
      </c>
    </row>
    <row r="17" spans="1:4" ht="15" customHeight="1" x14ac:dyDescent="0.25">
      <c r="B17" s="541" t="s">
        <v>559</v>
      </c>
    </row>
    <row r="18" spans="1:4" ht="12.75" customHeight="1" x14ac:dyDescent="0.25">
      <c r="B18" s="351"/>
    </row>
    <row r="19" spans="1:4" ht="32.450000000000003" customHeight="1" x14ac:dyDescent="0.25">
      <c r="B19" s="493" t="s">
        <v>545</v>
      </c>
    </row>
    <row r="20" spans="1:4" ht="63" x14ac:dyDescent="0.25">
      <c r="B20" s="486" t="s">
        <v>546</v>
      </c>
    </row>
    <row r="21" spans="1:4" ht="15.75" customHeight="1" x14ac:dyDescent="0.25">
      <c r="B21" s="351"/>
    </row>
    <row r="22" spans="1:4" ht="66" customHeight="1" x14ac:dyDescent="0.25">
      <c r="B22" s="486" t="s">
        <v>404</v>
      </c>
    </row>
    <row r="23" spans="1:4" ht="15.75" customHeight="1" x14ac:dyDescent="0.25">
      <c r="B23" s="351"/>
    </row>
    <row r="24" spans="1:4" ht="67.5" customHeight="1" x14ac:dyDescent="0.25">
      <c r="B24" s="486" t="s">
        <v>547</v>
      </c>
    </row>
    <row r="25" spans="1:4" ht="15.75" customHeight="1" x14ac:dyDescent="0.25">
      <c r="B25" s="486"/>
    </row>
    <row r="26" spans="1:4" ht="32.450000000000003" customHeight="1" x14ac:dyDescent="0.25">
      <c r="B26" s="489" t="s">
        <v>544</v>
      </c>
    </row>
    <row r="27" spans="1:4" ht="15.75" customHeight="1" x14ac:dyDescent="0.25">
      <c r="A27" s="351"/>
      <c r="B27" s="351"/>
      <c r="C27" s="351"/>
      <c r="D27" s="351"/>
    </row>
    <row r="28" spans="1:4" x14ac:dyDescent="0.25">
      <c r="B28" s="490" t="s">
        <v>10</v>
      </c>
    </row>
    <row r="29" spans="1:4" x14ac:dyDescent="0.25">
      <c r="B29" s="491" t="s">
        <v>403</v>
      </c>
    </row>
    <row r="30" spans="1:4" ht="15.75" customHeight="1" x14ac:dyDescent="0.25">
      <c r="B30" s="351"/>
    </row>
    <row r="31" spans="1:4" x14ac:dyDescent="0.25">
      <c r="B31" s="490" t="s">
        <v>11</v>
      </c>
    </row>
    <row r="32" spans="1:4" x14ac:dyDescent="0.25">
      <c r="B32" s="492" t="s">
        <v>328</v>
      </c>
    </row>
    <row r="33" spans="2:2" ht="15.75" customHeight="1" x14ac:dyDescent="0.25">
      <c r="B33" s="351"/>
    </row>
    <row r="34" spans="2:2" ht="21.75" customHeight="1" x14ac:dyDescent="0.25">
      <c r="B34" s="494" t="s">
        <v>548</v>
      </c>
    </row>
    <row r="36" spans="2:2" ht="15.75" x14ac:dyDescent="0.25">
      <c r="B36" s="317"/>
    </row>
    <row r="37" spans="2:2" ht="15.75" x14ac:dyDescent="0.25">
      <c r="B37" s="317"/>
    </row>
    <row r="38" spans="2:2" ht="15.75" x14ac:dyDescent="0.25">
      <c r="B38" s="317"/>
    </row>
  </sheetData>
  <sheetProtection algorithmName="SHA-512" hashValue="sNL1TM3q7f1MNIcUGKk1Gujen0AnkkjzlOhkt+gx1XH5Ins1E10zPLvpFLSs+t/JI08kEWqkc+TnRX563f3fDQ==" saltValue="NKq0+IbT1CvAYk1D/TaHAA==" spinCount="100000" sheet="1" formatCells="0" formatColumns="0" formatRows="0"/>
  <hyperlinks>
    <hyperlink ref="B29" r:id="rId1" xr:uid="{55A7412E-AD8C-4F44-981A-4A022157F8AF}"/>
    <hyperlink ref="B32" r:id="rId2" xr:uid="{8137582A-61E7-4C02-8D7B-613D1AA60120}"/>
    <hyperlink ref="B17" r:id="rId3" xr:uid="{084B86ED-3754-469D-A6C7-4FDD1C28E23A}"/>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20"/>
  <sheetViews>
    <sheetView zoomScaleNormal="100" workbookViewId="0">
      <pane ySplit="5" topLeftCell="A6" activePane="bottomLeft" state="frozen"/>
      <selection activeCell="K25" sqref="K25"/>
      <selection pane="bottomLeft" activeCell="D2" sqref="D2"/>
    </sheetView>
  </sheetViews>
  <sheetFormatPr defaultColWidth="9.140625" defaultRowHeight="15" x14ac:dyDescent="0.25"/>
  <cols>
    <col min="1" max="1" width="5.85546875" style="23" customWidth="1"/>
    <col min="2" max="3" width="16.140625" style="21" customWidth="1"/>
    <col min="4" max="4" width="46.28515625" style="1" customWidth="1"/>
    <col min="5" max="5" width="19.5703125" style="4" bestFit="1" customWidth="1"/>
    <col min="6" max="6" width="16.5703125" style="1" customWidth="1"/>
    <col min="7" max="7" width="23.5703125" style="10" customWidth="1"/>
    <col min="8" max="8" width="17.140625" style="3" customWidth="1"/>
    <col min="9" max="9" width="25" style="1" customWidth="1"/>
    <col min="10" max="10" width="25" style="256" customWidth="1"/>
    <col min="11" max="11" width="38.7109375" style="159" hidden="1" customWidth="1"/>
    <col min="12" max="14" width="5.5703125" style="1" hidden="1" customWidth="1"/>
    <col min="15" max="15" width="18.85546875" style="1" customWidth="1"/>
    <col min="16" max="16384" width="9.140625" style="1"/>
  </cols>
  <sheetData>
    <row r="1" spans="1:15" ht="39.75" customHeight="1" thickBot="1" x14ac:dyDescent="0.5">
      <c r="B1" s="29" t="s">
        <v>201</v>
      </c>
      <c r="C1" s="29"/>
      <c r="D1" s="272"/>
      <c r="E1" s="214" t="s">
        <v>9</v>
      </c>
      <c r="F1" s="17">
        <v>2020</v>
      </c>
      <c r="G1" s="287" t="s">
        <v>69</v>
      </c>
      <c r="H1" s="288"/>
      <c r="J1" s="3" t="s">
        <v>554</v>
      </c>
      <c r="K1" s="256"/>
      <c r="L1" s="1" t="s">
        <v>21</v>
      </c>
      <c r="N1" s="1">
        <v>547</v>
      </c>
    </row>
    <row r="2" spans="1:15" ht="44.25" customHeight="1" thickBot="1" x14ac:dyDescent="0.4">
      <c r="B2" s="520" t="s">
        <v>178</v>
      </c>
      <c r="C2" s="521"/>
      <c r="D2" s="174"/>
      <c r="E2" s="518" t="s">
        <v>190</v>
      </c>
      <c r="F2" s="518"/>
      <c r="G2" s="519"/>
      <c r="H2" s="14"/>
      <c r="L2" s="1" t="s">
        <v>22</v>
      </c>
      <c r="N2" s="1">
        <v>1</v>
      </c>
    </row>
    <row r="3" spans="1:15" ht="19.5" thickBot="1" x14ac:dyDescent="0.35">
      <c r="B3" s="22" t="s">
        <v>0</v>
      </c>
      <c r="C3" s="104"/>
      <c r="D3" s="139" t="e">
        <f>VLOOKUP(D2, 'Unit Names'!A1:B70, 2, FALSE)</f>
        <v>#N/A</v>
      </c>
      <c r="E3" s="219"/>
      <c r="F3" s="45"/>
      <c r="G3" s="11"/>
      <c r="H3" s="14"/>
      <c r="N3" s="1">
        <v>2</v>
      </c>
    </row>
    <row r="4" spans="1:15" ht="19.5" thickBot="1" x14ac:dyDescent="0.35">
      <c r="B4" s="28" t="s">
        <v>17</v>
      </c>
      <c r="C4" s="105"/>
      <c r="D4" s="27"/>
      <c r="E4" s="27"/>
      <c r="F4" s="35"/>
      <c r="G4" s="12"/>
      <c r="H4" s="14"/>
      <c r="I4" s="16"/>
      <c r="J4" s="16"/>
      <c r="K4" s="16"/>
      <c r="L4" s="1" t="s">
        <v>519</v>
      </c>
      <c r="N4" s="159">
        <v>3</v>
      </c>
    </row>
    <row r="5" spans="1:15" ht="37.5" customHeight="1" x14ac:dyDescent="0.35">
      <c r="A5" s="24" t="s">
        <v>70</v>
      </c>
      <c r="B5" s="19" t="s">
        <v>60</v>
      </c>
      <c r="C5" s="19" t="s">
        <v>72</v>
      </c>
      <c r="D5" s="6" t="s">
        <v>1</v>
      </c>
      <c r="E5" s="220">
        <v>2019</v>
      </c>
      <c r="F5" s="101">
        <v>2020</v>
      </c>
      <c r="G5" s="13" t="s">
        <v>2</v>
      </c>
      <c r="H5" s="176" t="s">
        <v>194</v>
      </c>
      <c r="I5" s="177" t="s">
        <v>3</v>
      </c>
      <c r="J5" s="177"/>
      <c r="K5" s="177"/>
      <c r="L5" s="1" t="s">
        <v>520</v>
      </c>
      <c r="N5" s="159">
        <v>4</v>
      </c>
    </row>
    <row r="6" spans="1:15" x14ac:dyDescent="0.25">
      <c r="A6" s="25"/>
      <c r="B6" s="295" t="s">
        <v>71</v>
      </c>
      <c r="C6" s="107"/>
      <c r="D6" s="108"/>
      <c r="E6" s="221"/>
      <c r="F6" s="109"/>
      <c r="G6" s="110"/>
      <c r="H6" s="15"/>
      <c r="L6" s="1" t="s">
        <v>390</v>
      </c>
    </row>
    <row r="7" spans="1:15" s="4" customFormat="1" ht="54" customHeight="1" x14ac:dyDescent="0.25">
      <c r="A7" s="141">
        <v>333</v>
      </c>
      <c r="B7" s="128"/>
      <c r="C7" s="138" t="s">
        <v>73</v>
      </c>
      <c r="D7" s="135" t="s">
        <v>179</v>
      </c>
      <c r="E7" s="215" t="e">
        <f>HLOOKUP($D$2,'2019 Data'!$D$1:$AF$152,44,FALSE)</f>
        <v>#N/A</v>
      </c>
      <c r="F7" s="292"/>
      <c r="G7" s="8">
        <f>IF(F7&lt;0,"Note: Number is normally positive.",)</f>
        <v>0</v>
      </c>
      <c r="H7" s="18"/>
      <c r="I7" s="225"/>
      <c r="J7" s="225"/>
      <c r="K7" s="341" t="s">
        <v>285</v>
      </c>
      <c r="L7" s="4" t="s">
        <v>521</v>
      </c>
    </row>
    <row r="8" spans="1:15" s="4" customFormat="1" ht="40.5" x14ac:dyDescent="0.25">
      <c r="A8" s="141">
        <v>500</v>
      </c>
      <c r="B8" s="128"/>
      <c r="C8" s="138" t="s">
        <v>73</v>
      </c>
      <c r="D8" s="135" t="s">
        <v>74</v>
      </c>
      <c r="E8" s="215" t="e">
        <f>HLOOKUP($D$2,'2019 Data'!$D$1:$AF$152,75,FALSE)</f>
        <v>#N/A</v>
      </c>
      <c r="F8" s="292"/>
      <c r="G8" s="8">
        <f>IF(F8&lt;0,"Note: Number is normally positive.",)</f>
        <v>0</v>
      </c>
      <c r="H8" s="18"/>
      <c r="I8" s="127"/>
      <c r="J8" s="127"/>
      <c r="K8" s="341" t="s">
        <v>286</v>
      </c>
      <c r="L8" s="4" t="s">
        <v>522</v>
      </c>
    </row>
    <row r="9" spans="1:15" ht="40.5" x14ac:dyDescent="0.25">
      <c r="A9" s="141">
        <v>385</v>
      </c>
      <c r="B9" s="54" t="s">
        <v>24</v>
      </c>
      <c r="C9" s="138" t="s">
        <v>73</v>
      </c>
      <c r="D9" s="136" t="s">
        <v>75</v>
      </c>
      <c r="E9" s="215" t="e">
        <f>HLOOKUP($D$2,'2019 Data'!$D$1:$AF$152,66,FALSE)</f>
        <v>#N/A</v>
      </c>
      <c r="F9" s="292"/>
      <c r="G9" s="8">
        <f>IF((F7+F8)&gt;F9,"Error: Please review cells Account numbers (333+500)&gt;385",)</f>
        <v>0</v>
      </c>
      <c r="H9" s="15"/>
      <c r="I9" s="226"/>
      <c r="J9" s="226"/>
      <c r="K9" s="341" t="s">
        <v>287</v>
      </c>
    </row>
    <row r="10" spans="1:15" s="272" customFormat="1" ht="105" customHeight="1" x14ac:dyDescent="0.25">
      <c r="A10" s="208">
        <v>575</v>
      </c>
      <c r="B10" s="128" t="s">
        <v>26</v>
      </c>
      <c r="C10" s="138" t="s">
        <v>73</v>
      </c>
      <c r="D10" s="243" t="s">
        <v>319</v>
      </c>
      <c r="E10" s="215" t="e">
        <f>HLOOKUP($D$2,'2019 Data'!$D$1:$AF$152,125,FALSE)</f>
        <v>#N/A</v>
      </c>
      <c r="F10" s="292">
        <v>0</v>
      </c>
      <c r="G10" s="8">
        <f>IF(F10&lt;0,"Note: Number is normally positive.",)</f>
        <v>0</v>
      </c>
      <c r="H10" s="144"/>
      <c r="I10" s="227"/>
      <c r="J10" s="227"/>
      <c r="K10" s="341" t="s">
        <v>288</v>
      </c>
    </row>
    <row r="11" spans="1:15" s="272" customFormat="1" ht="105" customHeight="1" x14ac:dyDescent="0.25">
      <c r="A11" s="208">
        <v>576</v>
      </c>
      <c r="B11" s="128" t="s">
        <v>26</v>
      </c>
      <c r="C11" s="138" t="s">
        <v>73</v>
      </c>
      <c r="D11" s="243" t="s">
        <v>318</v>
      </c>
      <c r="E11" s="215" t="e">
        <f>HLOOKUP($D$2,'2019 Data'!$D$1:$AF$152,126,FALSE)</f>
        <v>#N/A</v>
      </c>
      <c r="F11" s="292"/>
      <c r="G11" s="8">
        <f>IF(F11&lt;0,"Note: Number is normally positive.",)</f>
        <v>0</v>
      </c>
      <c r="H11" s="144"/>
      <c r="I11" s="227"/>
      <c r="J11" s="227"/>
      <c r="K11" s="341" t="s">
        <v>289</v>
      </c>
    </row>
    <row r="12" spans="1:15" s="290" customFormat="1" ht="86.25" customHeight="1" x14ac:dyDescent="0.25">
      <c r="A12" s="441">
        <v>626</v>
      </c>
      <c r="B12" s="442" t="s">
        <v>524</v>
      </c>
      <c r="C12" s="443" t="s">
        <v>73</v>
      </c>
      <c r="D12" s="444" t="s">
        <v>537</v>
      </c>
      <c r="E12" s="445" t="s">
        <v>372</v>
      </c>
      <c r="F12" s="292"/>
      <c r="G12" s="8">
        <f t="shared" ref="G12" si="0">IF(F12&lt;0,"Note: Number is normally positive.",)</f>
        <v>0</v>
      </c>
      <c r="H12" s="127"/>
      <c r="I12" s="289"/>
      <c r="J12" s="289"/>
      <c r="K12" s="341" t="s">
        <v>290</v>
      </c>
      <c r="O12" s="291"/>
    </row>
    <row r="13" spans="1:15" s="290" customFormat="1" ht="105" customHeight="1" x14ac:dyDescent="0.25">
      <c r="A13" s="446">
        <v>627</v>
      </c>
      <c r="B13" s="447" t="s">
        <v>373</v>
      </c>
      <c r="C13" s="443" t="s">
        <v>73</v>
      </c>
      <c r="D13" s="444" t="s">
        <v>374</v>
      </c>
      <c r="E13" s="445" t="s">
        <v>372</v>
      </c>
      <c r="F13" s="292"/>
      <c r="G13" s="432">
        <f>IF(F13&gt;F12,"Please review account numbers 627 &gt;626",)</f>
        <v>0</v>
      </c>
      <c r="H13" s="127"/>
      <c r="I13" s="289"/>
      <c r="J13" s="289"/>
      <c r="K13" s="341" t="s">
        <v>291</v>
      </c>
      <c r="O13" s="291"/>
    </row>
    <row r="14" spans="1:15" s="290" customFormat="1" ht="117.6" customHeight="1" x14ac:dyDescent="0.25">
      <c r="A14" s="446">
        <v>628</v>
      </c>
      <c r="B14" s="447" t="s">
        <v>373</v>
      </c>
      <c r="C14" s="443" t="s">
        <v>73</v>
      </c>
      <c r="D14" s="444" t="s">
        <v>375</v>
      </c>
      <c r="E14" s="445" t="s">
        <v>372</v>
      </c>
      <c r="F14" s="292"/>
      <c r="G14" s="432">
        <f>IF(F14&gt;F12,"Please review account numbers 628 &gt; 626",)</f>
        <v>0</v>
      </c>
      <c r="H14" s="127"/>
      <c r="I14" s="289"/>
      <c r="J14" s="289"/>
      <c r="K14" s="31" t="s">
        <v>337</v>
      </c>
      <c r="O14" s="291"/>
    </row>
    <row r="15" spans="1:15" s="290" customFormat="1" ht="81" customHeight="1" x14ac:dyDescent="0.25">
      <c r="A15" s="446">
        <v>629</v>
      </c>
      <c r="B15" s="447" t="s">
        <v>373</v>
      </c>
      <c r="C15" s="443" t="s">
        <v>73</v>
      </c>
      <c r="D15" s="444" t="s">
        <v>376</v>
      </c>
      <c r="E15" s="445" t="s">
        <v>372</v>
      </c>
      <c r="F15" s="292"/>
      <c r="G15" s="432">
        <f>IF(F15&gt;F12,"Please review account numbers 629 &gt; 626",)</f>
        <v>0</v>
      </c>
      <c r="H15" s="127"/>
      <c r="I15" s="289"/>
      <c r="J15" s="289"/>
      <c r="K15" s="341" t="s">
        <v>292</v>
      </c>
      <c r="O15" s="291"/>
    </row>
    <row r="16" spans="1:15" s="290" customFormat="1" ht="89.25" customHeight="1" x14ac:dyDescent="0.25">
      <c r="A16" s="446">
        <v>630</v>
      </c>
      <c r="B16" s="447" t="s">
        <v>373</v>
      </c>
      <c r="C16" s="443" t="s">
        <v>73</v>
      </c>
      <c r="D16" s="444" t="s">
        <v>377</v>
      </c>
      <c r="E16" s="445" t="s">
        <v>372</v>
      </c>
      <c r="F16" s="292"/>
      <c r="G16" s="432">
        <f>IF(F16&gt;F12,"Please review account numbers 630 &gt; 626",)</f>
        <v>0</v>
      </c>
      <c r="H16" s="127"/>
      <c r="I16" s="289"/>
      <c r="J16" s="289"/>
      <c r="K16" s="341" t="s">
        <v>293</v>
      </c>
      <c r="O16" s="291"/>
    </row>
    <row r="17" spans="1:16" s="290" customFormat="1" ht="114.75" customHeight="1" x14ac:dyDescent="0.25">
      <c r="A17" s="446">
        <v>631</v>
      </c>
      <c r="B17" s="447" t="s">
        <v>373</v>
      </c>
      <c r="C17" s="443" t="s">
        <v>73</v>
      </c>
      <c r="D17" s="444" t="s">
        <v>378</v>
      </c>
      <c r="E17" s="445" t="s">
        <v>372</v>
      </c>
      <c r="F17" s="292"/>
      <c r="G17" s="432">
        <f>IF(F17&gt;F12,"Please review account numbers 631 &gt; 626",)</f>
        <v>0</v>
      </c>
      <c r="H17" s="127"/>
      <c r="I17" s="289"/>
      <c r="J17" s="289"/>
      <c r="K17" s="341" t="s">
        <v>294</v>
      </c>
      <c r="O17" s="291"/>
    </row>
    <row r="18" spans="1:16" ht="49.5" customHeight="1" x14ac:dyDescent="0.25">
      <c r="A18" s="141">
        <v>338</v>
      </c>
      <c r="B18" s="54"/>
      <c r="C18" s="138" t="s">
        <v>73</v>
      </c>
      <c r="D18" s="136" t="s">
        <v>76</v>
      </c>
      <c r="E18" s="215" t="e">
        <f>HLOOKUP($D$2,'2019 Data'!$D$1:$AF$152,49,FALSE)</f>
        <v>#N/A</v>
      </c>
      <c r="F18" s="292"/>
      <c r="G18" s="432">
        <f>IF(F12&gt;F18,"Error: Please review accts 626 &gt; 338",)</f>
        <v>0</v>
      </c>
      <c r="H18" s="15"/>
      <c r="I18" s="226"/>
      <c r="J18" s="226"/>
      <c r="K18" s="341" t="s">
        <v>295</v>
      </c>
    </row>
    <row r="19" spans="1:16" ht="91.5" customHeight="1" x14ac:dyDescent="0.25">
      <c r="A19" s="141">
        <v>335</v>
      </c>
      <c r="B19" s="54"/>
      <c r="C19" s="138" t="s">
        <v>73</v>
      </c>
      <c r="D19" s="123" t="s">
        <v>199</v>
      </c>
      <c r="E19" s="215" t="e">
        <f>HLOOKUP($D$2,'2019 Data'!$D$1:$AF$152,46,FALSE)</f>
        <v>#N/A</v>
      </c>
      <c r="F19" s="292"/>
      <c r="G19" s="8">
        <f>IF(F19&lt;0,"Error: Enter as positive.",)</f>
        <v>0</v>
      </c>
      <c r="H19" s="15"/>
      <c r="I19" s="228"/>
      <c r="J19" s="228"/>
      <c r="K19" s="341" t="s">
        <v>296</v>
      </c>
      <c r="L19" s="239"/>
      <c r="M19" s="239"/>
      <c r="N19" s="239"/>
      <c r="O19" s="239"/>
      <c r="P19" s="239"/>
    </row>
    <row r="20" spans="1:16" ht="54" customHeight="1" x14ac:dyDescent="0.25">
      <c r="A20" s="141">
        <v>252</v>
      </c>
      <c r="B20" s="54"/>
      <c r="C20" s="138" t="s">
        <v>73</v>
      </c>
      <c r="D20" s="136" t="s">
        <v>77</v>
      </c>
      <c r="E20" s="215" t="e">
        <f>HLOOKUP($D$2,'2019 Data'!$D$1:$AF$152,22,FALSE)</f>
        <v>#N/A</v>
      </c>
      <c r="F20" s="292"/>
      <c r="G20" s="9"/>
      <c r="H20" s="15"/>
      <c r="I20" s="31"/>
      <c r="J20" s="31"/>
      <c r="K20" s="341" t="s">
        <v>297</v>
      </c>
    </row>
    <row r="21" spans="1:16" ht="54" customHeight="1" x14ac:dyDescent="0.25">
      <c r="A21" s="141">
        <v>253</v>
      </c>
      <c r="B21" s="54"/>
      <c r="C21" s="138" t="s">
        <v>73</v>
      </c>
      <c r="D21" s="137" t="s">
        <v>78</v>
      </c>
      <c r="E21" s="215" t="e">
        <f>HLOOKUP($D$2,'2019 Data'!$D$1:$AF$152,23,FALSE)</f>
        <v>#N/A</v>
      </c>
      <c r="F21" s="292"/>
      <c r="G21" s="8"/>
      <c r="H21" s="15"/>
      <c r="I21" s="31"/>
      <c r="J21" s="31"/>
      <c r="K21" s="341" t="s">
        <v>298</v>
      </c>
    </row>
    <row r="22" spans="1:16" ht="66.75" customHeight="1" x14ac:dyDescent="0.25">
      <c r="A22" s="141">
        <v>254</v>
      </c>
      <c r="B22" s="54"/>
      <c r="C22" s="138" t="s">
        <v>73</v>
      </c>
      <c r="D22" s="137" t="s">
        <v>79</v>
      </c>
      <c r="E22" s="215" t="e">
        <f>HLOOKUP($D$2,'2019 Data'!$D$1:$AF$152,24,FALSE)</f>
        <v>#N/A</v>
      </c>
      <c r="F22" s="292"/>
      <c r="G22" s="8">
        <f>IF(F9-F18-F20-F21-F22=0,,"Error: Total assets and deferred outflows less total liabilities and deferred inflows do not equal total net position. Account numbers 385-338-252-253-254 = 0  The amount the formula is off is located in the cell to the right")</f>
        <v>0</v>
      </c>
      <c r="H22" s="144">
        <f>F9-F18-F20-F21-F22</f>
        <v>0</v>
      </c>
      <c r="I22" s="31"/>
      <c r="J22" s="31"/>
      <c r="K22" s="341" t="s">
        <v>299</v>
      </c>
    </row>
    <row r="23" spans="1:16" x14ac:dyDescent="0.25">
      <c r="A23" s="141"/>
      <c r="B23" s="134" t="s">
        <v>80</v>
      </c>
      <c r="C23" s="133"/>
      <c r="D23" s="130"/>
      <c r="E23" s="124"/>
      <c r="F23" s="421"/>
      <c r="G23" s="111"/>
      <c r="H23" s="15"/>
      <c r="I23" s="31"/>
      <c r="J23" s="31"/>
      <c r="K23" s="341" t="s">
        <v>300</v>
      </c>
    </row>
    <row r="24" spans="1:16" ht="54.75" customHeight="1" x14ac:dyDescent="0.25">
      <c r="A24" s="141">
        <v>502</v>
      </c>
      <c r="B24" s="54"/>
      <c r="C24" s="138" t="s">
        <v>83</v>
      </c>
      <c r="D24" s="135" t="s">
        <v>81</v>
      </c>
      <c r="E24" s="215" t="e">
        <f>HLOOKUP($D$2,'2019 Data'!$D$1:$AF$152,77,FALSE)</f>
        <v>#N/A</v>
      </c>
      <c r="F24" s="292"/>
      <c r="G24" s="8">
        <f>IF(F24&lt;0,"Note: Number is normally positive.",)</f>
        <v>0</v>
      </c>
      <c r="H24" s="15"/>
      <c r="I24" s="31"/>
      <c r="J24" s="31"/>
      <c r="K24" s="341" t="s">
        <v>301</v>
      </c>
    </row>
    <row r="25" spans="1:16" ht="62.25" customHeight="1" x14ac:dyDescent="0.25">
      <c r="A25" s="141">
        <v>503</v>
      </c>
      <c r="B25" s="54"/>
      <c r="C25" s="138" t="s">
        <v>83</v>
      </c>
      <c r="D25" s="137" t="s">
        <v>82</v>
      </c>
      <c r="E25" s="215" t="e">
        <f>HLOOKUP($D$2,'2019 Data'!$D$1:$AF$152,78,FALSE)</f>
        <v>#N/A</v>
      </c>
      <c r="F25" s="292"/>
      <c r="G25" s="8">
        <f>IF(F25&lt;0,"Note: Number is normally positive.",)</f>
        <v>0</v>
      </c>
      <c r="H25" s="15"/>
      <c r="I25" s="31"/>
      <c r="J25" s="31"/>
      <c r="K25" s="341" t="s">
        <v>302</v>
      </c>
    </row>
    <row r="26" spans="1:16" ht="18.75" x14ac:dyDescent="0.25">
      <c r="A26" s="141"/>
      <c r="B26" s="134" t="s">
        <v>84</v>
      </c>
      <c r="C26" s="133"/>
      <c r="D26" s="112"/>
      <c r="E26" s="124"/>
      <c r="F26" s="422"/>
      <c r="G26" s="110"/>
      <c r="H26" s="15"/>
      <c r="I26" s="31"/>
      <c r="J26" s="31"/>
      <c r="K26" s="341" t="s">
        <v>303</v>
      </c>
    </row>
    <row r="27" spans="1:16" ht="46.5" customHeight="1" x14ac:dyDescent="0.25">
      <c r="A27" s="141">
        <v>388</v>
      </c>
      <c r="B27" s="54" t="s">
        <v>24</v>
      </c>
      <c r="C27" s="132" t="s">
        <v>88</v>
      </c>
      <c r="D27" s="137" t="s">
        <v>324</v>
      </c>
      <c r="E27" s="215" t="e">
        <f>HLOOKUP($D$2,'2019 Data'!$D$1:$AF$152,69,FALSE)</f>
        <v>#N/A</v>
      </c>
      <c r="F27" s="292"/>
      <c r="G27" s="8">
        <f t="shared" ref="G27:G34" si="1">IF(F27&lt;0,"Error: Enter as positive.",)</f>
        <v>0</v>
      </c>
      <c r="H27" s="15"/>
      <c r="I27" s="31"/>
      <c r="J27" s="31"/>
      <c r="K27" s="341" t="s">
        <v>304</v>
      </c>
    </row>
    <row r="28" spans="1:16" ht="46.5" customHeight="1" x14ac:dyDescent="0.25">
      <c r="A28" s="141">
        <v>339</v>
      </c>
      <c r="B28" s="54"/>
      <c r="C28" s="132" t="s">
        <v>88</v>
      </c>
      <c r="D28" s="137" t="s">
        <v>85</v>
      </c>
      <c r="E28" s="215" t="e">
        <f>HLOOKUP($D$2,'2019 Data'!$D$1:$AF$152,50,FALSE)</f>
        <v>#N/A</v>
      </c>
      <c r="F28" s="292"/>
      <c r="G28" s="8">
        <f t="shared" si="1"/>
        <v>0</v>
      </c>
      <c r="H28" s="15"/>
      <c r="I28" s="31"/>
      <c r="J28" s="31"/>
      <c r="K28" s="341" t="s">
        <v>305</v>
      </c>
    </row>
    <row r="29" spans="1:16" ht="46.5" customHeight="1" x14ac:dyDescent="0.25">
      <c r="A29" s="141">
        <v>504</v>
      </c>
      <c r="B29" s="54"/>
      <c r="C29" s="132" t="s">
        <v>88</v>
      </c>
      <c r="D29" s="137" t="s">
        <v>86</v>
      </c>
      <c r="E29" s="215" t="e">
        <f>HLOOKUP($D$2,'2019 Data'!$D$1:$AF$152,79,FALSE)</f>
        <v>#N/A</v>
      </c>
      <c r="F29" s="292"/>
      <c r="G29" s="8">
        <f t="shared" si="1"/>
        <v>0</v>
      </c>
      <c r="H29" s="15"/>
      <c r="I29" s="31"/>
      <c r="J29" s="31"/>
      <c r="K29" s="341" t="s">
        <v>306</v>
      </c>
    </row>
    <row r="30" spans="1:16" ht="46.5" customHeight="1" x14ac:dyDescent="0.25">
      <c r="A30" s="141">
        <v>505</v>
      </c>
      <c r="B30" s="54"/>
      <c r="C30" s="132" t="s">
        <v>88</v>
      </c>
      <c r="D30" s="114" t="s">
        <v>87</v>
      </c>
      <c r="E30" s="215" t="e">
        <f>HLOOKUP($D$2,'2019 Data'!$D$1:$AF$152,80,FALSE)</f>
        <v>#N/A</v>
      </c>
      <c r="F30" s="292"/>
      <c r="G30" s="8">
        <f t="shared" si="1"/>
        <v>0</v>
      </c>
      <c r="H30" s="15"/>
      <c r="I30" s="31"/>
      <c r="J30" s="31"/>
      <c r="K30" s="341" t="s">
        <v>307</v>
      </c>
    </row>
    <row r="31" spans="1:16" ht="69.75" customHeight="1" x14ac:dyDescent="0.25">
      <c r="A31" s="141">
        <v>341</v>
      </c>
      <c r="B31" s="54"/>
      <c r="C31" s="132" t="s">
        <v>88</v>
      </c>
      <c r="D31" s="113" t="s">
        <v>183</v>
      </c>
      <c r="E31" s="215" t="e">
        <f>HLOOKUP($D$2,'2019 Data'!$D$1:$AF$152,52,FALSE)</f>
        <v>#N/A</v>
      </c>
      <c r="F31" s="292"/>
      <c r="G31" s="8">
        <f t="shared" si="1"/>
        <v>0</v>
      </c>
      <c r="H31" s="15"/>
      <c r="I31" s="31"/>
      <c r="J31" s="31"/>
      <c r="K31" s="341" t="s">
        <v>308</v>
      </c>
    </row>
    <row r="32" spans="1:16" ht="49.5" customHeight="1" x14ac:dyDescent="0.25">
      <c r="A32" s="141">
        <v>386</v>
      </c>
      <c r="B32" s="54"/>
      <c r="C32" s="132" t="s">
        <v>88</v>
      </c>
      <c r="D32" s="137" t="s">
        <v>89</v>
      </c>
      <c r="E32" s="215" t="e">
        <f>HLOOKUP($D$2,'2019 Data'!$D$1:$AF$152,67,FALSE)</f>
        <v>#N/A</v>
      </c>
      <c r="F32" s="292"/>
      <c r="G32" s="8">
        <f t="shared" si="1"/>
        <v>0</v>
      </c>
      <c r="H32" s="15"/>
      <c r="I32" s="31"/>
      <c r="J32" s="31"/>
      <c r="K32" s="341" t="s">
        <v>309</v>
      </c>
    </row>
    <row r="33" spans="1:16" ht="49.5" customHeight="1" x14ac:dyDescent="0.25">
      <c r="A33" s="141">
        <v>387</v>
      </c>
      <c r="B33" s="54" t="s">
        <v>24</v>
      </c>
      <c r="C33" s="132" t="s">
        <v>88</v>
      </c>
      <c r="D33" s="137" t="s">
        <v>90</v>
      </c>
      <c r="E33" s="215" t="e">
        <f>HLOOKUP($D$2,'2019 Data'!$D$1:$AF$152,68,FALSE)</f>
        <v>#N/A</v>
      </c>
      <c r="F33" s="292"/>
      <c r="G33" s="8">
        <f t="shared" si="1"/>
        <v>0</v>
      </c>
      <c r="H33" s="15"/>
      <c r="I33" s="31"/>
      <c r="J33" s="31"/>
      <c r="K33" s="341" t="s">
        <v>310</v>
      </c>
    </row>
    <row r="34" spans="1:16" ht="75" customHeight="1" x14ac:dyDescent="0.25">
      <c r="A34" s="141">
        <v>389</v>
      </c>
      <c r="B34" s="54" t="s">
        <v>24</v>
      </c>
      <c r="C34" s="132" t="s">
        <v>88</v>
      </c>
      <c r="D34" s="135" t="s">
        <v>110</v>
      </c>
      <c r="E34" s="215" t="e">
        <f>HLOOKUP($D$2,'2019 Data'!$D$1:$AF$152,70,FALSE)</f>
        <v>#N/A</v>
      </c>
      <c r="F34" s="292"/>
      <c r="G34" s="8">
        <f t="shared" si="1"/>
        <v>0</v>
      </c>
      <c r="H34" s="15"/>
      <c r="I34" s="31"/>
      <c r="J34" s="31"/>
      <c r="K34" s="341" t="s">
        <v>311</v>
      </c>
    </row>
    <row r="35" spans="1:16" ht="84.75" customHeight="1" x14ac:dyDescent="0.25">
      <c r="A35" s="141">
        <v>255</v>
      </c>
      <c r="B35" s="54"/>
      <c r="C35" s="132" t="s">
        <v>88</v>
      </c>
      <c r="D35" s="135" t="s">
        <v>111</v>
      </c>
      <c r="E35" s="215" t="e">
        <f>HLOOKUP($D$2,'2019 Data'!$D$1:$AF$152,25,FALSE)</f>
        <v>#N/A</v>
      </c>
      <c r="F35" s="292"/>
      <c r="G35" s="8">
        <f>IF(F28+F29+F30+F31+F32-F33+F34-F27-F35=0,,"Error: Total revenues less total expenses do not equal total change in net position. Account numbers 339+504+505+341+386-387+389-388-255 = 0  The amount the formula is off is located in the cell to the right")</f>
        <v>0</v>
      </c>
      <c r="H35" s="144">
        <f>F28+F29+F30+F31+F32-F33+F34-F27-F35</f>
        <v>0</v>
      </c>
      <c r="I35" s="31"/>
      <c r="J35" s="31"/>
      <c r="K35" s="341" t="s">
        <v>312</v>
      </c>
    </row>
    <row r="36" spans="1:16" ht="74.25" customHeight="1" x14ac:dyDescent="0.25">
      <c r="A36" s="141">
        <v>376</v>
      </c>
      <c r="B36" s="54"/>
      <c r="C36" s="132" t="s">
        <v>88</v>
      </c>
      <c r="D36" s="123" t="s">
        <v>184</v>
      </c>
      <c r="E36" s="215" t="e">
        <f>HLOOKUP($D$2,'2019 Data'!$D$1:$AF$152,63,FALSE)</f>
        <v>#N/A</v>
      </c>
      <c r="F36" s="292"/>
      <c r="G36" s="196" t="e">
        <f>IF(F20+F21+F22-F35-F36-(E20+E21+E22)=0,,"Error: Beginning Balance does not agree with our records.  Account numbers 252+253+254-255-376-(PY252+PY253+PY254)=0  The amount the formula is off is located in the cell to the right")</f>
        <v>#N/A</v>
      </c>
      <c r="H36" s="197" t="e">
        <f>F20+F21+F22-F35-F36-(E20+E21+E22)</f>
        <v>#N/A</v>
      </c>
      <c r="I36" s="31"/>
      <c r="J36" s="31"/>
      <c r="K36" s="229"/>
    </row>
    <row r="37" spans="1:16" s="224" customFormat="1" ht="18.75" x14ac:dyDescent="0.25">
      <c r="A37" s="208"/>
      <c r="B37" s="134" t="s">
        <v>320</v>
      </c>
      <c r="C37" s="133"/>
      <c r="D37" s="112"/>
      <c r="E37" s="124"/>
      <c r="F37" s="422"/>
      <c r="G37" s="110"/>
      <c r="H37" s="56"/>
      <c r="I37" s="31"/>
      <c r="J37" s="31"/>
      <c r="K37" s="229"/>
      <c r="L37" s="1"/>
      <c r="M37" s="1"/>
      <c r="N37" s="1"/>
      <c r="O37" s="1"/>
      <c r="P37" s="1"/>
    </row>
    <row r="38" spans="1:16" s="224" customFormat="1" ht="54" x14ac:dyDescent="0.25">
      <c r="A38" s="208">
        <v>591</v>
      </c>
      <c r="B38" s="244" t="s">
        <v>323</v>
      </c>
      <c r="C38" s="138" t="s">
        <v>322</v>
      </c>
      <c r="D38" s="245" t="s">
        <v>324</v>
      </c>
      <c r="E38" s="215" t="e">
        <f>HLOOKUP($D$2,'2019 Data'!$D$1:$AF$152,129,FALSE)</f>
        <v>#N/A</v>
      </c>
      <c r="F38" s="292"/>
      <c r="G38" s="9"/>
      <c r="H38" s="56"/>
      <c r="I38" s="31"/>
      <c r="J38" s="31"/>
      <c r="K38" s="260"/>
    </row>
    <row r="39" spans="1:16" s="224" customFormat="1" ht="60.75" customHeight="1" x14ac:dyDescent="0.25">
      <c r="A39" s="208">
        <v>592</v>
      </c>
      <c r="B39" s="244" t="s">
        <v>323</v>
      </c>
      <c r="C39" s="138" t="s">
        <v>321</v>
      </c>
      <c r="D39" s="137" t="s">
        <v>336</v>
      </c>
      <c r="E39" s="215" t="e">
        <f>HLOOKUP($D$2,'2019 Data'!$D$1:$AF$152,130,FALSE)</f>
        <v>#N/A</v>
      </c>
      <c r="F39" s="292"/>
      <c r="G39" s="9"/>
      <c r="H39" s="56"/>
      <c r="I39" s="31"/>
      <c r="J39" s="31"/>
      <c r="K39" s="260"/>
    </row>
    <row r="40" spans="1:16" x14ac:dyDescent="0.25">
      <c r="A40" s="142"/>
      <c r="B40" s="134" t="s">
        <v>91</v>
      </c>
      <c r="C40" s="133"/>
      <c r="D40" s="115"/>
      <c r="E40" s="124"/>
      <c r="F40" s="422"/>
      <c r="G40" s="116"/>
      <c r="H40" s="15"/>
      <c r="I40" s="31"/>
      <c r="J40" s="31"/>
      <c r="K40" s="260"/>
      <c r="L40" s="224"/>
      <c r="M40" s="224"/>
      <c r="N40" s="224"/>
      <c r="O40" s="224"/>
      <c r="P40" s="224"/>
    </row>
    <row r="41" spans="1:16" s="4" customFormat="1" ht="62.25" customHeight="1" x14ac:dyDescent="0.25">
      <c r="A41" s="141">
        <v>506</v>
      </c>
      <c r="B41" s="55"/>
      <c r="C41" s="117" t="s">
        <v>95</v>
      </c>
      <c r="D41" s="137" t="s">
        <v>180</v>
      </c>
      <c r="E41" s="215" t="e">
        <f>HLOOKUP($D$2,'2019 Data'!$D$1:$AF$152,81,FALSE)</f>
        <v>#N/A</v>
      </c>
      <c r="F41" s="292"/>
      <c r="G41" s="8">
        <f>IF(F41&lt;0,"Note: Number is normally positive.",)</f>
        <v>0</v>
      </c>
      <c r="H41" s="18"/>
      <c r="I41" s="31"/>
      <c r="J41" s="31"/>
      <c r="K41" s="229"/>
      <c r="L41" s="1"/>
      <c r="M41" s="1"/>
      <c r="N41" s="1"/>
      <c r="O41" s="1"/>
      <c r="P41" s="1"/>
    </row>
    <row r="42" spans="1:16" s="4" customFormat="1" ht="62.25" customHeight="1" x14ac:dyDescent="0.25">
      <c r="A42" s="141">
        <v>536</v>
      </c>
      <c r="B42" s="55"/>
      <c r="C42" s="117" t="s">
        <v>95</v>
      </c>
      <c r="D42" s="137" t="s">
        <v>92</v>
      </c>
      <c r="E42" s="215" t="e">
        <f>HLOOKUP($D$2,'2019 Data'!$D$1:$AF$152,111,FALSE)</f>
        <v>#N/A</v>
      </c>
      <c r="F42" s="292"/>
      <c r="G42" s="8">
        <f>IF(F42&lt;0,"Note: Number is normally positive.",)</f>
        <v>0</v>
      </c>
      <c r="H42" s="18"/>
      <c r="I42" s="225"/>
      <c r="J42" s="225"/>
      <c r="K42" s="229"/>
    </row>
    <row r="43" spans="1:16" s="4" customFormat="1" ht="62.25" customHeight="1" x14ac:dyDescent="0.25">
      <c r="A43" s="208">
        <v>586</v>
      </c>
      <c r="B43" s="55" t="s">
        <v>23</v>
      </c>
      <c r="C43" s="117" t="s">
        <v>95</v>
      </c>
      <c r="D43" s="234" t="s">
        <v>211</v>
      </c>
      <c r="E43" s="215" t="e">
        <f>HLOOKUP($D$2,'2019 Data'!$D$1:$AF$152,128,FALSE)</f>
        <v>#N/A</v>
      </c>
      <c r="F43" s="292"/>
      <c r="G43" s="8"/>
      <c r="H43" s="127"/>
      <c r="I43" s="225"/>
      <c r="J43" s="225"/>
      <c r="K43" s="159"/>
    </row>
    <row r="44" spans="1:16" ht="51" customHeight="1" x14ac:dyDescent="0.25">
      <c r="A44" s="141">
        <v>379</v>
      </c>
      <c r="B44" s="55" t="s">
        <v>24</v>
      </c>
      <c r="C44" s="117" t="s">
        <v>95</v>
      </c>
      <c r="D44" s="136" t="s">
        <v>75</v>
      </c>
      <c r="E44" s="215" t="e">
        <f>HLOOKUP($D$2,'2019 Data'!$D$1:$AF$152,64,FALSE)</f>
        <v>#N/A</v>
      </c>
      <c r="F44" s="292"/>
      <c r="G44" s="9"/>
      <c r="H44" s="15"/>
      <c r="I44" s="31"/>
      <c r="J44" s="31"/>
      <c r="L44" s="4"/>
      <c r="M44" s="4"/>
      <c r="N44" s="4"/>
      <c r="O44" s="4"/>
      <c r="P44" s="4"/>
    </row>
    <row r="45" spans="1:16" ht="83.25" customHeight="1" x14ac:dyDescent="0.25">
      <c r="A45" s="141">
        <v>4</v>
      </c>
      <c r="B45" s="55"/>
      <c r="C45" s="117" t="s">
        <v>95</v>
      </c>
      <c r="D45" s="212" t="s">
        <v>210</v>
      </c>
      <c r="E45" s="215" t="e">
        <f>HLOOKUP($D$2,'2019 Data'!$D$1:$AF$152,4,FALSE)</f>
        <v>#N/A</v>
      </c>
      <c r="F45" s="292"/>
      <c r="G45" s="8">
        <f>IF(F45&lt;0,"Error: Enter as positive.",)</f>
        <v>0</v>
      </c>
      <c r="H45" s="15"/>
      <c r="I45" s="31"/>
      <c r="J45" s="31"/>
    </row>
    <row r="46" spans="1:16" ht="114.75" customHeight="1" x14ac:dyDescent="0.25">
      <c r="A46" s="141">
        <v>5</v>
      </c>
      <c r="B46" s="55"/>
      <c r="C46" s="117" t="s">
        <v>95</v>
      </c>
      <c r="D46" s="106" t="s">
        <v>101</v>
      </c>
      <c r="E46" s="215" t="e">
        <f>HLOOKUP($D$2,'2019 Data'!$D$1:$AF$152,5,FALSE)</f>
        <v>#N/A</v>
      </c>
      <c r="F46" s="292"/>
      <c r="G46" s="8">
        <f>IF(F46&lt;0,"Error: Enter as positive.",)</f>
        <v>0</v>
      </c>
      <c r="H46" s="15"/>
      <c r="I46" s="31"/>
      <c r="J46" s="31"/>
    </row>
    <row r="47" spans="1:16" ht="93.75" customHeight="1" x14ac:dyDescent="0.25">
      <c r="A47" s="141">
        <v>380</v>
      </c>
      <c r="B47" s="55" t="s">
        <v>24</v>
      </c>
      <c r="C47" s="117" t="s">
        <v>95</v>
      </c>
      <c r="D47" s="106" t="s">
        <v>102</v>
      </c>
      <c r="E47" s="215" t="e">
        <f>HLOOKUP($D$2,'2019 Data'!$D$1:$AF$152,65,FALSE)</f>
        <v>#N/A</v>
      </c>
      <c r="F47" s="292"/>
      <c r="G47" s="8">
        <f>IF(F47&lt;0,"Error: Enter as positive.",)</f>
        <v>0</v>
      </c>
      <c r="H47" s="15"/>
      <c r="I47" s="31"/>
      <c r="J47" s="31"/>
    </row>
    <row r="48" spans="1:16" ht="54.75" customHeight="1" x14ac:dyDescent="0.25">
      <c r="A48" s="141">
        <v>391</v>
      </c>
      <c r="B48" s="55" t="s">
        <v>25</v>
      </c>
      <c r="C48" s="117" t="s">
        <v>95</v>
      </c>
      <c r="D48" s="137" t="s">
        <v>93</v>
      </c>
      <c r="E48" s="215" t="e">
        <f>HLOOKUP($D$2,'2019 Data'!$D$1:$AF$152,72,FALSE)</f>
        <v>#N/A</v>
      </c>
      <c r="F48" s="292"/>
      <c r="G48" s="8">
        <f>IF(F48&lt;0,"Error: Enter as positive.",)</f>
        <v>0</v>
      </c>
      <c r="H48" s="15"/>
      <c r="I48" s="31"/>
      <c r="J48" s="31"/>
    </row>
    <row r="49" spans="1:16" ht="54.75" customHeight="1" x14ac:dyDescent="0.25">
      <c r="A49" s="141">
        <v>7</v>
      </c>
      <c r="B49" s="55" t="s">
        <v>25</v>
      </c>
      <c r="C49" s="117" t="s">
        <v>95</v>
      </c>
      <c r="D49" s="137" t="s">
        <v>94</v>
      </c>
      <c r="E49" s="215" t="e">
        <f>HLOOKUP($D$2,'2019 Data'!$D$1:$AF$152,7,FALSE)</f>
        <v>#N/A</v>
      </c>
      <c r="F49" s="292"/>
      <c r="G49" s="8">
        <f>IF(F49&lt;0,"Error: Enter as positive.",)</f>
        <v>0</v>
      </c>
      <c r="H49" s="15"/>
      <c r="I49" s="31"/>
      <c r="J49" s="31"/>
    </row>
    <row r="50" spans="1:16" s="261" customFormat="1" ht="63" customHeight="1" x14ac:dyDescent="0.25">
      <c r="A50" s="446">
        <v>645</v>
      </c>
      <c r="B50" s="447" t="s">
        <v>373</v>
      </c>
      <c r="C50" s="452" t="s">
        <v>95</v>
      </c>
      <c r="D50" s="448" t="s">
        <v>379</v>
      </c>
      <c r="E50" s="445" t="s">
        <v>372</v>
      </c>
      <c r="F50" s="292"/>
      <c r="G50" s="8">
        <f t="shared" ref="G50:G51" si="2">IF(F50&lt;0,"Note: Number is normally positive.",)</f>
        <v>0</v>
      </c>
      <c r="H50" s="127"/>
      <c r="I50" s="225"/>
      <c r="J50" s="225"/>
      <c r="O50" s="275"/>
    </row>
    <row r="51" spans="1:16" s="261" customFormat="1" ht="63" customHeight="1" x14ac:dyDescent="0.25">
      <c r="A51" s="446">
        <v>646</v>
      </c>
      <c r="B51" s="447" t="s">
        <v>373</v>
      </c>
      <c r="C51" s="452" t="s">
        <v>95</v>
      </c>
      <c r="D51" s="448" t="s">
        <v>380</v>
      </c>
      <c r="E51" s="445" t="s">
        <v>372</v>
      </c>
      <c r="F51" s="292"/>
      <c r="G51" s="8">
        <f t="shared" si="2"/>
        <v>0</v>
      </c>
      <c r="H51" s="127"/>
      <c r="I51" s="225"/>
      <c r="J51" s="225"/>
      <c r="O51" s="275"/>
    </row>
    <row r="52" spans="1:16" ht="57" customHeight="1" x14ac:dyDescent="0.25">
      <c r="A52" s="141">
        <v>9</v>
      </c>
      <c r="B52" s="55" t="s">
        <v>24</v>
      </c>
      <c r="C52" s="117" t="s">
        <v>95</v>
      </c>
      <c r="D52" s="135" t="s">
        <v>185</v>
      </c>
      <c r="E52" s="215" t="e">
        <f>HLOOKUP($D$2,'2019 Data'!$D$1:$AF$152,8,FALSE)</f>
        <v>#N/A</v>
      </c>
      <c r="F52" s="292"/>
      <c r="G52" s="8">
        <f>IF(F44-F45-F46-F47-F52=0,,"Error: Total assets less total liabilities do not equal total fund balance. Account numbers 379-4-5-380-9= 0  The amount of the formula is in the cell to the right")</f>
        <v>0</v>
      </c>
      <c r="H52" s="144">
        <f>F44-F45-F46-F47-F52</f>
        <v>0</v>
      </c>
      <c r="I52" s="31"/>
      <c r="J52" s="31"/>
    </row>
    <row r="53" spans="1:16" x14ac:dyDescent="0.25">
      <c r="A53" s="142"/>
      <c r="B53" s="120" t="s">
        <v>99</v>
      </c>
      <c r="C53" s="121"/>
      <c r="D53" s="130"/>
      <c r="E53" s="124"/>
      <c r="F53" s="422"/>
      <c r="G53" s="110"/>
      <c r="H53" s="15"/>
      <c r="I53" s="31"/>
      <c r="J53" s="31"/>
    </row>
    <row r="54" spans="1:16" ht="50.25" customHeight="1" x14ac:dyDescent="0.25">
      <c r="A54" s="141">
        <v>16</v>
      </c>
      <c r="B54" s="54"/>
      <c r="C54" s="132" t="s">
        <v>100</v>
      </c>
      <c r="D54" s="137" t="s">
        <v>96</v>
      </c>
      <c r="E54" s="215" t="e">
        <f>HLOOKUP($D$2,'2019 Data'!$D$1:$AF$152,12,FALSE)</f>
        <v>#N/A</v>
      </c>
      <c r="F54" s="292"/>
      <c r="G54" s="8"/>
      <c r="H54" s="15"/>
      <c r="I54" s="31"/>
      <c r="J54" s="31"/>
    </row>
    <row r="55" spans="1:16" ht="62.25" customHeight="1" x14ac:dyDescent="0.25">
      <c r="A55" s="141">
        <v>532</v>
      </c>
      <c r="B55" s="54"/>
      <c r="C55" s="132" t="s">
        <v>100</v>
      </c>
      <c r="D55" s="118" t="s">
        <v>103</v>
      </c>
      <c r="E55" s="215" t="e">
        <f>HLOOKUP($D$2,'2019 Data'!$D$1:$AF$152,107,FALSE)</f>
        <v>#N/A</v>
      </c>
      <c r="F55" s="292"/>
      <c r="G55" s="8">
        <f>IF(F55&lt;0,"Error: Enter as positive.",)</f>
        <v>0</v>
      </c>
      <c r="H55" s="15"/>
      <c r="I55" s="31"/>
      <c r="J55" s="31"/>
    </row>
    <row r="56" spans="1:16" ht="51" customHeight="1" x14ac:dyDescent="0.25">
      <c r="A56" s="141">
        <v>17</v>
      </c>
      <c r="B56" s="54" t="s">
        <v>24</v>
      </c>
      <c r="C56" s="132" t="s">
        <v>100</v>
      </c>
      <c r="D56" s="137" t="s">
        <v>181</v>
      </c>
      <c r="E56" s="215" t="e">
        <f>HLOOKUP($D$2,'2019 Data'!$D$1:$AF$152,13,FALSE)</f>
        <v>#N/A</v>
      </c>
      <c r="F56" s="292"/>
      <c r="G56" s="8"/>
      <c r="H56" s="15"/>
      <c r="I56" s="31"/>
      <c r="J56" s="31"/>
    </row>
    <row r="57" spans="1:16" ht="52.5" customHeight="1" x14ac:dyDescent="0.25">
      <c r="A57" s="141">
        <v>20</v>
      </c>
      <c r="B57" s="54"/>
      <c r="C57" s="132" t="s">
        <v>100</v>
      </c>
      <c r="D57" s="137" t="s">
        <v>182</v>
      </c>
      <c r="E57" s="215" t="e">
        <f>HLOOKUP($D$2,'2019 Data'!$D$1:$AF$152,16,FALSE)</f>
        <v>#N/A</v>
      </c>
      <c r="F57" s="292"/>
      <c r="G57" s="8">
        <f>IF(F57&lt;0,"Error: Enter as positive.",)</f>
        <v>0</v>
      </c>
      <c r="H57" s="15"/>
      <c r="I57" s="31"/>
      <c r="J57" s="31"/>
    </row>
    <row r="58" spans="1:16" ht="52.5" customHeight="1" x14ac:dyDescent="0.25">
      <c r="A58" s="141">
        <v>533</v>
      </c>
      <c r="B58" s="54"/>
      <c r="C58" s="132" t="s">
        <v>100</v>
      </c>
      <c r="D58" s="119" t="s">
        <v>97</v>
      </c>
      <c r="E58" s="215" t="e">
        <f>HLOOKUP($D$2,'2019 Data'!$D$1:$AF$152,108,FALSE)</f>
        <v>#N/A</v>
      </c>
      <c r="F58" s="292"/>
      <c r="G58" s="7"/>
      <c r="H58" s="15"/>
      <c r="I58" s="31"/>
      <c r="J58" s="31"/>
      <c r="K58" s="4"/>
    </row>
    <row r="59" spans="1:16" s="4" customFormat="1" ht="52.5" customHeight="1" x14ac:dyDescent="0.25">
      <c r="A59" s="141">
        <v>508</v>
      </c>
      <c r="B59" s="54"/>
      <c r="C59" s="132" t="s">
        <v>100</v>
      </c>
      <c r="D59" s="137" t="s">
        <v>189</v>
      </c>
      <c r="E59" s="215" t="e">
        <f>HLOOKUP($D$2,'2019 Data'!$D$1:$AF$152,83,FALSE)</f>
        <v>#N/A</v>
      </c>
      <c r="F59" s="292"/>
      <c r="G59" s="8"/>
      <c r="H59" s="18"/>
      <c r="I59" s="225"/>
      <c r="J59" s="225"/>
      <c r="L59" s="1"/>
      <c r="M59" s="1"/>
      <c r="N59" s="1"/>
      <c r="O59" s="1"/>
      <c r="P59" s="1"/>
    </row>
    <row r="60" spans="1:16" s="4" customFormat="1" ht="60.75" customHeight="1" x14ac:dyDescent="0.25">
      <c r="A60" s="141">
        <v>509</v>
      </c>
      <c r="B60" s="54"/>
      <c r="C60" s="132" t="s">
        <v>100</v>
      </c>
      <c r="D60" s="137" t="s">
        <v>187</v>
      </c>
      <c r="E60" s="215" t="e">
        <f>HLOOKUP($D$2,'2019 Data'!$D$1:$AF$152,84,FALSE)</f>
        <v>#N/A</v>
      </c>
      <c r="F60" s="292"/>
      <c r="G60" s="8">
        <f>IF(F60&lt;0,"Error: Enter as positive.",)</f>
        <v>0</v>
      </c>
      <c r="H60" s="18"/>
      <c r="I60" s="225"/>
      <c r="J60" s="225"/>
      <c r="K60" s="159"/>
    </row>
    <row r="61" spans="1:16" ht="61.5" customHeight="1" x14ac:dyDescent="0.25">
      <c r="A61" s="141">
        <v>22</v>
      </c>
      <c r="B61" s="54" t="s">
        <v>24</v>
      </c>
      <c r="C61" s="132" t="s">
        <v>100</v>
      </c>
      <c r="D61" s="137" t="s">
        <v>188</v>
      </c>
      <c r="E61" s="215" t="e">
        <f>HLOOKUP($D$2,'2019 Data'!$D$1:$AF$152,18,FALSE)</f>
        <v>#N/A</v>
      </c>
      <c r="F61" s="292"/>
      <c r="G61" s="7"/>
      <c r="H61" s="15"/>
      <c r="I61" s="31"/>
      <c r="J61" s="31"/>
      <c r="L61" s="4"/>
      <c r="M61" s="4"/>
      <c r="N61" s="4"/>
      <c r="O61" s="4"/>
      <c r="P61" s="4"/>
    </row>
    <row r="62" spans="1:16" ht="75.75" customHeight="1" x14ac:dyDescent="0.25">
      <c r="A62" s="141">
        <v>23</v>
      </c>
      <c r="B62" s="54" t="s">
        <v>24</v>
      </c>
      <c r="C62" s="132" t="s">
        <v>100</v>
      </c>
      <c r="D62" s="135" t="s">
        <v>98</v>
      </c>
      <c r="E62" s="215" t="e">
        <f>HLOOKUP($D$2,'2019 Data'!$D$1:$AF$152,19,FALSE)</f>
        <v>#N/A</v>
      </c>
      <c r="F62" s="292"/>
      <c r="G62" s="8">
        <f>IF(F54-F55+F56-F57+F58+F61+F59-F60-F62=0,,"Error: Total revenues less total expenditures do not equal total change in fund balance.  Account numbers 16-532+17-20+533+22+508-509-23=0  The amount of the formula is located in the cell to the right")</f>
        <v>0</v>
      </c>
      <c r="H62" s="144">
        <f>+F54-F55+F56-F57+F58+F61+F59-F60-F62</f>
        <v>0</v>
      </c>
      <c r="I62" s="31"/>
      <c r="J62" s="31"/>
    </row>
    <row r="63" spans="1:16" ht="86.25" customHeight="1" x14ac:dyDescent="0.25">
      <c r="A63" s="141">
        <v>507</v>
      </c>
      <c r="B63" s="54" t="s">
        <v>24</v>
      </c>
      <c r="C63" s="132" t="s">
        <v>100</v>
      </c>
      <c r="D63" s="243" t="s">
        <v>331</v>
      </c>
      <c r="E63" s="215" t="e">
        <f>HLOOKUP($D$2,'2019 Data'!$D$1:$AF$152,82,FALSE)</f>
        <v>#N/A</v>
      </c>
      <c r="F63" s="292"/>
      <c r="G63" s="8" t="e">
        <f>IF(F52-F62-F63=E52,,"Error: Beginning Balance does not agree with our records.  Account numbers 9-23-507=PY9  The amount of the formula is in the cell to the right")</f>
        <v>#N/A</v>
      </c>
      <c r="H63" s="144" t="e">
        <f>+F52-F62-F63-E52</f>
        <v>#N/A</v>
      </c>
      <c r="I63" s="31"/>
      <c r="J63" s="31"/>
    </row>
    <row r="64" spans="1:16" s="261" customFormat="1" ht="81" customHeight="1" x14ac:dyDescent="0.25">
      <c r="A64" s="446">
        <v>647</v>
      </c>
      <c r="B64" s="447" t="s">
        <v>373</v>
      </c>
      <c r="C64" s="443" t="s">
        <v>381</v>
      </c>
      <c r="D64" s="448" t="s">
        <v>382</v>
      </c>
      <c r="E64" s="445" t="s">
        <v>372</v>
      </c>
      <c r="F64" s="292"/>
      <c r="G64" s="8">
        <f t="shared" ref="G64" si="3">IF(F64&lt;0,"Note: Number is normally positive.",)</f>
        <v>0</v>
      </c>
      <c r="H64" s="144"/>
      <c r="I64" s="31"/>
      <c r="J64" s="31"/>
    </row>
    <row r="65" spans="1:18" ht="18.75" x14ac:dyDescent="0.3">
      <c r="A65" s="142"/>
      <c r="B65" s="203" t="s">
        <v>202</v>
      </c>
      <c r="C65" s="121"/>
      <c r="D65" s="131"/>
      <c r="E65" s="131"/>
      <c r="F65" s="423"/>
      <c r="G65" s="122"/>
      <c r="H65" s="15"/>
      <c r="I65" s="31"/>
      <c r="J65" s="31"/>
    </row>
    <row r="66" spans="1:18" ht="63.75" customHeight="1" x14ac:dyDescent="0.25">
      <c r="A66" s="205">
        <v>534</v>
      </c>
      <c r="B66" s="128" t="s">
        <v>23</v>
      </c>
      <c r="C66" s="207" t="s">
        <v>203</v>
      </c>
      <c r="D66" s="204" t="s">
        <v>204</v>
      </c>
      <c r="E66" s="215" t="e">
        <f>HLOOKUP($D$2,'2019 Data'!$D$1:$AF$152,109,FALSE)</f>
        <v>#N/A</v>
      </c>
      <c r="F66" s="292"/>
      <c r="G66" s="143"/>
      <c r="H66" s="52"/>
      <c r="I66" s="31"/>
      <c r="J66" s="31"/>
    </row>
    <row r="67" spans="1:18" ht="81.75" customHeight="1" x14ac:dyDescent="0.25">
      <c r="A67" s="205">
        <v>13</v>
      </c>
      <c r="B67" s="128" t="s">
        <v>23</v>
      </c>
      <c r="C67" s="207" t="s">
        <v>203</v>
      </c>
      <c r="D67" s="206" t="s">
        <v>205</v>
      </c>
      <c r="E67" s="215" t="e">
        <f>HLOOKUP($D$2,'2019 Data'!$D$1:$AF$152,10,FALSE)</f>
        <v>#N/A</v>
      </c>
      <c r="F67" s="292"/>
      <c r="G67" s="7"/>
      <c r="H67" s="15"/>
      <c r="I67" s="31"/>
      <c r="J67" s="31"/>
      <c r="K67" s="5"/>
    </row>
    <row r="68" spans="1:18" s="159" customFormat="1" ht="165" customHeight="1" x14ac:dyDescent="0.25">
      <c r="A68" s="205">
        <v>14</v>
      </c>
      <c r="B68" s="128" t="s">
        <v>23</v>
      </c>
      <c r="C68" s="207" t="s">
        <v>203</v>
      </c>
      <c r="D68" s="240" t="s">
        <v>330</v>
      </c>
      <c r="E68" s="215" t="e">
        <f>HLOOKUP($D$2,'2019 Data'!$D$1:$AF$152,11,FALSE)</f>
        <v>#N/A</v>
      </c>
      <c r="F68" s="292"/>
      <c r="G68" s="8"/>
      <c r="H68" s="56"/>
      <c r="I68" s="127"/>
      <c r="J68" s="127"/>
      <c r="L68" s="1"/>
      <c r="M68" s="1"/>
      <c r="N68" s="1"/>
      <c r="O68" s="1"/>
      <c r="P68" s="1"/>
      <c r="Q68" s="4"/>
      <c r="R68" s="4"/>
    </row>
    <row r="69" spans="1:18" ht="73.5" customHeight="1" x14ac:dyDescent="0.25">
      <c r="A69" s="208">
        <v>32</v>
      </c>
      <c r="B69" s="128" t="s">
        <v>23</v>
      </c>
      <c r="C69" s="207" t="s">
        <v>206</v>
      </c>
      <c r="D69" s="210" t="s">
        <v>207</v>
      </c>
      <c r="E69" s="215" t="e">
        <f>HLOOKUP($D$2,'2019 Data'!$D$1:$AF$152,36,FALSE)</f>
        <v>#N/A</v>
      </c>
      <c r="F69" s="292"/>
      <c r="G69" s="7"/>
      <c r="H69" s="15"/>
      <c r="I69" s="31"/>
      <c r="J69" s="31"/>
      <c r="L69" s="4"/>
      <c r="M69" s="4"/>
      <c r="N69" s="4"/>
      <c r="O69" s="4"/>
      <c r="P69" s="4"/>
    </row>
    <row r="70" spans="1:18" ht="81.75" customHeight="1" x14ac:dyDescent="0.25">
      <c r="A70" s="208">
        <v>31</v>
      </c>
      <c r="B70" s="128" t="s">
        <v>23</v>
      </c>
      <c r="C70" s="207" t="s">
        <v>206</v>
      </c>
      <c r="D70" s="211" t="s">
        <v>208</v>
      </c>
      <c r="E70" s="215" t="e">
        <f>HLOOKUP($D$2,'2019 Data'!$D$1:$AF$152,34,FALSE)</f>
        <v>#N/A</v>
      </c>
      <c r="F70" s="292"/>
      <c r="G70" s="8"/>
      <c r="H70" s="15"/>
      <c r="I70" s="31"/>
      <c r="J70" s="31"/>
    </row>
    <row r="71" spans="1:18" ht="80.25" customHeight="1" x14ac:dyDescent="0.25">
      <c r="A71" s="209">
        <v>193</v>
      </c>
      <c r="B71" s="128" t="s">
        <v>23</v>
      </c>
      <c r="C71" s="207" t="s">
        <v>206</v>
      </c>
      <c r="D71" s="210" t="s">
        <v>170</v>
      </c>
      <c r="E71" s="215" t="e">
        <f>HLOOKUP($D$2,'2019 Data'!$D$1:$AF$152,15,FALSE)</f>
        <v>#N/A</v>
      </c>
      <c r="F71" s="292"/>
      <c r="G71" s="8"/>
      <c r="H71" s="15"/>
      <c r="I71" s="31"/>
      <c r="J71" s="31"/>
    </row>
    <row r="72" spans="1:18" s="159" customFormat="1" ht="45.75" customHeight="1" x14ac:dyDescent="0.25">
      <c r="A72" s="209">
        <v>33</v>
      </c>
      <c r="B72" s="128" t="s">
        <v>23</v>
      </c>
      <c r="C72" s="207" t="s">
        <v>209</v>
      </c>
      <c r="D72" s="210" t="s">
        <v>169</v>
      </c>
      <c r="E72" s="215" t="e">
        <f>HLOOKUP($D$2,'2019 Data'!$D$1:$AF$152,43,FALSE)</f>
        <v>#N/A</v>
      </c>
      <c r="F72" s="292"/>
      <c r="G72" s="8"/>
      <c r="H72" s="56"/>
      <c r="I72" s="31"/>
      <c r="J72" s="31"/>
      <c r="L72" s="1"/>
      <c r="M72" s="1"/>
      <c r="N72" s="1"/>
      <c r="O72" s="1"/>
      <c r="P72" s="1"/>
    </row>
    <row r="73" spans="1:18" ht="18.75" x14ac:dyDescent="0.25">
      <c r="A73" s="142"/>
      <c r="B73" s="120" t="s">
        <v>27</v>
      </c>
      <c r="C73" s="121"/>
      <c r="D73" s="131"/>
      <c r="E73" s="131"/>
      <c r="F73" s="267"/>
      <c r="G73" s="111"/>
      <c r="H73" s="56"/>
      <c r="I73" s="31"/>
      <c r="J73" s="31"/>
      <c r="L73" s="159"/>
      <c r="M73" s="159"/>
      <c r="N73" s="159"/>
      <c r="O73" s="159"/>
      <c r="P73" s="159"/>
    </row>
    <row r="74" spans="1:18" ht="60" x14ac:dyDescent="0.25">
      <c r="A74" s="141">
        <v>512</v>
      </c>
      <c r="B74" s="20"/>
      <c r="C74" s="125" t="s">
        <v>105</v>
      </c>
      <c r="D74" s="135" t="s">
        <v>104</v>
      </c>
      <c r="E74" s="215" t="e">
        <f>HLOOKUP($D$2,'2019 Data'!$D$1:$AF$152,87,FALSE)</f>
        <v>#N/A</v>
      </c>
      <c r="F74" s="292"/>
      <c r="G74" s="8">
        <f>IF(F74&lt;0,"Error: This number is normally positive.",)</f>
        <v>0</v>
      </c>
      <c r="H74" s="56"/>
      <c r="I74" s="31"/>
      <c r="J74" s="31"/>
    </row>
    <row r="75" spans="1:18" s="256" customFormat="1" x14ac:dyDescent="0.25">
      <c r="A75" s="208"/>
      <c r="B75" s="277" t="s">
        <v>362</v>
      </c>
      <c r="C75" s="133"/>
      <c r="D75" s="130"/>
      <c r="E75" s="126"/>
      <c r="F75" s="422"/>
      <c r="G75" s="110"/>
      <c r="H75" s="56"/>
      <c r="I75" s="31"/>
      <c r="J75" s="31"/>
    </row>
    <row r="76" spans="1:18" s="256" customFormat="1" ht="92.25" customHeight="1" x14ac:dyDescent="0.25">
      <c r="A76" s="282">
        <v>622</v>
      </c>
      <c r="B76" s="428" t="s">
        <v>323</v>
      </c>
      <c r="C76" s="282" t="s">
        <v>363</v>
      </c>
      <c r="D76" s="282" t="s">
        <v>364</v>
      </c>
      <c r="E76" s="215" t="e">
        <f>HLOOKUP($D$2,'2019 Data'!$D$1:$AF$155,151,FALSE)</f>
        <v>#N/A</v>
      </c>
      <c r="F76" s="292"/>
      <c r="H76" s="56"/>
      <c r="I76" s="31"/>
      <c r="J76" s="31"/>
    </row>
    <row r="77" spans="1:18" s="256" customFormat="1" ht="186.75" customHeight="1" x14ac:dyDescent="0.25">
      <c r="A77" s="208">
        <v>577</v>
      </c>
      <c r="B77" s="128"/>
      <c r="C77" s="128" t="s">
        <v>192</v>
      </c>
      <c r="D77" s="234" t="s">
        <v>329</v>
      </c>
      <c r="E77" s="232"/>
      <c r="F77" s="292"/>
      <c r="G77" s="233" t="str">
        <f>IF(F77="Yes","In this cell - Please briefly describe the benefit and population group that received the benefit"," ")</f>
        <v xml:space="preserve"> </v>
      </c>
      <c r="H77" s="56"/>
      <c r="I77" s="31"/>
      <c r="J77" s="31"/>
    </row>
    <row r="78" spans="1:18" x14ac:dyDescent="0.25">
      <c r="A78" s="142"/>
      <c r="B78" s="134" t="s">
        <v>4</v>
      </c>
      <c r="C78" s="133"/>
      <c r="D78" s="130"/>
      <c r="E78" s="126"/>
      <c r="F78" s="422"/>
      <c r="G78" s="110"/>
      <c r="H78" s="15"/>
      <c r="I78" s="31"/>
      <c r="J78" s="31"/>
      <c r="K78" s="4"/>
    </row>
    <row r="79" spans="1:18" s="4" customFormat="1" ht="150" customHeight="1" x14ac:dyDescent="0.25">
      <c r="A79" s="141">
        <v>547</v>
      </c>
      <c r="B79" s="128"/>
      <c r="C79" s="128" t="s">
        <v>106</v>
      </c>
      <c r="D79" s="172" t="s">
        <v>186</v>
      </c>
      <c r="E79" s="215" t="e">
        <f>HLOOKUP($D$2,'2019 Data'!$D$1:$AF$568,116,FALSE)</f>
        <v>#N/A</v>
      </c>
      <c r="F79" s="293"/>
      <c r="G79" s="145" t="str">
        <f>IF(F79&lt;1,"Please answer this question","")</f>
        <v>Please answer this question</v>
      </c>
      <c r="H79" s="127"/>
      <c r="I79" s="225"/>
      <c r="J79" s="225"/>
      <c r="K79" s="53"/>
    </row>
    <row r="80" spans="1:18" s="4" customFormat="1" ht="60" customHeight="1" x14ac:dyDescent="0.25">
      <c r="A80" s="446">
        <v>659</v>
      </c>
      <c r="B80" s="442" t="s">
        <v>23</v>
      </c>
      <c r="C80" s="442" t="s">
        <v>338</v>
      </c>
      <c r="D80" s="451" t="s">
        <v>516</v>
      </c>
      <c r="E80" s="450" t="s">
        <v>372</v>
      </c>
      <c r="F80" s="293"/>
      <c r="G80" s="145" t="str">
        <f>IF(ISBLANK(F80),"Please do not leave blank","")</f>
        <v>Please do not leave blank</v>
      </c>
      <c r="H80" s="274">
        <f>IF(F80&lt;0,"Error: Enter as positive.",)</f>
        <v>0</v>
      </c>
      <c r="I80" s="225"/>
      <c r="J80" s="225"/>
      <c r="K80" s="53"/>
    </row>
    <row r="81" spans="1:16" s="4" customFormat="1" ht="58.5" customHeight="1" x14ac:dyDescent="0.25">
      <c r="A81" s="446">
        <v>660</v>
      </c>
      <c r="B81" s="442" t="s">
        <v>23</v>
      </c>
      <c r="C81" s="442" t="s">
        <v>338</v>
      </c>
      <c r="D81" s="451" t="s">
        <v>517</v>
      </c>
      <c r="E81" s="450" t="s">
        <v>372</v>
      </c>
      <c r="F81" s="293"/>
      <c r="G81" s="145" t="str">
        <f>IF(ISBLANK(F81),"Please do not leave blank","")</f>
        <v>Please do not leave blank</v>
      </c>
      <c r="H81" s="274">
        <f>IF(F81&lt;0,"Note: Number is normally positive.",)</f>
        <v>0</v>
      </c>
      <c r="I81" s="225"/>
      <c r="J81" s="225"/>
      <c r="K81" s="53"/>
    </row>
    <row r="82" spans="1:16" s="4" customFormat="1" ht="93.75" customHeight="1" x14ac:dyDescent="0.25">
      <c r="A82" s="446">
        <v>661</v>
      </c>
      <c r="B82" s="442" t="s">
        <v>23</v>
      </c>
      <c r="C82" s="442" t="s">
        <v>341</v>
      </c>
      <c r="D82" s="448" t="s">
        <v>518</v>
      </c>
      <c r="E82" s="450" t="s">
        <v>372</v>
      </c>
      <c r="F82" s="294"/>
      <c r="G82" s="145" t="str">
        <f>IF(ISBLANK(F82),"Please do not leave blank ",IF(F82=H82,"","Please review percentage"))</f>
        <v xml:space="preserve">Please do not leave blank </v>
      </c>
      <c r="H82" s="251">
        <f>ROUND(IFERROR((F81/F80)*100,0),1)</f>
        <v>0</v>
      </c>
      <c r="I82" s="225"/>
      <c r="J82" s="225"/>
      <c r="K82" s="53"/>
    </row>
    <row r="83" spans="1:16" ht="66.75" customHeight="1" x14ac:dyDescent="0.25">
      <c r="A83" s="142"/>
      <c r="B83" s="128"/>
      <c r="C83" s="128"/>
      <c r="D83" s="129" t="s">
        <v>5</v>
      </c>
      <c r="E83" s="222"/>
      <c r="F83" s="424"/>
      <c r="G83" s="9"/>
      <c r="H83" s="15"/>
      <c r="I83" s="31"/>
      <c r="J83" s="31"/>
      <c r="L83" s="159"/>
      <c r="M83" s="159"/>
      <c r="N83" s="159"/>
      <c r="O83" s="159"/>
      <c r="P83" s="159"/>
    </row>
    <row r="84" spans="1:16" x14ac:dyDescent="0.25">
      <c r="A84" s="141"/>
      <c r="B84" s="134" t="s">
        <v>6</v>
      </c>
      <c r="C84" s="133"/>
      <c r="D84" s="130"/>
      <c r="E84" s="126"/>
      <c r="F84" s="422"/>
      <c r="G84" s="110"/>
      <c r="H84" s="15"/>
      <c r="I84" s="31"/>
      <c r="J84" s="31"/>
    </row>
    <row r="85" spans="1:16" ht="56.25" customHeight="1" x14ac:dyDescent="0.25">
      <c r="A85" s="141">
        <v>6</v>
      </c>
      <c r="B85" s="54"/>
      <c r="C85" s="132" t="s">
        <v>108</v>
      </c>
      <c r="D85" s="135" t="s">
        <v>107</v>
      </c>
      <c r="E85" s="215" t="e">
        <f>HLOOKUP($D$2,'2019 Data'!$D$1:$AF$152,6,FALSE)</f>
        <v>#N/A</v>
      </c>
      <c r="F85" s="292"/>
      <c r="G85" s="8">
        <f>IF(F85&lt;0,"Error: Enter as positive.",)</f>
        <v>0</v>
      </c>
      <c r="H85" s="15"/>
      <c r="I85" s="31"/>
      <c r="J85" s="31"/>
    </row>
    <row r="86" spans="1:16" s="256" customFormat="1" x14ac:dyDescent="0.25">
      <c r="A86" s="208"/>
      <c r="B86" s="271" t="s">
        <v>352</v>
      </c>
      <c r="C86" s="270"/>
      <c r="D86" s="269"/>
      <c r="E86" s="268"/>
      <c r="F86" s="267"/>
      <c r="G86" s="266"/>
      <c r="H86" s="56"/>
      <c r="I86" s="31"/>
      <c r="J86" s="31"/>
    </row>
    <row r="87" spans="1:16" s="256" customFormat="1" ht="60" x14ac:dyDescent="0.25">
      <c r="A87" s="208">
        <v>620</v>
      </c>
      <c r="B87" s="278" t="s">
        <v>23</v>
      </c>
      <c r="C87" s="279"/>
      <c r="D87" s="243" t="s">
        <v>353</v>
      </c>
      <c r="E87" s="431"/>
      <c r="F87" s="292"/>
      <c r="G87" s="280" t="str">
        <f>IF(F87&lt;1,"Please answer this question","")</f>
        <v>Please answer this question</v>
      </c>
      <c r="H87" s="56"/>
      <c r="I87" s="31"/>
      <c r="J87" s="31"/>
    </row>
    <row r="88" spans="1:16" s="256" customFormat="1" ht="81" customHeight="1" x14ac:dyDescent="0.25">
      <c r="A88" s="296"/>
      <c r="B88" s="527" t="s">
        <v>555</v>
      </c>
      <c r="C88" s="527"/>
      <c r="D88" s="527"/>
      <c r="E88" s="527"/>
      <c r="F88" s="527"/>
      <c r="G88" s="527"/>
      <c r="H88" s="56"/>
      <c r="I88" s="31"/>
      <c r="J88" s="31"/>
    </row>
    <row r="89" spans="1:16" s="256" customFormat="1" ht="52.5" customHeight="1" x14ac:dyDescent="0.25">
      <c r="A89" s="446">
        <v>947</v>
      </c>
      <c r="B89" s="442"/>
      <c r="C89" s="443"/>
      <c r="D89" s="448" t="s">
        <v>386</v>
      </c>
      <c r="E89" s="449" t="s">
        <v>387</v>
      </c>
      <c r="F89" s="513"/>
      <c r="G89" s="280" t="str">
        <f>IF(ISBLANK(F89),"Please do not leave blank","")</f>
        <v>Please do not leave blank</v>
      </c>
      <c r="H89" s="56"/>
      <c r="I89" s="31"/>
      <c r="J89" s="31"/>
    </row>
    <row r="90" spans="1:16" s="256" customFormat="1" ht="52.5" customHeight="1" x14ac:dyDescent="0.25">
      <c r="A90" s="446">
        <v>948</v>
      </c>
      <c r="B90" s="442"/>
      <c r="C90" s="443"/>
      <c r="D90" s="448" t="s">
        <v>388</v>
      </c>
      <c r="E90" s="449" t="s">
        <v>387</v>
      </c>
      <c r="F90" s="513"/>
      <c r="G90" s="280" t="str">
        <f t="shared" ref="G90:G96" si="4">IF(ISBLANK(F90),"Please do not leave blank","")</f>
        <v>Please do not leave blank</v>
      </c>
      <c r="H90" s="56"/>
      <c r="I90" s="31"/>
      <c r="J90" s="31"/>
    </row>
    <row r="91" spans="1:16" s="256" customFormat="1" ht="52.5" customHeight="1" x14ac:dyDescent="0.25">
      <c r="A91" s="446">
        <v>949</v>
      </c>
      <c r="B91" s="442"/>
      <c r="C91" s="443"/>
      <c r="D91" s="448" t="s">
        <v>389</v>
      </c>
      <c r="E91" s="449" t="s">
        <v>387</v>
      </c>
      <c r="F91" s="513"/>
      <c r="G91" s="280" t="str">
        <f t="shared" si="4"/>
        <v>Please do not leave blank</v>
      </c>
      <c r="H91" s="56"/>
      <c r="I91" s="31"/>
      <c r="J91" s="31"/>
    </row>
    <row r="92" spans="1:16" s="256" customFormat="1" ht="52.5" customHeight="1" x14ac:dyDescent="0.25">
      <c r="A92" s="446">
        <v>950</v>
      </c>
      <c r="B92" s="442"/>
      <c r="C92" s="443"/>
      <c r="D92" s="448" t="s">
        <v>391</v>
      </c>
      <c r="E92" s="449" t="s">
        <v>387</v>
      </c>
      <c r="F92" s="513"/>
      <c r="G92" s="280" t="str">
        <f t="shared" si="4"/>
        <v>Please do not leave blank</v>
      </c>
      <c r="H92" s="56"/>
      <c r="I92" s="31"/>
      <c r="J92" s="31"/>
    </row>
    <row r="93" spans="1:16" s="256" customFormat="1" ht="90" x14ac:dyDescent="0.25">
      <c r="A93" s="446">
        <v>952</v>
      </c>
      <c r="B93" s="442"/>
      <c r="C93" s="443"/>
      <c r="D93" s="448" t="s">
        <v>525</v>
      </c>
      <c r="E93" s="449" t="s">
        <v>387</v>
      </c>
      <c r="F93" s="425"/>
      <c r="G93" s="280" t="str">
        <f t="shared" si="4"/>
        <v>Please do not leave blank</v>
      </c>
      <c r="H93" s="56"/>
      <c r="I93" s="31"/>
      <c r="J93" s="31"/>
    </row>
    <row r="94" spans="1:16" s="256" customFormat="1" ht="70.5" customHeight="1" x14ac:dyDescent="0.25">
      <c r="A94" s="446">
        <v>954</v>
      </c>
      <c r="B94" s="442"/>
      <c r="C94" s="443"/>
      <c r="D94" s="448" t="s">
        <v>392</v>
      </c>
      <c r="E94" s="449" t="s">
        <v>387</v>
      </c>
      <c r="F94" s="513"/>
      <c r="G94" s="280" t="str">
        <f t="shared" si="4"/>
        <v>Please do not leave blank</v>
      </c>
      <c r="H94" s="56"/>
      <c r="I94" s="31"/>
      <c r="J94" s="31"/>
    </row>
    <row r="95" spans="1:16" s="256" customFormat="1" ht="84.75" customHeight="1" x14ac:dyDescent="0.25">
      <c r="A95" s="446">
        <v>956</v>
      </c>
      <c r="B95" s="442"/>
      <c r="C95" s="443"/>
      <c r="D95" s="448" t="s">
        <v>393</v>
      </c>
      <c r="E95" s="449" t="s">
        <v>387</v>
      </c>
      <c r="F95" s="513"/>
      <c r="G95" s="280" t="str">
        <f t="shared" si="4"/>
        <v>Please do not leave blank</v>
      </c>
      <c r="H95" s="56"/>
      <c r="I95" s="31"/>
      <c r="J95" s="31"/>
    </row>
    <row r="96" spans="1:16" s="256" customFormat="1" ht="212.25" customHeight="1" x14ac:dyDescent="0.25">
      <c r="A96" s="446">
        <v>958</v>
      </c>
      <c r="B96" s="442"/>
      <c r="C96" s="443"/>
      <c r="D96" s="448" t="s">
        <v>552</v>
      </c>
      <c r="E96" s="449" t="s">
        <v>387</v>
      </c>
      <c r="F96" s="513"/>
      <c r="G96" s="280" t="str">
        <f t="shared" si="4"/>
        <v>Please do not leave blank</v>
      </c>
      <c r="H96" s="56"/>
      <c r="I96" s="31"/>
      <c r="J96" s="31"/>
    </row>
    <row r="97" spans="1:10" s="256" customFormat="1" ht="21" thickBot="1" x14ac:dyDescent="0.3">
      <c r="A97" s="300"/>
      <c r="B97" s="301"/>
      <c r="C97" s="302"/>
      <c r="D97" s="303" t="s">
        <v>395</v>
      </c>
      <c r="E97" s="304"/>
      <c r="F97" s="305"/>
      <c r="G97" s="280"/>
      <c r="H97" s="56"/>
      <c r="I97" s="31"/>
      <c r="J97" s="31"/>
    </row>
    <row r="98" spans="1:10" s="256" customFormat="1" ht="21.75" thickBot="1" x14ac:dyDescent="0.4">
      <c r="A98" s="261"/>
      <c r="B98" s="522" t="s">
        <v>556</v>
      </c>
      <c r="C98" s="523"/>
      <c r="D98" s="523"/>
      <c r="E98" s="524"/>
      <c r="F98" s="261"/>
      <c r="G98" s="280"/>
      <c r="H98" s="56"/>
      <c r="I98" s="31"/>
      <c r="J98" s="31"/>
    </row>
    <row r="99" spans="1:10" s="256" customFormat="1" ht="82.5" customHeight="1" x14ac:dyDescent="0.25">
      <c r="A99" s="261"/>
      <c r="B99" s="525" t="s">
        <v>557</v>
      </c>
      <c r="C99" s="526"/>
      <c r="D99" s="526"/>
      <c r="E99" s="526"/>
      <c r="F99" s="261"/>
      <c r="G99" s="280"/>
      <c r="H99" s="56"/>
      <c r="I99" s="31"/>
      <c r="J99" s="31"/>
    </row>
    <row r="100" spans="1:10" s="256" customFormat="1" ht="15.75" thickBot="1" x14ac:dyDescent="0.3">
      <c r="A100" s="306"/>
      <c r="B100" s="261"/>
      <c r="C100" s="261"/>
      <c r="D100" s="307"/>
      <c r="E100" s="299"/>
      <c r="F100" s="261"/>
      <c r="G100" s="280"/>
      <c r="H100" s="56"/>
      <c r="I100" s="31"/>
      <c r="J100" s="31"/>
    </row>
    <row r="101" spans="1:10" s="256" customFormat="1" ht="15.75" thickBot="1" x14ac:dyDescent="0.3">
      <c r="A101" s="261"/>
      <c r="B101" s="308" t="s">
        <v>396</v>
      </c>
      <c r="C101" s="309" t="s">
        <v>397</v>
      </c>
      <c r="D101" s="310"/>
      <c r="E101" s="311"/>
      <c r="F101" s="312"/>
      <c r="G101" s="280"/>
      <c r="H101" s="56"/>
      <c r="I101" s="31"/>
      <c r="J101" s="31"/>
    </row>
    <row r="102" spans="1:10" s="256" customFormat="1" ht="26.25" customHeight="1" thickBot="1" x14ac:dyDescent="0.3">
      <c r="A102" s="261"/>
      <c r="B102" s="313" t="s">
        <v>398</v>
      </c>
      <c r="C102" s="314"/>
      <c r="D102" s="426"/>
      <c r="E102" s="427"/>
      <c r="F102" s="315"/>
      <c r="G102" s="280"/>
      <c r="H102" s="56"/>
      <c r="I102" s="31"/>
      <c r="J102" s="31"/>
    </row>
    <row r="103" spans="1:10" s="256" customFormat="1" ht="40.5" customHeight="1" thickBot="1" x14ac:dyDescent="0.3">
      <c r="A103" s="341"/>
      <c r="B103" s="313"/>
      <c r="C103" s="314"/>
      <c r="D103" s="516" t="s">
        <v>534</v>
      </c>
      <c r="E103" s="517"/>
      <c r="F103" s="453"/>
      <c r="G103" s="453"/>
      <c r="H103" s="56"/>
      <c r="I103" s="31"/>
      <c r="J103" s="31"/>
    </row>
    <row r="104" spans="1:10" s="256" customFormat="1" ht="30.75" customHeight="1" thickBot="1" x14ac:dyDescent="0.3">
      <c r="A104" s="297">
        <v>960</v>
      </c>
      <c r="B104" s="528" t="s">
        <v>535</v>
      </c>
      <c r="C104" s="529"/>
      <c r="D104" s="530"/>
      <c r="E104" s="531"/>
      <c r="F104" s="454" t="str">
        <f>IF(ISBLANK($D104),"&lt;&lt;&lt;&lt;&lt;&lt;&lt;&lt;&lt;&lt;&lt;&lt;&lt;&lt;&lt;","")</f>
        <v>&lt;&lt;&lt;&lt;&lt;&lt;&lt;&lt;&lt;&lt;&lt;&lt;&lt;&lt;&lt;</v>
      </c>
      <c r="G104" s="454" t="str">
        <f>IF(ISBLANK($D104),"Cell D104 must be completed.","")</f>
        <v>Cell D104 must be completed.</v>
      </c>
      <c r="H104" s="56"/>
      <c r="I104" s="31"/>
      <c r="J104" s="31"/>
    </row>
    <row r="105" spans="1:10" s="256" customFormat="1" ht="30.75" customHeight="1" thickBot="1" x14ac:dyDescent="0.3">
      <c r="A105" s="297">
        <v>962</v>
      </c>
      <c r="B105" s="528" t="s">
        <v>399</v>
      </c>
      <c r="C105" s="529"/>
      <c r="D105" s="530"/>
      <c r="E105" s="531"/>
      <c r="F105" s="454" t="str">
        <f>IF(ISBLANK($D105),"&lt;&lt;&lt;&lt;&lt;&lt;&lt;&lt;&lt;&lt;&lt;&lt;&lt;&lt;&lt;","")</f>
        <v>&lt;&lt;&lt;&lt;&lt;&lt;&lt;&lt;&lt;&lt;&lt;&lt;&lt;&lt;&lt;</v>
      </c>
      <c r="G105" s="454" t="str">
        <f>IF(ISBLANK($D105),"Cell D105 must be completed.","")</f>
        <v>Cell D105 must be completed.</v>
      </c>
      <c r="H105" s="56"/>
      <c r="I105" s="31"/>
      <c r="J105" s="31"/>
    </row>
    <row r="106" spans="1:10" s="256" customFormat="1" ht="30.75" customHeight="1" thickBot="1" x14ac:dyDescent="0.3">
      <c r="A106" s="297">
        <v>964</v>
      </c>
      <c r="B106" s="528" t="s">
        <v>400</v>
      </c>
      <c r="C106" s="529"/>
      <c r="D106" s="535"/>
      <c r="E106" s="536"/>
      <c r="F106" s="454" t="str">
        <f>IF(ISBLANK($D106),"&lt;&lt;&lt;&lt;&lt;&lt;&lt;&lt;&lt;&lt;&lt;&lt;&lt;&lt;&lt;","")</f>
        <v>&lt;&lt;&lt;&lt;&lt;&lt;&lt;&lt;&lt;&lt;&lt;&lt;&lt;&lt;&lt;</v>
      </c>
      <c r="G106" s="454" t="str">
        <f>IF(ISBLANK($D106),"Cell D106 must be completed.","")</f>
        <v>Cell D106 must be completed.</v>
      </c>
      <c r="H106" s="56"/>
      <c r="I106" s="31"/>
      <c r="J106" s="31"/>
    </row>
    <row r="107" spans="1:10" s="256" customFormat="1" ht="30.75" customHeight="1" thickBot="1" x14ac:dyDescent="0.3">
      <c r="A107" s="297">
        <v>966</v>
      </c>
      <c r="B107" s="528" t="s">
        <v>401</v>
      </c>
      <c r="C107" s="529"/>
      <c r="D107" s="530"/>
      <c r="E107" s="531"/>
      <c r="F107" s="454" t="str">
        <f>IF(ISBLANK($D107),"&lt;&lt;&lt;&lt;&lt;&lt;&lt;&lt;&lt;&lt;&lt;&lt;&lt;&lt;&lt;","")</f>
        <v>&lt;&lt;&lt;&lt;&lt;&lt;&lt;&lt;&lt;&lt;&lt;&lt;&lt;&lt;&lt;</v>
      </c>
      <c r="G107" s="454" t="str">
        <f>IF(ISBLANK($D107),"Cell D107 must be completed.","")</f>
        <v>Cell D107 must be completed.</v>
      </c>
      <c r="H107" s="56"/>
      <c r="I107" s="31"/>
      <c r="J107" s="31"/>
    </row>
    <row r="108" spans="1:10" s="256" customFormat="1" ht="30.75" customHeight="1" thickBot="1" x14ac:dyDescent="0.3">
      <c r="A108" s="297">
        <v>968</v>
      </c>
      <c r="B108" s="532" t="s">
        <v>402</v>
      </c>
      <c r="C108" s="533"/>
      <c r="D108" s="534"/>
      <c r="E108" s="531"/>
      <c r="F108" s="454" t="str">
        <f>IF(ISBLANK($D108),"&lt;&lt;&lt;&lt;&lt;&lt;&lt;&lt;&lt;&lt;&lt;&lt;&lt;&lt;&lt;","")</f>
        <v>&lt;&lt;&lt;&lt;&lt;&lt;&lt;&lt;&lt;&lt;&lt;&lt;&lt;&lt;&lt;</v>
      </c>
      <c r="G108" s="454" t="str">
        <f>IF(ISBLANK($D108),"Cell D108 must be completed.","")</f>
        <v>Cell D108 must be completed.</v>
      </c>
      <c r="H108" s="56"/>
      <c r="I108" s="31"/>
      <c r="J108" s="31"/>
    </row>
    <row r="109" spans="1:10" ht="59.25" x14ac:dyDescent="0.25">
      <c r="A109" s="142"/>
      <c r="B109" s="37" t="s">
        <v>12</v>
      </c>
      <c r="C109" s="37"/>
      <c r="D109" s="43" t="s">
        <v>18</v>
      </c>
      <c r="E109" s="42"/>
      <c r="F109" s="42"/>
      <c r="G109" s="42"/>
      <c r="H109" s="44"/>
      <c r="I109" s="31"/>
      <c r="J109" s="31"/>
    </row>
    <row r="110" spans="1:10" x14ac:dyDescent="0.25">
      <c r="A110" s="25"/>
      <c r="B110" s="36"/>
      <c r="C110" s="36"/>
      <c r="D110" s="2"/>
      <c r="F110" s="4"/>
      <c r="G110" s="7"/>
      <c r="H110" s="15"/>
    </row>
    <row r="111" spans="1:10" x14ac:dyDescent="0.25">
      <c r="A111" s="25"/>
      <c r="B111" s="20"/>
      <c r="C111" s="20"/>
      <c r="D111" s="2"/>
      <c r="E111" s="281"/>
      <c r="F111" s="4"/>
      <c r="G111" s="7"/>
      <c r="H111" s="15"/>
    </row>
    <row r="112" spans="1:10" x14ac:dyDescent="0.25">
      <c r="A112" s="25"/>
      <c r="B112" s="20"/>
      <c r="C112" s="20"/>
      <c r="D112" s="46"/>
      <c r="E112" s="47"/>
      <c r="F112" s="47"/>
      <c r="G112" s="7"/>
      <c r="H112" s="15"/>
    </row>
    <row r="113" spans="1:8" x14ac:dyDescent="0.25">
      <c r="A113" s="25"/>
      <c r="B113" s="20"/>
      <c r="C113" s="20"/>
      <c r="D113" s="46"/>
      <c r="E113" s="47"/>
      <c r="F113" s="47"/>
      <c r="G113" s="7"/>
      <c r="H113" s="15"/>
    </row>
    <row r="114" spans="1:8" x14ac:dyDescent="0.25">
      <c r="A114" s="25"/>
      <c r="B114" s="20"/>
      <c r="C114" s="20"/>
      <c r="D114" s="46"/>
      <c r="E114" s="429"/>
      <c r="F114" s="47"/>
      <c r="G114" s="7"/>
      <c r="H114" s="15"/>
    </row>
    <row r="115" spans="1:8" x14ac:dyDescent="0.25">
      <c r="A115" s="25"/>
      <c r="B115" s="20"/>
      <c r="C115" s="20"/>
      <c r="D115" s="46"/>
      <c r="E115" s="216"/>
      <c r="F115" s="47"/>
      <c r="G115" s="7"/>
      <c r="H115" s="15"/>
    </row>
    <row r="116" spans="1:8" x14ac:dyDescent="0.25">
      <c r="D116" s="48"/>
      <c r="E116" s="217"/>
      <c r="F116" s="48"/>
      <c r="H116" s="15"/>
    </row>
    <row r="117" spans="1:8" x14ac:dyDescent="0.25">
      <c r="D117" s="48"/>
      <c r="E117" s="217"/>
      <c r="F117" s="48"/>
      <c r="H117" s="15"/>
    </row>
    <row r="118" spans="1:8" x14ac:dyDescent="0.25">
      <c r="D118" s="48"/>
      <c r="E118" s="218"/>
      <c r="F118" s="48"/>
      <c r="H118" s="15"/>
    </row>
    <row r="119" spans="1:8" x14ac:dyDescent="0.25">
      <c r="D119" s="48"/>
      <c r="E119" s="218"/>
      <c r="F119" s="48"/>
      <c r="H119" s="15"/>
    </row>
    <row r="120" spans="1:8" x14ac:dyDescent="0.25">
      <c r="D120" s="48"/>
      <c r="E120" s="47"/>
      <c r="F120" s="48"/>
    </row>
  </sheetData>
  <sheetProtection algorithmName="SHA-512" hashValue="lUbbtA7AHK4W65aMrWLuInSPAlEhAbFdKUnYfbO3tlAPyR6xUVCkW8S72ePW/PJvLgPZ1czMh0U7Dc7mnWxq+Q==" saltValue="2rgmNszVVcRSsqltVA6FFg==" spinCount="100000" sheet="1" formatCells="0" formatColumns="0" formatRows="0"/>
  <mergeCells count="16">
    <mergeCell ref="B107:C107"/>
    <mergeCell ref="D107:E107"/>
    <mergeCell ref="B108:C108"/>
    <mergeCell ref="D108:E108"/>
    <mergeCell ref="B104:C104"/>
    <mergeCell ref="B105:C105"/>
    <mergeCell ref="D104:E104"/>
    <mergeCell ref="B106:C106"/>
    <mergeCell ref="D106:E106"/>
    <mergeCell ref="D105:E105"/>
    <mergeCell ref="D103:E103"/>
    <mergeCell ref="E2:G2"/>
    <mergeCell ref="B2:C2"/>
    <mergeCell ref="B98:E98"/>
    <mergeCell ref="B99:E99"/>
    <mergeCell ref="B88:G88"/>
  </mergeCells>
  <conditionalFormatting sqref="H22">
    <cfRule type="cellIs" dxfId="13" priority="12" stopIfTrue="1" operator="notEqual">
      <formula>0</formula>
    </cfRule>
  </conditionalFormatting>
  <conditionalFormatting sqref="H35:H36">
    <cfRule type="cellIs" dxfId="12" priority="11" stopIfTrue="1" operator="notEqual">
      <formula>0</formula>
    </cfRule>
  </conditionalFormatting>
  <conditionalFormatting sqref="H52">
    <cfRule type="cellIs" dxfId="11" priority="10" stopIfTrue="1" operator="notEqual">
      <formula>0</formula>
    </cfRule>
  </conditionalFormatting>
  <conditionalFormatting sqref="H62:H63">
    <cfRule type="cellIs" dxfId="10" priority="9" stopIfTrue="1" operator="notEqual">
      <formula>0</formula>
    </cfRule>
  </conditionalFormatting>
  <conditionalFormatting sqref="H64">
    <cfRule type="cellIs" dxfId="9" priority="4" stopIfTrue="1" operator="notEqual">
      <formula>0</formula>
    </cfRule>
  </conditionalFormatting>
  <dataValidations xWindow="756" yWindow="948" count="7">
    <dataValidation type="list" allowBlank="1" showInputMessage="1" showErrorMessage="1" error="Please select from the drop down list" prompt="Please select from the drop down list" sqref="F79" xr:uid="{00000000-0002-0000-0100-000000000000}">
      <formula1>$N$2:$N$5</formula1>
    </dataValidation>
    <dataValidation type="list" allowBlank="1" showInputMessage="1" showErrorMessage="1" prompt="Please select Yes or No from the drop down list" sqref="F77" xr:uid="{00000000-0002-0000-0100-000001000000}">
      <formula1>$L$1:$L$2</formula1>
    </dataValidation>
    <dataValidation type="list" allowBlank="1" showInputMessage="1" showErrorMessage="1" sqref="F87" xr:uid="{00000000-0002-0000-0100-000003000000}">
      <formula1>$N$2:$N$3</formula1>
    </dataValidation>
    <dataValidation type="list" allowBlank="1" showInputMessage="1" showErrorMessage="1" prompt="Click on cell D2 and select you unit name from the drop down box." sqref="D2" xr:uid="{00000000-0002-0000-0100-000002000000}">
      <formula1>$K$6:$K$36</formula1>
    </dataValidation>
    <dataValidation type="date" operator="lessThan" showInputMessage="1" showErrorMessage="1" sqref="F93" xr:uid="{F2E17639-63DE-4E00-AFF8-733DF076AEC7}">
      <formula1>44012</formula1>
    </dataValidation>
    <dataValidation type="list" allowBlank="1" showInputMessage="1" showErrorMessage="1" sqref="F92 F94:F96" xr:uid="{F35B6BDF-0E66-4EC2-9DEA-89ACBBD71CFE}">
      <formula1>$L$1:$L$2</formula1>
    </dataValidation>
    <dataValidation type="list" allowBlank="1" showInputMessage="1" showErrorMessage="1" sqref="F91" xr:uid="{B9F139DD-3FD7-444F-A328-CF5DAECDD7A6}">
      <formula1>$L$6:$L$8</formula1>
    </dataValidation>
  </dataValidations>
  <printOptions headings="1" gridLines="1"/>
  <pageMargins left="0.25" right="0.25" top="0.75" bottom="0.75" header="0.3" footer="0.3"/>
  <pageSetup scale="47" fitToHeight="0" orientation="portrait" r:id="rId1"/>
  <headerFooter>
    <oddFooter>&amp;LPage &amp;P&amp;R&amp;Z&amp;F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550"/>
  <sheetViews>
    <sheetView zoomScaleNormal="100" workbookViewId="0">
      <pane xSplit="3" ySplit="3" topLeftCell="D4" activePane="bottomRight" state="frozen"/>
      <selection activeCell="D58" sqref="D58"/>
      <selection pane="topRight" activeCell="D58" sqref="D58"/>
      <selection pane="bottomLeft" activeCell="D58" sqref="D58"/>
      <selection pane="bottomRight" activeCell="D5" sqref="D5"/>
    </sheetView>
  </sheetViews>
  <sheetFormatPr defaultColWidth="9.140625" defaultRowHeight="15" x14ac:dyDescent="0.25"/>
  <cols>
    <col min="1" max="1" width="9" style="1" customWidth="1"/>
    <col min="2" max="2" width="11.28515625" style="165" customWidth="1"/>
    <col min="3" max="3" width="38" style="161" customWidth="1"/>
    <col min="4" max="4" width="12.7109375" style="1" customWidth="1"/>
    <col min="5" max="5" width="17.7109375" style="1" customWidth="1"/>
    <col min="6" max="6" width="20.85546875" style="1" customWidth="1"/>
    <col min="7" max="7" width="20.85546875" style="185" customWidth="1"/>
    <col min="8" max="8" width="11.5703125" style="1" customWidth="1"/>
    <col min="9" max="9" width="2.140625" style="250" customWidth="1"/>
    <col min="10" max="10" width="14.85546875" style="162" customWidth="1"/>
    <col min="11" max="11" width="41" style="39" customWidth="1"/>
    <col min="12" max="12" width="17.5703125" style="184" customWidth="1"/>
    <col min="13" max="13" width="2.140625" style="1" customWidth="1"/>
    <col min="14" max="14" width="14.7109375" style="1" customWidth="1"/>
    <col min="15" max="15" width="14" style="1" customWidth="1"/>
    <col min="16" max="16" width="11" style="1" customWidth="1"/>
    <col min="17" max="17" width="9.42578125" style="162" customWidth="1"/>
    <col min="18" max="19" width="9.140625" style="1" hidden="1" customWidth="1"/>
    <col min="20" max="21" width="9.140625" style="1" customWidth="1"/>
    <col min="22" max="16384" width="9.140625" style="1"/>
  </cols>
  <sheetData>
    <row r="1" spans="1:23" ht="31.5" x14ac:dyDescent="0.25">
      <c r="C1" s="412" t="s">
        <v>405</v>
      </c>
      <c r="D1" s="413">
        <f>L46-(L35+L36-L39-L40-L72)-L43</f>
        <v>0</v>
      </c>
      <c r="I1" s="325"/>
      <c r="J1" s="157"/>
      <c r="K1" s="49" t="s">
        <v>19</v>
      </c>
      <c r="L1" s="180"/>
      <c r="M1" s="34"/>
      <c r="R1" s="239">
        <v>1</v>
      </c>
      <c r="S1" s="1">
        <v>1</v>
      </c>
    </row>
    <row r="2" spans="1:23" ht="18.75" x14ac:dyDescent="0.3">
      <c r="C2" s="194">
        <f>'Unit Data for Audit Worksheet'!D2</f>
        <v>0</v>
      </c>
      <c r="D2" s="316">
        <v>2020</v>
      </c>
      <c r="E2" s="41">
        <f>D2</f>
        <v>2020</v>
      </c>
      <c r="F2" s="41"/>
      <c r="G2" s="186"/>
      <c r="H2" s="41"/>
      <c r="I2" s="325"/>
      <c r="J2" s="149" t="s">
        <v>14</v>
      </c>
      <c r="K2" s="38" t="s">
        <v>13</v>
      </c>
      <c r="L2" s="183" t="s">
        <v>7</v>
      </c>
      <c r="R2" s="239">
        <v>2</v>
      </c>
      <c r="S2" s="1">
        <v>2</v>
      </c>
    </row>
    <row r="3" spans="1:23" ht="47.25" x14ac:dyDescent="0.25">
      <c r="A3" s="19" t="s">
        <v>14</v>
      </c>
      <c r="B3" s="166"/>
      <c r="C3" s="155" t="s">
        <v>1</v>
      </c>
      <c r="D3" s="50" t="s">
        <v>15</v>
      </c>
      <c r="E3" s="50" t="s">
        <v>16</v>
      </c>
      <c r="F3" s="51" t="s">
        <v>20</v>
      </c>
      <c r="G3" s="198" t="s">
        <v>197</v>
      </c>
      <c r="H3" s="51" t="s">
        <v>3</v>
      </c>
      <c r="I3" s="325"/>
      <c r="J3" s="396"/>
      <c r="K3" s="397"/>
      <c r="L3" s="398"/>
      <c r="O3" s="1" t="s">
        <v>168</v>
      </c>
      <c r="Q3" s="199" t="s">
        <v>198</v>
      </c>
      <c r="R3" s="239">
        <v>3</v>
      </c>
      <c r="S3" s="1">
        <v>3</v>
      </c>
    </row>
    <row r="4" spans="1:23" ht="18.75" x14ac:dyDescent="0.3">
      <c r="A4" s="32"/>
      <c r="B4" s="167"/>
      <c r="C4" s="163"/>
      <c r="D4" s="33"/>
      <c r="E4" s="33"/>
      <c r="F4" s="33"/>
      <c r="G4" s="187"/>
      <c r="H4" s="33"/>
      <c r="I4" s="325"/>
      <c r="J4" s="241">
        <v>999</v>
      </c>
      <c r="K4" s="231" t="s">
        <v>167</v>
      </c>
      <c r="L4" s="235" t="e">
        <f>+'Unit Data for Audit Worksheet'!D3</f>
        <v>#N/A</v>
      </c>
      <c r="R4" s="239">
        <v>4</v>
      </c>
      <c r="S4" s="239">
        <v>4</v>
      </c>
    </row>
    <row r="5" spans="1:23" s="256" customFormat="1" ht="72.75" customHeight="1" x14ac:dyDescent="0.25">
      <c r="A5" s="156">
        <f>'Unit Data for Audit Worksheet'!A7</f>
        <v>333</v>
      </c>
      <c r="B5" s="170" t="str">
        <f>'Unit Data for Audit Worksheet'!C7</f>
        <v>Net Position-Governmental Activities</v>
      </c>
      <c r="C5" s="154" t="str">
        <f>'Unit Data for Audit Worksheet'!D7</f>
        <v xml:space="preserve"> All unrestricted Cash and investments.  
Exclude: restricted cash 
                   cash held by a third party. </v>
      </c>
      <c r="D5" s="321"/>
      <c r="E5" s="283">
        <f>'Unit Data for Audit Worksheet'!F7</f>
        <v>0</v>
      </c>
      <c r="F5" s="153"/>
      <c r="G5" s="188"/>
      <c r="H5" s="150"/>
      <c r="I5" s="326"/>
      <c r="J5" s="148">
        <v>333</v>
      </c>
      <c r="K5" s="258" t="s">
        <v>354</v>
      </c>
      <c r="L5" s="340">
        <f>IF(D5="",E5,D5)</f>
        <v>0</v>
      </c>
      <c r="P5" s="286"/>
      <c r="Q5" s="476"/>
      <c r="R5" s="256">
        <v>5</v>
      </c>
      <c r="S5" s="256">
        <v>5</v>
      </c>
    </row>
    <row r="6" spans="1:23" ht="39.75" customHeight="1" x14ac:dyDescent="0.25">
      <c r="A6" s="160">
        <f>'Unit Data for Audit Worksheet'!A8</f>
        <v>500</v>
      </c>
      <c r="B6" s="168" t="str">
        <f>'Unit Data for Audit Worksheet'!C8</f>
        <v>Net Position-Governmental Activities</v>
      </c>
      <c r="C6" s="158" t="str">
        <f>'Unit Data for Audit Worksheet'!D8</f>
        <v xml:space="preserve"> All restricted Cash and investments</v>
      </c>
      <c r="D6" s="322"/>
      <c r="E6" s="284">
        <f>'Unit Data for Audit Worksheet'!F8</f>
        <v>0</v>
      </c>
      <c r="F6" s="153">
        <f>IF(L6&lt;0,"Error: Number is normally positive.",)</f>
        <v>0</v>
      </c>
      <c r="G6" s="189"/>
      <c r="H6" s="150">
        <f>'Unit Data for Audit Worksheet'!I8</f>
        <v>0</v>
      </c>
      <c r="I6" s="326"/>
      <c r="J6" s="147">
        <v>500</v>
      </c>
      <c r="K6" s="146" t="s">
        <v>112</v>
      </c>
      <c r="L6" s="340">
        <f>IF(D6="",E6,D6)</f>
        <v>0</v>
      </c>
      <c r="P6" s="286"/>
      <c r="Q6" s="476"/>
      <c r="R6" s="239">
        <v>6</v>
      </c>
      <c r="S6" s="255">
        <v>6</v>
      </c>
      <c r="U6" s="252" t="b">
        <f t="shared" ref="U6:U71" si="0">EXACT(A6,J6)</f>
        <v>1</v>
      </c>
      <c r="V6" s="320">
        <f t="shared" ref="V6" si="1">E6-L6</f>
        <v>0</v>
      </c>
      <c r="W6" s="320">
        <f>D6-L6</f>
        <v>0</v>
      </c>
    </row>
    <row r="7" spans="1:23" ht="54" customHeight="1" x14ac:dyDescent="0.25">
      <c r="A7" s="160">
        <f>'Unit Data for Audit Worksheet'!A9</f>
        <v>385</v>
      </c>
      <c r="B7" s="168" t="str">
        <f>'Unit Data for Audit Worksheet'!C9</f>
        <v>Net Position-Governmental Activities</v>
      </c>
      <c r="C7" s="158" t="str">
        <f>'Unit Data for Audit Worksheet'!D9</f>
        <v>Total Assets and deferred outflows</v>
      </c>
      <c r="D7" s="322"/>
      <c r="E7" s="284">
        <f>'Unit Data for Audit Worksheet'!F9</f>
        <v>0</v>
      </c>
      <c r="F7" s="236">
        <f>IF((L5+L6)&gt;L7,"Error: Please review accts (333 + 500) &gt; 385",)</f>
        <v>0</v>
      </c>
      <c r="G7" s="189"/>
      <c r="H7" s="150">
        <f>'Unit Data for Audit Worksheet'!I9</f>
        <v>0</v>
      </c>
      <c r="I7" s="326"/>
      <c r="J7" s="200">
        <v>385</v>
      </c>
      <c r="K7" s="201" t="s">
        <v>62</v>
      </c>
      <c r="L7" s="336">
        <f>IF(D7="",E7,D7)+IF(D9="",E9,D9)</f>
        <v>0</v>
      </c>
      <c r="N7" s="202" t="s">
        <v>193</v>
      </c>
      <c r="P7" s="286"/>
      <c r="Q7" s="476"/>
      <c r="R7" s="255">
        <v>7</v>
      </c>
      <c r="S7" s="255">
        <v>7</v>
      </c>
      <c r="U7" s="252" t="b">
        <f t="shared" si="0"/>
        <v>1</v>
      </c>
      <c r="V7" s="320">
        <f t="shared" ref="V7:V9" si="2">E7-L7</f>
        <v>0</v>
      </c>
      <c r="W7" s="320">
        <f t="shared" ref="W7:W43" si="3">D7-L7</f>
        <v>0</v>
      </c>
    </row>
    <row r="8" spans="1:23" s="159" customFormat="1" ht="80.25" customHeight="1" x14ac:dyDescent="0.25">
      <c r="A8" s="160">
        <f>'Unit Data for Audit Worksheet'!A10</f>
        <v>575</v>
      </c>
      <c r="B8" s="168" t="str">
        <f>'Unit Data for Audit Worksheet'!C10</f>
        <v>Net Position-Governmental Activities</v>
      </c>
      <c r="C8" s="213" t="str">
        <f>'Unit Data for Audit Worksheet'!D10</f>
        <v>Record any positive Internal balances on the net position statements that appear in the Asset Section of the Net Position Statement
enter as a positive</v>
      </c>
      <c r="D8" s="322"/>
      <c r="E8" s="284">
        <f>'Unit Data for Audit Worksheet'!F10</f>
        <v>0</v>
      </c>
      <c r="F8" s="153">
        <f>IF(L8&lt;0,"Error: Number is normally positive.",)</f>
        <v>0</v>
      </c>
      <c r="G8" s="189"/>
      <c r="H8" s="150">
        <f>'Unit Data for Audit Worksheet'!I10</f>
        <v>0</v>
      </c>
      <c r="I8" s="326"/>
      <c r="J8" s="147">
        <v>575</v>
      </c>
      <c r="K8" s="242" t="s">
        <v>195</v>
      </c>
      <c r="L8" s="335">
        <f>IF(D8="",E8,D8)</f>
        <v>0</v>
      </c>
      <c r="N8" s="181"/>
      <c r="P8" s="286"/>
      <c r="Q8" s="476"/>
      <c r="S8" s="224"/>
      <c r="U8" s="252" t="b">
        <f t="shared" si="0"/>
        <v>1</v>
      </c>
      <c r="V8" s="320">
        <f t="shared" si="2"/>
        <v>0</v>
      </c>
      <c r="W8" s="320">
        <f t="shared" si="3"/>
        <v>0</v>
      </c>
    </row>
    <row r="9" spans="1:23" s="159" customFormat="1" ht="87.75" customHeight="1" x14ac:dyDescent="0.25">
      <c r="A9" s="160">
        <f>'Unit Data for Audit Worksheet'!A11</f>
        <v>576</v>
      </c>
      <c r="B9" s="168" t="str">
        <f>'Unit Data for Audit Worksheet'!C11</f>
        <v>Net Position-Governmental Activities</v>
      </c>
      <c r="C9" s="213" t="str">
        <f>'Unit Data for Audit Worksheet'!D11</f>
        <v>Record any negative Internal balances on the net position statements that appear in the Asset Section of the Net Position Statement.
enter as a positive</v>
      </c>
      <c r="D9" s="322"/>
      <c r="E9" s="284">
        <f>'Unit Data for Audit Worksheet'!F11</f>
        <v>0</v>
      </c>
      <c r="F9" s="153">
        <f>IF(L9&lt;0,"Error: Number is normally positive.",)</f>
        <v>0</v>
      </c>
      <c r="G9" s="189"/>
      <c r="H9" s="150">
        <f>'Unit Data for Audit Worksheet'!I11</f>
        <v>0</v>
      </c>
      <c r="I9" s="326"/>
      <c r="J9" s="147">
        <v>576</v>
      </c>
      <c r="K9" s="242" t="s">
        <v>196</v>
      </c>
      <c r="L9" s="335">
        <f>IF(D9="",E9,D9)</f>
        <v>0</v>
      </c>
      <c r="N9" s="181"/>
      <c r="P9" s="286"/>
      <c r="Q9" s="476"/>
      <c r="S9" s="224"/>
      <c r="U9" s="252" t="b">
        <f t="shared" si="0"/>
        <v>1</v>
      </c>
      <c r="V9" s="320">
        <f t="shared" si="2"/>
        <v>0</v>
      </c>
      <c r="W9" s="320">
        <f t="shared" si="3"/>
        <v>0</v>
      </c>
    </row>
    <row r="10" spans="1:23" s="290" customFormat="1" ht="99.75" customHeight="1" x14ac:dyDescent="0.25">
      <c r="A10" s="265">
        <f>'Unit Data for Audit Worksheet'!A12</f>
        <v>626</v>
      </c>
      <c r="B10" s="264" t="str">
        <f>'Unit Data for Audit Worksheet'!C12</f>
        <v>Net Position-Governmental Activities</v>
      </c>
      <c r="C10" s="263" t="str">
        <f>'Unit Data for Audit Worksheet'!D12</f>
        <v xml:space="preserve">Current liabilities
Include:   Current liabilities including current portion of long-term debt.  Deferred inflows should not be included in Current Liabilities     
</v>
      </c>
      <c r="D10" s="322"/>
      <c r="E10" s="416">
        <f>'Unit Data for Audit Worksheet'!F12</f>
        <v>0</v>
      </c>
      <c r="F10" s="417">
        <f t="shared" ref="F10:F15" si="4">IF(L10&lt;0,"Error: Number is normally positive.",)</f>
        <v>0</v>
      </c>
      <c r="G10" s="464"/>
      <c r="H10" s="418">
        <f>'Unit Data for Audit Worksheet'!I12</f>
        <v>0</v>
      </c>
      <c r="I10" s="326"/>
      <c r="J10" s="465">
        <v>626</v>
      </c>
      <c r="K10" s="468" t="s">
        <v>366</v>
      </c>
      <c r="L10" s="469">
        <f>IF(D10="",E10,D10)+IF(D9="",E9,D9)</f>
        <v>0</v>
      </c>
      <c r="N10" s="202" t="s">
        <v>193</v>
      </c>
      <c r="P10" s="286"/>
      <c r="Q10" s="477"/>
      <c r="R10" s="290" t="b">
        <f t="shared" ref="R10:R15" si="5">EXACT(A10,J10)</f>
        <v>1</v>
      </c>
      <c r="U10" s="290" t="b">
        <f t="shared" ref="U10:U15" si="6">EXACT(A10,J10)</f>
        <v>1</v>
      </c>
      <c r="V10" s="320">
        <f t="shared" ref="V10:V13" si="7">E10-L10</f>
        <v>0</v>
      </c>
      <c r="W10" s="320">
        <f t="shared" si="3"/>
        <v>0</v>
      </c>
    </row>
    <row r="11" spans="1:23" s="290" customFormat="1" ht="104.25" customHeight="1" x14ac:dyDescent="0.25">
      <c r="A11" s="265">
        <f>'Unit Data for Audit Worksheet'!A13</f>
        <v>627</v>
      </c>
      <c r="B11" s="264" t="str">
        <f>'Unit Data for Audit Worksheet'!C13</f>
        <v>Net Position-Governmental Activities</v>
      </c>
      <c r="C11" s="263" t="str">
        <f>'Unit Data for Audit Worksheet'!D13</f>
        <v>Please enter any bond anticipation notes that are classified as current liabilities and included row 12 above (amounts entered should agree to the current amount included in the changes to long-term debt note)</v>
      </c>
      <c r="D11" s="322"/>
      <c r="E11" s="416">
        <f>'Unit Data for Audit Worksheet'!F13</f>
        <v>0</v>
      </c>
      <c r="F11" s="417">
        <f t="shared" si="4"/>
        <v>0</v>
      </c>
      <c r="G11" s="464"/>
      <c r="H11" s="418">
        <f>'Unit Data for Audit Worksheet'!I13</f>
        <v>0</v>
      </c>
      <c r="I11" s="326"/>
      <c r="J11" s="465">
        <v>627</v>
      </c>
      <c r="K11" s="468" t="s">
        <v>367</v>
      </c>
      <c r="L11" s="470">
        <f>IF(D11="",E11,D11)</f>
        <v>0</v>
      </c>
      <c r="N11" s="319"/>
      <c r="P11" s="286"/>
      <c r="Q11" s="477"/>
      <c r="R11" s="290" t="b">
        <f t="shared" si="5"/>
        <v>1</v>
      </c>
      <c r="U11" s="290" t="b">
        <f t="shared" si="6"/>
        <v>1</v>
      </c>
      <c r="V11" s="320">
        <f t="shared" si="7"/>
        <v>0</v>
      </c>
      <c r="W11" s="320">
        <f t="shared" si="3"/>
        <v>0</v>
      </c>
    </row>
    <row r="12" spans="1:23" s="290" customFormat="1" ht="110.25" customHeight="1" x14ac:dyDescent="0.25">
      <c r="A12" s="265">
        <f>'Unit Data for Audit Worksheet'!A14</f>
        <v>628</v>
      </c>
      <c r="B12" s="264" t="str">
        <f>'Unit Data for Audit Worksheet'!C14</f>
        <v>Net Position-Governmental Activities</v>
      </c>
      <c r="C12" s="263" t="str">
        <f>'Unit Data for Audit Worksheet'!D14</f>
        <v>Please enter any compensated absences that are classified as current liabilities and included row 12 above (amounts entered should agree to the current amount included in the changes to long-term debt note)</v>
      </c>
      <c r="D12" s="322"/>
      <c r="E12" s="416">
        <f>'Unit Data for Audit Worksheet'!F14</f>
        <v>0</v>
      </c>
      <c r="F12" s="417">
        <f t="shared" si="4"/>
        <v>0</v>
      </c>
      <c r="G12" s="464"/>
      <c r="H12" s="418">
        <f>'Unit Data for Audit Worksheet'!I14</f>
        <v>0</v>
      </c>
      <c r="I12" s="326"/>
      <c r="J12" s="465">
        <v>628</v>
      </c>
      <c r="K12" s="468" t="s">
        <v>368</v>
      </c>
      <c r="L12" s="470">
        <f>IF(D12="",E12,D12)</f>
        <v>0</v>
      </c>
      <c r="N12" s="319"/>
      <c r="P12" s="286"/>
      <c r="Q12" s="477"/>
      <c r="R12" s="290" t="b">
        <f t="shared" si="5"/>
        <v>1</v>
      </c>
      <c r="U12" s="290" t="b">
        <f t="shared" si="6"/>
        <v>1</v>
      </c>
      <c r="V12" s="320">
        <f t="shared" si="7"/>
        <v>0</v>
      </c>
      <c r="W12" s="320">
        <f t="shared" si="3"/>
        <v>0</v>
      </c>
    </row>
    <row r="13" spans="1:23" s="290" customFormat="1" ht="108" customHeight="1" x14ac:dyDescent="0.25">
      <c r="A13" s="265">
        <f>'Unit Data for Audit Worksheet'!A15</f>
        <v>629</v>
      </c>
      <c r="B13" s="264" t="str">
        <f>'Unit Data for Audit Worksheet'!C15</f>
        <v>Net Position-Governmental Activities</v>
      </c>
      <c r="C13" s="263" t="str">
        <f>'Unit Data for Audit Worksheet'!D15</f>
        <v>Please enter any pension liabilities that are classified as current liabilities and included row 12 above (amounts entered should agree to the current amount included in the changes to long-term debt note)</v>
      </c>
      <c r="D13" s="322"/>
      <c r="E13" s="416">
        <f>'Unit Data for Audit Worksheet'!F15</f>
        <v>0</v>
      </c>
      <c r="F13" s="417">
        <f t="shared" si="4"/>
        <v>0</v>
      </c>
      <c r="G13" s="464"/>
      <c r="H13" s="418">
        <f>'Unit Data for Audit Worksheet'!I15</f>
        <v>0</v>
      </c>
      <c r="I13" s="326"/>
      <c r="J13" s="465">
        <v>629</v>
      </c>
      <c r="K13" s="468" t="s">
        <v>369</v>
      </c>
      <c r="L13" s="470">
        <f>IF(D13="",E13,D13)</f>
        <v>0</v>
      </c>
      <c r="N13" s="319"/>
      <c r="P13" s="286"/>
      <c r="Q13" s="477"/>
      <c r="R13" s="290" t="b">
        <f t="shared" si="5"/>
        <v>1</v>
      </c>
      <c r="U13" s="290" t="b">
        <f t="shared" si="6"/>
        <v>1</v>
      </c>
      <c r="V13" s="320">
        <f t="shared" si="7"/>
        <v>0</v>
      </c>
      <c r="W13" s="320">
        <f t="shared" si="3"/>
        <v>0</v>
      </c>
    </row>
    <row r="14" spans="1:23" s="290" customFormat="1" ht="102.75" customHeight="1" x14ac:dyDescent="0.25">
      <c r="A14" s="265">
        <f>'Unit Data for Audit Worksheet'!A16</f>
        <v>630</v>
      </c>
      <c r="B14" s="264" t="str">
        <f>'Unit Data for Audit Worksheet'!C16</f>
        <v>Net Position-Governmental Activities</v>
      </c>
      <c r="C14" s="263" t="str">
        <f>'Unit Data for Audit Worksheet'!D16</f>
        <v>Please enter any current liabilities that are payable from restricted assets and included row 12 above (amounts entered should agree to the current amount included in the changes to long-term debt note)</v>
      </c>
      <c r="D14" s="322"/>
      <c r="E14" s="416">
        <f>'Unit Data for Audit Worksheet'!F16</f>
        <v>0</v>
      </c>
      <c r="F14" s="417">
        <f t="shared" si="4"/>
        <v>0</v>
      </c>
      <c r="G14" s="464"/>
      <c r="H14" s="418">
        <f>'Unit Data for Audit Worksheet'!I16</f>
        <v>0</v>
      </c>
      <c r="I14" s="326"/>
      <c r="J14" s="465">
        <v>630</v>
      </c>
      <c r="K14" s="468" t="s">
        <v>370</v>
      </c>
      <c r="L14" s="470">
        <f>IF(D14="",E14,D14)</f>
        <v>0</v>
      </c>
      <c r="N14" s="319"/>
      <c r="P14" s="286"/>
      <c r="Q14" s="477"/>
      <c r="R14" s="290" t="b">
        <f t="shared" si="5"/>
        <v>1</v>
      </c>
      <c r="U14" s="290" t="b">
        <f t="shared" si="6"/>
        <v>1</v>
      </c>
      <c r="V14" s="320">
        <f t="shared" ref="V14:V43" si="8">E14-L14</f>
        <v>0</v>
      </c>
      <c r="W14" s="320">
        <f t="shared" si="3"/>
        <v>0</v>
      </c>
    </row>
    <row r="15" spans="1:23" s="290" customFormat="1" ht="109.5" customHeight="1" x14ac:dyDescent="0.25">
      <c r="A15" s="265">
        <f>'Unit Data for Audit Worksheet'!A17</f>
        <v>631</v>
      </c>
      <c r="B15" s="264" t="str">
        <f>'Unit Data for Audit Worksheet'!C17</f>
        <v>Net Position-Governmental Activities</v>
      </c>
      <c r="C15" s="263" t="str">
        <f>'Unit Data for Audit Worksheet'!D17</f>
        <v>Please enter any OPEB liabilities that are classified as current liabilities and included row 12 above (amounts entered should agree to the current amount included in the changes to long-term debt note)</v>
      </c>
      <c r="D15" s="322"/>
      <c r="E15" s="416">
        <f>'Unit Data for Audit Worksheet'!F17</f>
        <v>0</v>
      </c>
      <c r="F15" s="417">
        <f t="shared" si="4"/>
        <v>0</v>
      </c>
      <c r="G15" s="464"/>
      <c r="H15" s="418">
        <f>'Unit Data for Audit Worksheet'!I17</f>
        <v>0</v>
      </c>
      <c r="I15" s="326"/>
      <c r="J15" s="465">
        <v>631</v>
      </c>
      <c r="K15" s="468" t="s">
        <v>371</v>
      </c>
      <c r="L15" s="470">
        <f>IF(D15="",E15,D15)</f>
        <v>0</v>
      </c>
      <c r="N15" s="319"/>
      <c r="P15" s="286"/>
      <c r="Q15" s="477"/>
      <c r="R15" s="290" t="b">
        <f t="shared" si="5"/>
        <v>1</v>
      </c>
      <c r="U15" s="290" t="b">
        <f t="shared" si="6"/>
        <v>1</v>
      </c>
      <c r="V15" s="320">
        <f t="shared" si="8"/>
        <v>0</v>
      </c>
      <c r="W15" s="320">
        <f t="shared" si="3"/>
        <v>0</v>
      </c>
    </row>
    <row r="16" spans="1:23" s="272" customFormat="1" ht="49.5" customHeight="1" x14ac:dyDescent="0.25">
      <c r="A16" s="254">
        <f>'Unit Data for Audit Worksheet'!A18</f>
        <v>338</v>
      </c>
      <c r="B16" s="168" t="str">
        <f>'Unit Data for Audit Worksheet'!C18</f>
        <v>Net Position-Governmental Activities</v>
      </c>
      <c r="C16" s="253" t="str">
        <f>'Unit Data for Audit Worksheet'!D18</f>
        <v>Total Liabilities and total deferred inflows</v>
      </c>
      <c r="D16" s="322"/>
      <c r="E16" s="284">
        <f>'Unit Data for Audit Worksheet'!F18</f>
        <v>0</v>
      </c>
      <c r="F16" s="153" t="str">
        <f>IF(L10&gt;L16,"Please review accounts 626 greater than 338","")</f>
        <v/>
      </c>
      <c r="G16" s="189"/>
      <c r="H16" s="150">
        <f>'Unit Data for Audit Worksheet'!I18</f>
        <v>0</v>
      </c>
      <c r="I16" s="326"/>
      <c r="J16" s="147">
        <v>338</v>
      </c>
      <c r="K16" s="231" t="s">
        <v>63</v>
      </c>
      <c r="L16" s="335">
        <f>IF(D16="",E16,D16)+IF(D9="",E9,D9)</f>
        <v>0</v>
      </c>
      <c r="N16" s="202" t="s">
        <v>193</v>
      </c>
      <c r="P16" s="286"/>
      <c r="Q16" s="478"/>
      <c r="U16" s="272" t="b">
        <f t="shared" si="0"/>
        <v>1</v>
      </c>
      <c r="V16" s="320">
        <f t="shared" si="8"/>
        <v>0</v>
      </c>
      <c r="W16" s="320">
        <f t="shared" si="3"/>
        <v>0</v>
      </c>
    </row>
    <row r="17" spans="1:23" s="272" customFormat="1" ht="89.25" customHeight="1" x14ac:dyDescent="0.25">
      <c r="A17" s="254">
        <f>'Unit Data for Audit Worksheet'!A19</f>
        <v>335</v>
      </c>
      <c r="B17" s="168" t="str">
        <f>'Unit Data for Audit Worksheet'!C19</f>
        <v>Net Position-Governmental Activities</v>
      </c>
      <c r="C17" s="253" t="str">
        <f>'Unit Data for Audit Worksheet'!D19</f>
        <v>Unearned revenues that were included in current liabilities in your audit report or entered in acct # 336 above. 
Exclude - unearned revenues that are listed in deferred inflows.</v>
      </c>
      <c r="D17" s="322"/>
      <c r="E17" s="284">
        <f>'Unit Data for Audit Worksheet'!F19</f>
        <v>0</v>
      </c>
      <c r="F17" s="153">
        <f>IF(L17&lt;0,"Error: Enter as a positive.",)</f>
        <v>0</v>
      </c>
      <c r="G17" s="189"/>
      <c r="H17" s="150">
        <f>'Unit Data for Audit Worksheet'!I19</f>
        <v>0</v>
      </c>
      <c r="I17" s="326"/>
      <c r="J17" s="147">
        <v>335</v>
      </c>
      <c r="K17" s="231" t="s">
        <v>64</v>
      </c>
      <c r="L17" s="335">
        <f t="shared" ref="L17:L46" si="9">IF(D17="",E17,D17)</f>
        <v>0</v>
      </c>
      <c r="P17" s="286"/>
      <c r="Q17" s="478"/>
      <c r="U17" s="272" t="b">
        <f t="shared" si="0"/>
        <v>1</v>
      </c>
      <c r="V17" s="320">
        <f t="shared" si="8"/>
        <v>0</v>
      </c>
      <c r="W17" s="320">
        <f t="shared" si="3"/>
        <v>0</v>
      </c>
    </row>
    <row r="18" spans="1:23" ht="46.5" customHeight="1" x14ac:dyDescent="0.25">
      <c r="A18" s="160">
        <f>'Unit Data for Audit Worksheet'!A20</f>
        <v>252</v>
      </c>
      <c r="B18" s="168" t="str">
        <f>'Unit Data for Audit Worksheet'!C20</f>
        <v>Net Position-Governmental Activities</v>
      </c>
      <c r="C18" s="158" t="str">
        <f>'Unit Data for Audit Worksheet'!D20</f>
        <v xml:space="preserve"> Total Net investment in capital assets</v>
      </c>
      <c r="D18" s="322"/>
      <c r="E18" s="284">
        <f>'Unit Data for Audit Worksheet'!F20</f>
        <v>0</v>
      </c>
      <c r="F18" s="153"/>
      <c r="G18" s="189"/>
      <c r="H18" s="150">
        <f>'Unit Data for Audit Worksheet'!I20</f>
        <v>0</v>
      </c>
      <c r="I18" s="326"/>
      <c r="J18" s="147">
        <v>252</v>
      </c>
      <c r="K18" s="146" t="s">
        <v>56</v>
      </c>
      <c r="L18" s="340">
        <f t="shared" si="9"/>
        <v>0</v>
      </c>
      <c r="O18" s="140" t="e">
        <f>'Unit Data for Audit Worksheet'!E20</f>
        <v>#N/A</v>
      </c>
      <c r="P18" s="286"/>
      <c r="Q18" s="476"/>
      <c r="S18" s="224"/>
      <c r="U18" s="252" t="b">
        <f t="shared" si="0"/>
        <v>1</v>
      </c>
      <c r="V18" s="320">
        <f t="shared" si="8"/>
        <v>0</v>
      </c>
      <c r="W18" s="320">
        <f t="shared" si="3"/>
        <v>0</v>
      </c>
    </row>
    <row r="19" spans="1:23" ht="45" customHeight="1" x14ac:dyDescent="0.25">
      <c r="A19" s="160">
        <f>'Unit Data for Audit Worksheet'!A21</f>
        <v>253</v>
      </c>
      <c r="B19" s="168" t="str">
        <f>'Unit Data for Audit Worksheet'!C21</f>
        <v>Net Position-Governmental Activities</v>
      </c>
      <c r="C19" s="158" t="str">
        <f>'Unit Data for Audit Worksheet'!D21</f>
        <v xml:space="preserve"> Total Net Position, Restricted</v>
      </c>
      <c r="D19" s="322"/>
      <c r="E19" s="284">
        <f>'Unit Data for Audit Worksheet'!F21</f>
        <v>0</v>
      </c>
      <c r="F19" s="153"/>
      <c r="G19" s="189"/>
      <c r="H19" s="150">
        <f>'Unit Data for Audit Worksheet'!I21</f>
        <v>0</v>
      </c>
      <c r="I19" s="326"/>
      <c r="J19" s="147">
        <v>253</v>
      </c>
      <c r="K19" s="146" t="s">
        <v>57</v>
      </c>
      <c r="L19" s="340">
        <f t="shared" si="9"/>
        <v>0</v>
      </c>
      <c r="O19" s="140" t="e">
        <f>'Unit Data for Audit Worksheet'!E21</f>
        <v>#N/A</v>
      </c>
      <c r="P19" s="286"/>
      <c r="Q19" s="476"/>
      <c r="S19" s="224"/>
      <c r="U19" s="252" t="b">
        <f t="shared" si="0"/>
        <v>1</v>
      </c>
      <c r="V19" s="320">
        <f t="shared" si="8"/>
        <v>0</v>
      </c>
      <c r="W19" s="320">
        <f t="shared" si="3"/>
        <v>0</v>
      </c>
    </row>
    <row r="20" spans="1:23" ht="54.75" customHeight="1" x14ac:dyDescent="0.25">
      <c r="A20" s="160">
        <f>'Unit Data for Audit Worksheet'!A22</f>
        <v>254</v>
      </c>
      <c r="B20" s="168" t="str">
        <f>'Unit Data for Audit Worksheet'!C22</f>
        <v>Net Position-Governmental Activities</v>
      </c>
      <c r="C20" s="158" t="str">
        <f>'Unit Data for Audit Worksheet'!D22</f>
        <v>Total Net Position, Unrestricted</v>
      </c>
      <c r="D20" s="322"/>
      <c r="E20" s="284">
        <f>'Unit Data for Audit Worksheet'!F22</f>
        <v>0</v>
      </c>
      <c r="F20" s="153">
        <f>IF((L7-L16-L18-L19-L20)=0,,"Error: Total assets and deferred outflows less total liabilities and deferred inflows do not equal total net position accts 385-338-252-253-254")</f>
        <v>0</v>
      </c>
      <c r="G20" s="238">
        <f>+L7-L16-L18-L19-L20</f>
        <v>0</v>
      </c>
      <c r="H20" s="150">
        <f>'Unit Data for Audit Worksheet'!I22</f>
        <v>0</v>
      </c>
      <c r="I20" s="326"/>
      <c r="J20" s="147">
        <v>254</v>
      </c>
      <c r="K20" s="146" t="s">
        <v>58</v>
      </c>
      <c r="L20" s="340">
        <f t="shared" si="9"/>
        <v>0</v>
      </c>
      <c r="O20" s="140" t="e">
        <f>'Unit Data for Audit Worksheet'!E22</f>
        <v>#N/A</v>
      </c>
      <c r="P20" s="286"/>
      <c r="Q20" s="476">
        <f>IF(G20&lt;&gt;0,1,0)</f>
        <v>0</v>
      </c>
      <c r="S20" s="224"/>
      <c r="U20" s="252" t="b">
        <f t="shared" si="0"/>
        <v>1</v>
      </c>
      <c r="V20" s="320">
        <f t="shared" si="8"/>
        <v>0</v>
      </c>
      <c r="W20" s="320">
        <f t="shared" si="3"/>
        <v>0</v>
      </c>
    </row>
    <row r="21" spans="1:23" ht="48.75" customHeight="1" x14ac:dyDescent="0.25">
      <c r="A21" s="160">
        <f>'Unit Data for Audit Worksheet'!A24</f>
        <v>502</v>
      </c>
      <c r="B21" s="168" t="str">
        <f>'Unit Data for Audit Worksheet'!C24</f>
        <v>Net Position-Business Activities</v>
      </c>
      <c r="C21" s="158" t="str">
        <f>'Unit Data for Audit Worksheet'!D24</f>
        <v xml:space="preserve">All unrestricted Cash and investments. 
Exclude restricted cash and cash held by a third party. </v>
      </c>
      <c r="D21" s="322"/>
      <c r="E21" s="284">
        <f>'Unit Data for Audit Worksheet'!F24</f>
        <v>0</v>
      </c>
      <c r="F21" s="153">
        <f>IF(L21&lt;0,"Error: Number is normally positive.",)</f>
        <v>0</v>
      </c>
      <c r="G21" s="189"/>
      <c r="H21" s="150">
        <f>'Unit Data for Audit Worksheet'!I24</f>
        <v>0</v>
      </c>
      <c r="I21" s="326"/>
      <c r="J21" s="147">
        <v>502</v>
      </c>
      <c r="K21" s="146" t="s">
        <v>114</v>
      </c>
      <c r="L21" s="339">
        <f t="shared" si="9"/>
        <v>0</v>
      </c>
      <c r="P21" s="286"/>
      <c r="Q21" s="476"/>
      <c r="S21" s="224"/>
      <c r="U21" s="252" t="b">
        <f t="shared" si="0"/>
        <v>1</v>
      </c>
      <c r="V21" s="320">
        <f t="shared" si="8"/>
        <v>0</v>
      </c>
      <c r="W21" s="320">
        <f t="shared" si="3"/>
        <v>0</v>
      </c>
    </row>
    <row r="22" spans="1:23" ht="48.75" customHeight="1" x14ac:dyDescent="0.25">
      <c r="A22" s="160">
        <f>'Unit Data for Audit Worksheet'!A25</f>
        <v>503</v>
      </c>
      <c r="B22" s="168" t="str">
        <f>'Unit Data for Audit Worksheet'!C25</f>
        <v>Net Position-Business Activities</v>
      </c>
      <c r="C22" s="158" t="str">
        <f>'Unit Data for Audit Worksheet'!D25</f>
        <v>All restricted Cash and investments</v>
      </c>
      <c r="D22" s="322"/>
      <c r="E22" s="284">
        <f>'Unit Data for Audit Worksheet'!F25</f>
        <v>0</v>
      </c>
      <c r="F22" s="153">
        <f>IF(L22&lt;0,"Error: Number is normally positive.",)</f>
        <v>0</v>
      </c>
      <c r="G22" s="189"/>
      <c r="H22" s="150">
        <f>'Unit Data for Audit Worksheet'!I25</f>
        <v>0</v>
      </c>
      <c r="I22" s="326"/>
      <c r="J22" s="147">
        <v>503</v>
      </c>
      <c r="K22" s="146" t="s">
        <v>115</v>
      </c>
      <c r="L22" s="339">
        <f t="shared" si="9"/>
        <v>0</v>
      </c>
      <c r="P22" s="286"/>
      <c r="Q22" s="476"/>
      <c r="S22" s="224"/>
      <c r="U22" s="252" t="b">
        <f t="shared" si="0"/>
        <v>1</v>
      </c>
      <c r="V22" s="320">
        <f t="shared" si="8"/>
        <v>0</v>
      </c>
      <c r="W22" s="320">
        <f t="shared" si="3"/>
        <v>0</v>
      </c>
    </row>
    <row r="23" spans="1:23" ht="48.75" customHeight="1" x14ac:dyDescent="0.25">
      <c r="A23" s="160">
        <f>'Unit Data for Audit Worksheet'!A27</f>
        <v>388</v>
      </c>
      <c r="B23" s="168" t="str">
        <f>'Unit Data for Audit Worksheet'!C27</f>
        <v>Statement of Activities - Governmental</v>
      </c>
      <c r="C23" s="158" t="str">
        <f>'Unit Data for Audit Worksheet'!D27</f>
        <v>Total Expenses - Exclude Transfers</v>
      </c>
      <c r="D23" s="322"/>
      <c r="E23" s="284">
        <f>'Unit Data for Audit Worksheet'!F27</f>
        <v>0</v>
      </c>
      <c r="F23" s="153">
        <f t="shared" ref="F23:F28" si="10">IF(L23&lt;0,"Error: Number is normally positive.",)</f>
        <v>0</v>
      </c>
      <c r="G23" s="189"/>
      <c r="H23" s="150">
        <f>'Unit Data for Audit Worksheet'!I27</f>
        <v>0</v>
      </c>
      <c r="I23" s="326"/>
      <c r="J23" s="147">
        <v>388</v>
      </c>
      <c r="K23" s="146" t="s">
        <v>116</v>
      </c>
      <c r="L23" s="339">
        <f t="shared" si="9"/>
        <v>0</v>
      </c>
      <c r="P23" s="286"/>
      <c r="Q23" s="476"/>
      <c r="S23" s="224"/>
      <c r="U23" s="252" t="b">
        <f t="shared" si="0"/>
        <v>1</v>
      </c>
      <c r="V23" s="320">
        <f t="shared" si="8"/>
        <v>0</v>
      </c>
      <c r="W23" s="320">
        <f t="shared" si="3"/>
        <v>0</v>
      </c>
    </row>
    <row r="24" spans="1:23" ht="48.75" customHeight="1" x14ac:dyDescent="0.25">
      <c r="A24" s="160">
        <f>'Unit Data for Audit Worksheet'!A28</f>
        <v>339</v>
      </c>
      <c r="B24" s="168" t="str">
        <f>'Unit Data for Audit Worksheet'!C28</f>
        <v>Statement of Activities - Governmental</v>
      </c>
      <c r="C24" s="158" t="str">
        <f>'Unit Data for Audit Worksheet'!D28</f>
        <v xml:space="preserve">Charges for services </v>
      </c>
      <c r="D24" s="322"/>
      <c r="E24" s="284">
        <f>'Unit Data for Audit Worksheet'!F28</f>
        <v>0</v>
      </c>
      <c r="F24" s="153">
        <f t="shared" si="10"/>
        <v>0</v>
      </c>
      <c r="G24" s="189"/>
      <c r="H24" s="150">
        <f>'Unit Data for Audit Worksheet'!I28</f>
        <v>0</v>
      </c>
      <c r="I24" s="326"/>
      <c r="J24" s="147">
        <v>339</v>
      </c>
      <c r="K24" s="146" t="s">
        <v>117</v>
      </c>
      <c r="L24" s="339">
        <f t="shared" si="9"/>
        <v>0</v>
      </c>
      <c r="P24" s="286"/>
      <c r="Q24" s="476"/>
      <c r="S24" s="224"/>
      <c r="U24" s="252" t="b">
        <f t="shared" si="0"/>
        <v>1</v>
      </c>
      <c r="V24" s="320">
        <f t="shared" si="8"/>
        <v>0</v>
      </c>
      <c r="W24" s="320">
        <f t="shared" si="3"/>
        <v>0</v>
      </c>
    </row>
    <row r="25" spans="1:23" ht="48.75" customHeight="1" x14ac:dyDescent="0.25">
      <c r="A25" s="160">
        <f>'Unit Data for Audit Worksheet'!A29</f>
        <v>504</v>
      </c>
      <c r="B25" s="168" t="str">
        <f>'Unit Data for Audit Worksheet'!C29</f>
        <v>Statement of Activities - Governmental</v>
      </c>
      <c r="C25" s="158" t="str">
        <f>'Unit Data for Audit Worksheet'!D29</f>
        <v>Operating grants and contributions</v>
      </c>
      <c r="D25" s="322"/>
      <c r="E25" s="284">
        <f>'Unit Data for Audit Worksheet'!F29</f>
        <v>0</v>
      </c>
      <c r="F25" s="153">
        <f t="shared" si="10"/>
        <v>0</v>
      </c>
      <c r="G25" s="189"/>
      <c r="H25" s="150">
        <f>'Unit Data for Audit Worksheet'!I29</f>
        <v>0</v>
      </c>
      <c r="I25" s="326"/>
      <c r="J25" s="147">
        <v>504</v>
      </c>
      <c r="K25" s="146" t="s">
        <v>118</v>
      </c>
      <c r="L25" s="339">
        <f t="shared" si="9"/>
        <v>0</v>
      </c>
      <c r="P25" s="286"/>
      <c r="Q25" s="476"/>
      <c r="S25" s="224"/>
      <c r="U25" s="252" t="b">
        <f t="shared" si="0"/>
        <v>1</v>
      </c>
      <c r="V25" s="320">
        <f t="shared" si="8"/>
        <v>0</v>
      </c>
      <c r="W25" s="320">
        <f t="shared" si="3"/>
        <v>0</v>
      </c>
    </row>
    <row r="26" spans="1:23" ht="48.75" customHeight="1" x14ac:dyDescent="0.25">
      <c r="A26" s="160">
        <f>'Unit Data for Audit Worksheet'!A30</f>
        <v>505</v>
      </c>
      <c r="B26" s="168" t="str">
        <f>'Unit Data for Audit Worksheet'!C30</f>
        <v>Statement of Activities - Governmental</v>
      </c>
      <c r="C26" s="158" t="str">
        <f>'Unit Data for Audit Worksheet'!D30</f>
        <v>Capital grants and contributions</v>
      </c>
      <c r="D26" s="322"/>
      <c r="E26" s="284">
        <f>'Unit Data for Audit Worksheet'!F30</f>
        <v>0</v>
      </c>
      <c r="F26" s="153">
        <f t="shared" si="10"/>
        <v>0</v>
      </c>
      <c r="G26" s="189"/>
      <c r="H26" s="150">
        <f>'Unit Data for Audit Worksheet'!I30</f>
        <v>0</v>
      </c>
      <c r="I26" s="326"/>
      <c r="J26" s="147">
        <v>505</v>
      </c>
      <c r="K26" s="146" t="s">
        <v>119</v>
      </c>
      <c r="L26" s="339">
        <f t="shared" si="9"/>
        <v>0</v>
      </c>
      <c r="P26" s="286"/>
      <c r="Q26" s="476"/>
      <c r="S26" s="224"/>
      <c r="U26" s="252" t="b">
        <f t="shared" si="0"/>
        <v>1</v>
      </c>
      <c r="V26" s="320">
        <f t="shared" si="8"/>
        <v>0</v>
      </c>
      <c r="W26" s="320">
        <f t="shared" si="3"/>
        <v>0</v>
      </c>
    </row>
    <row r="27" spans="1:23" ht="72" customHeight="1" x14ac:dyDescent="0.25">
      <c r="A27" s="160">
        <f>'Unit Data for Audit Worksheet'!A31</f>
        <v>341</v>
      </c>
      <c r="B27" s="168" t="str">
        <f>'Unit Data for Audit Worksheet'!C31</f>
        <v>Statement of Activities - Governmental</v>
      </c>
      <c r="C27" s="158" t="str">
        <f>'Unit Data for Audit Worksheet'!D31</f>
        <v>Total General revenues
Exclude: transfers-in or out,
                 special items,
                 extraordinary amounts</v>
      </c>
      <c r="D27" s="322"/>
      <c r="E27" s="284">
        <f>'Unit Data for Audit Worksheet'!F31</f>
        <v>0</v>
      </c>
      <c r="F27" s="153">
        <f t="shared" si="10"/>
        <v>0</v>
      </c>
      <c r="G27" s="189"/>
      <c r="H27" s="150">
        <f>'Unit Data for Audit Worksheet'!I31</f>
        <v>0</v>
      </c>
      <c r="I27" s="326"/>
      <c r="J27" s="147">
        <v>341</v>
      </c>
      <c r="K27" s="146" t="s">
        <v>120</v>
      </c>
      <c r="L27" s="339">
        <f t="shared" si="9"/>
        <v>0</v>
      </c>
      <c r="P27" s="286"/>
      <c r="Q27" s="476"/>
      <c r="S27" s="224"/>
      <c r="U27" s="252" t="b">
        <f t="shared" si="0"/>
        <v>1</v>
      </c>
      <c r="V27" s="320">
        <f t="shared" si="8"/>
        <v>0</v>
      </c>
      <c r="W27" s="320">
        <f t="shared" si="3"/>
        <v>0</v>
      </c>
    </row>
    <row r="28" spans="1:23" ht="57.75" customHeight="1" x14ac:dyDescent="0.25">
      <c r="A28" s="160">
        <f>'Unit Data for Audit Worksheet'!A32</f>
        <v>386</v>
      </c>
      <c r="B28" s="168" t="str">
        <f>'Unit Data for Audit Worksheet'!C32</f>
        <v>Statement of Activities - Governmental</v>
      </c>
      <c r="C28" s="158" t="str">
        <f>'Unit Data for Audit Worksheet'!D32</f>
        <v>Total Transfers in    (Preference is that transfers-in  are not netted against transfers-out)</v>
      </c>
      <c r="D28" s="322"/>
      <c r="E28" s="284">
        <f>'Unit Data for Audit Worksheet'!F32</f>
        <v>0</v>
      </c>
      <c r="F28" s="153">
        <f t="shared" si="10"/>
        <v>0</v>
      </c>
      <c r="G28" s="189"/>
      <c r="H28" s="150">
        <f>'Unit Data for Audit Worksheet'!I32</f>
        <v>0</v>
      </c>
      <c r="I28" s="326"/>
      <c r="J28" s="147">
        <v>386</v>
      </c>
      <c r="K28" s="146" t="s">
        <v>121</v>
      </c>
      <c r="L28" s="339">
        <f t="shared" si="9"/>
        <v>0</v>
      </c>
      <c r="P28" s="286"/>
      <c r="Q28" s="476"/>
      <c r="S28" s="224"/>
      <c r="U28" s="252" t="b">
        <f t="shared" si="0"/>
        <v>1</v>
      </c>
      <c r="V28" s="320">
        <f t="shared" si="8"/>
        <v>0</v>
      </c>
      <c r="W28" s="320">
        <f t="shared" si="3"/>
        <v>0</v>
      </c>
    </row>
    <row r="29" spans="1:23" ht="57.75" customHeight="1" x14ac:dyDescent="0.25">
      <c r="A29" s="160">
        <f>'Unit Data for Audit Worksheet'!A33</f>
        <v>387</v>
      </c>
      <c r="B29" s="168" t="str">
        <f>'Unit Data for Audit Worksheet'!C33</f>
        <v>Statement of Activities - Governmental</v>
      </c>
      <c r="C29" s="158" t="str">
        <f>'Unit Data for Audit Worksheet'!D33</f>
        <v>Total Transfers out    (Preference is that transfers-in  are not netted against transfers-out)</v>
      </c>
      <c r="D29" s="322"/>
      <c r="E29" s="284">
        <f>'Unit Data for Audit Worksheet'!F33</f>
        <v>0</v>
      </c>
      <c r="F29" s="153">
        <f>IF(L29&lt;0,"Error: Enter as a positive.",)</f>
        <v>0</v>
      </c>
      <c r="G29" s="189"/>
      <c r="H29" s="150">
        <f>'Unit Data for Audit Worksheet'!I33</f>
        <v>0</v>
      </c>
      <c r="I29" s="326"/>
      <c r="J29" s="147">
        <v>387</v>
      </c>
      <c r="K29" s="146" t="s">
        <v>122</v>
      </c>
      <c r="L29" s="339">
        <f t="shared" si="9"/>
        <v>0</v>
      </c>
      <c r="P29" s="286"/>
      <c r="Q29" s="476"/>
      <c r="S29" s="224"/>
      <c r="U29" s="252" t="b">
        <f t="shared" si="0"/>
        <v>1</v>
      </c>
      <c r="V29" s="320">
        <f t="shared" si="8"/>
        <v>0</v>
      </c>
      <c r="W29" s="320">
        <f t="shared" si="3"/>
        <v>0</v>
      </c>
    </row>
    <row r="30" spans="1:23" ht="88.5" customHeight="1" x14ac:dyDescent="0.25">
      <c r="A30" s="160">
        <f>'Unit Data for Audit Worksheet'!A34</f>
        <v>389</v>
      </c>
      <c r="B30" s="168" t="str">
        <f>'Unit Data for Audit Worksheet'!C34</f>
        <v>Statement of Activities - Governmental</v>
      </c>
      <c r="C30" s="158" t="str">
        <f>'Unit Data for Audit Worksheet'!D34</f>
        <v>Total Special and Extraordinary items.    (Amounts that increase net position are recorded as positive and amounts that decrease net position are recorded as negative)</v>
      </c>
      <c r="D30" s="322"/>
      <c r="E30" s="284">
        <f>'Unit Data for Audit Worksheet'!F34</f>
        <v>0</v>
      </c>
      <c r="F30" s="153"/>
      <c r="G30" s="189"/>
      <c r="H30" s="150">
        <f>'Unit Data for Audit Worksheet'!I34</f>
        <v>0</v>
      </c>
      <c r="I30" s="326"/>
      <c r="J30" s="147">
        <v>389</v>
      </c>
      <c r="K30" s="146" t="s">
        <v>123</v>
      </c>
      <c r="L30" s="339">
        <f t="shared" si="9"/>
        <v>0</v>
      </c>
      <c r="P30" s="286"/>
      <c r="Q30" s="476"/>
      <c r="S30" s="224"/>
      <c r="U30" s="252" t="b">
        <f t="shared" si="0"/>
        <v>1</v>
      </c>
      <c r="V30" s="320">
        <f t="shared" si="8"/>
        <v>0</v>
      </c>
      <c r="W30" s="320">
        <f t="shared" si="3"/>
        <v>0</v>
      </c>
    </row>
    <row r="31" spans="1:23" ht="79.5" customHeight="1" x14ac:dyDescent="0.25">
      <c r="A31" s="160">
        <f>'Unit Data for Audit Worksheet'!A35</f>
        <v>255</v>
      </c>
      <c r="B31" s="168" t="str">
        <f>'Unit Data for Audit Worksheet'!C35</f>
        <v>Statement of Activities - Governmental</v>
      </c>
      <c r="C31" s="158" t="str">
        <f>'Unit Data for Audit Worksheet'!D35</f>
        <v>Total Change in net position - (Increase in net position is recorded as a positive and a decrease in net position is recorded as a negative)</v>
      </c>
      <c r="D31" s="322"/>
      <c r="E31" s="284">
        <f>'Unit Data for Audit Worksheet'!F35</f>
        <v>0</v>
      </c>
      <c r="F31" s="153">
        <f>IF((L24+L25+L26+L27+L28-L29+L30-L23-L31)=0,,"Total revenues less total expenses do not equal total change in net position. Acct 339+504+505+341+386-387+389-388-255=0")</f>
        <v>0</v>
      </c>
      <c r="G31" s="238">
        <f>L24+L25+L26+L27+L28-L29+L30-L23-L31</f>
        <v>0</v>
      </c>
      <c r="H31" s="150">
        <f>'Unit Data for Audit Worksheet'!I35</f>
        <v>0</v>
      </c>
      <c r="I31" s="326"/>
      <c r="J31" s="147">
        <v>255</v>
      </c>
      <c r="K31" s="146" t="s">
        <v>124</v>
      </c>
      <c r="L31" s="339">
        <f t="shared" si="9"/>
        <v>0</v>
      </c>
      <c r="O31" s="140" t="e">
        <f>'Unit Data for Audit Worksheet'!E35</f>
        <v>#N/A</v>
      </c>
      <c r="P31" s="286"/>
      <c r="Q31" s="476">
        <f>IF(G31&lt;&gt;0,1,0)</f>
        <v>0</v>
      </c>
      <c r="S31" s="224"/>
      <c r="U31" s="252" t="b">
        <f t="shared" si="0"/>
        <v>1</v>
      </c>
      <c r="V31" s="320">
        <f t="shared" si="8"/>
        <v>0</v>
      </c>
      <c r="W31" s="320">
        <f t="shared" si="3"/>
        <v>0</v>
      </c>
    </row>
    <row r="32" spans="1:23" ht="89.25" customHeight="1" x14ac:dyDescent="0.25">
      <c r="A32" s="160">
        <f>'Unit Data for Audit Worksheet'!A36</f>
        <v>376</v>
      </c>
      <c r="B32" s="168" t="str">
        <f>'Unit Data for Audit Worksheet'!C36</f>
        <v>Statement of Activities - Governmental</v>
      </c>
      <c r="C32" s="158" t="str">
        <f>'Unit Data for Audit Worksheet'!D36</f>
        <v>Any adjustment to beginning net position including rounding, prior period adjustments and restatements.   (Increases to net position are positive; decreases to net position are negative)</v>
      </c>
      <c r="D32" s="322"/>
      <c r="E32" s="284">
        <f>'Unit Data for Audit Worksheet'!F36</f>
        <v>0</v>
      </c>
      <c r="F32" s="153" t="e">
        <f>IF(L18+L19+L20-L31-L32=O18+O19+O20,,"Beginning Balance does not agree with our records acct (252+253+254-255-376=252+253+254)")</f>
        <v>#N/A</v>
      </c>
      <c r="G32" s="237" t="e">
        <f>L18+L19+L20-L31-L32-(O18+O19+O20)</f>
        <v>#N/A</v>
      </c>
      <c r="H32" s="150">
        <f>'Unit Data for Audit Worksheet'!I36</f>
        <v>0</v>
      </c>
      <c r="I32" s="326"/>
      <c r="J32" s="147">
        <v>376</v>
      </c>
      <c r="K32" s="146" t="s">
        <v>59</v>
      </c>
      <c r="L32" s="339">
        <f t="shared" si="9"/>
        <v>0</v>
      </c>
      <c r="O32" s="140" t="e">
        <f>'Unit Data for Audit Worksheet'!E36</f>
        <v>#N/A</v>
      </c>
      <c r="P32" s="286"/>
      <c r="Q32" s="476" t="e">
        <f>IF(G32&lt;&gt;0,1,0)</f>
        <v>#N/A</v>
      </c>
      <c r="S32" s="224"/>
      <c r="U32" s="252" t="b">
        <f t="shared" si="0"/>
        <v>1</v>
      </c>
      <c r="V32" s="320">
        <f t="shared" si="8"/>
        <v>0</v>
      </c>
      <c r="W32" s="320">
        <f t="shared" si="3"/>
        <v>0</v>
      </c>
    </row>
    <row r="33" spans="1:23" s="224" customFormat="1" ht="60" customHeight="1" x14ac:dyDescent="0.25">
      <c r="A33" s="160">
        <f>'Unit Data for Audit Worksheet'!A38</f>
        <v>591</v>
      </c>
      <c r="B33" s="168" t="str">
        <f>'Unit Data for Audit Worksheet'!C38</f>
        <v>Statement of Activities - Business Activities</v>
      </c>
      <c r="C33" s="213" t="str">
        <f>'Unit Data for Audit Worksheet'!D38</f>
        <v>Total Expenses - Exclude Transfers</v>
      </c>
      <c r="D33" s="322"/>
      <c r="E33" s="284">
        <f>'Unit Data for Audit Worksheet'!F38</f>
        <v>0</v>
      </c>
      <c r="F33" s="152"/>
      <c r="G33" s="193"/>
      <c r="H33" s="150">
        <f>'Unit Data for Audit Worksheet'!I38</f>
        <v>0</v>
      </c>
      <c r="I33" s="326"/>
      <c r="J33" s="147">
        <v>591</v>
      </c>
      <c r="K33" s="231" t="s">
        <v>326</v>
      </c>
      <c r="L33" s="338">
        <f t="shared" si="9"/>
        <v>0</v>
      </c>
      <c r="O33" s="140"/>
      <c r="P33" s="286"/>
      <c r="Q33" s="476"/>
      <c r="U33" s="252" t="b">
        <f t="shared" si="0"/>
        <v>1</v>
      </c>
      <c r="V33" s="320">
        <f t="shared" si="8"/>
        <v>0</v>
      </c>
      <c r="W33" s="320">
        <f t="shared" si="3"/>
        <v>0</v>
      </c>
    </row>
    <row r="34" spans="1:23" s="224" customFormat="1" ht="78" customHeight="1" x14ac:dyDescent="0.25">
      <c r="A34" s="160">
        <f>'Unit Data for Audit Worksheet'!A39</f>
        <v>592</v>
      </c>
      <c r="B34" s="168" t="str">
        <f>'Unit Data for Audit Worksheet'!C39</f>
        <v>Statement of activities - Business-Type</v>
      </c>
      <c r="C34" s="213" t="str">
        <f>'Unit Data for Audit Worksheet'!D39</f>
        <v>Total change in Net Position - Business-Type
(Increases to net position are positive; decreases to net position are negative)</v>
      </c>
      <c r="D34" s="322"/>
      <c r="E34" s="284">
        <f>'Unit Data for Audit Worksheet'!F39</f>
        <v>0</v>
      </c>
      <c r="F34" s="152"/>
      <c r="G34" s="193"/>
      <c r="H34" s="150">
        <f>'Unit Data for Audit Worksheet'!I39</f>
        <v>0</v>
      </c>
      <c r="I34" s="326"/>
      <c r="J34" s="147">
        <v>592</v>
      </c>
      <c r="K34" s="231" t="s">
        <v>325</v>
      </c>
      <c r="L34" s="338">
        <f t="shared" si="9"/>
        <v>0</v>
      </c>
      <c r="O34" s="140"/>
      <c r="P34" s="286"/>
      <c r="Q34" s="476"/>
      <c r="U34" s="252" t="b">
        <f t="shared" si="0"/>
        <v>1</v>
      </c>
      <c r="V34" s="320">
        <f t="shared" si="8"/>
        <v>0</v>
      </c>
      <c r="W34" s="320">
        <f t="shared" si="3"/>
        <v>0</v>
      </c>
    </row>
    <row r="35" spans="1:23" ht="60" customHeight="1" x14ac:dyDescent="0.25">
      <c r="A35" s="160">
        <f>'Unit Data for Audit Worksheet'!A41</f>
        <v>506</v>
      </c>
      <c r="B35" s="399" t="str">
        <f>'Unit Data for Audit Worksheet'!C41</f>
        <v>General Fund-Balance Sheet</v>
      </c>
      <c r="C35" s="400" t="str">
        <f>'Unit Data for Audit Worksheet'!D41</f>
        <v xml:space="preserve">All unrestricted cash and investments.  
Exclude restricted cash and cash held by a third party. </v>
      </c>
      <c r="D35" s="401"/>
      <c r="E35" s="402">
        <f>'Unit Data for Audit Worksheet'!F41</f>
        <v>0</v>
      </c>
      <c r="F35" s="403">
        <f>IF(L35&lt;0,"Error: Number is normally positive.",)</f>
        <v>0</v>
      </c>
      <c r="G35" s="404"/>
      <c r="H35" s="150">
        <f>'Unit Data for Audit Worksheet'!I41</f>
        <v>0</v>
      </c>
      <c r="I35" s="326"/>
      <c r="J35" s="405">
        <v>506</v>
      </c>
      <c r="K35" s="146" t="s">
        <v>125</v>
      </c>
      <c r="L35" s="406">
        <f t="shared" si="9"/>
        <v>0</v>
      </c>
      <c r="P35" s="286"/>
      <c r="Q35" s="476"/>
      <c r="S35" s="224"/>
      <c r="U35" s="252" t="b">
        <f t="shared" si="0"/>
        <v>1</v>
      </c>
      <c r="V35" s="320">
        <f t="shared" si="8"/>
        <v>0</v>
      </c>
      <c r="W35" s="320">
        <f t="shared" si="3"/>
        <v>0</v>
      </c>
    </row>
    <row r="36" spans="1:23" ht="45.75" customHeight="1" x14ac:dyDescent="0.25">
      <c r="A36" s="160">
        <v>536</v>
      </c>
      <c r="B36" s="399" t="str">
        <f>'Unit Data for Audit Worksheet'!C42</f>
        <v>General Fund-Balance Sheet</v>
      </c>
      <c r="C36" s="400" t="str">
        <f>'Unit Data for Audit Worksheet'!D42</f>
        <v>All restricted cash and investments</v>
      </c>
      <c r="D36" s="401"/>
      <c r="E36" s="402">
        <f>'Unit Data for Audit Worksheet'!F42</f>
        <v>0</v>
      </c>
      <c r="F36" s="403">
        <f>IF(L36&lt;0,"Error: Number is normally positive.",)</f>
        <v>0</v>
      </c>
      <c r="G36" s="404"/>
      <c r="H36" s="150">
        <f>'Unit Data for Audit Worksheet'!I42</f>
        <v>0</v>
      </c>
      <c r="I36" s="326"/>
      <c r="J36" s="405">
        <v>536</v>
      </c>
      <c r="K36" s="146" t="s">
        <v>126</v>
      </c>
      <c r="L36" s="406">
        <f t="shared" si="9"/>
        <v>0</v>
      </c>
      <c r="P36" s="286"/>
      <c r="Q36" s="476"/>
      <c r="S36" s="224"/>
      <c r="U36" s="252" t="b">
        <f t="shared" si="0"/>
        <v>1</v>
      </c>
      <c r="V36" s="320">
        <f t="shared" si="8"/>
        <v>0</v>
      </c>
      <c r="W36" s="320">
        <f t="shared" si="3"/>
        <v>0</v>
      </c>
    </row>
    <row r="37" spans="1:23" s="159" customFormat="1" ht="55.5" customHeight="1" x14ac:dyDescent="0.25">
      <c r="A37" s="160">
        <v>586</v>
      </c>
      <c r="B37" s="168" t="str">
        <f>'Unit Data for Audit Worksheet'!C43</f>
        <v>General Fund-Balance Sheet</v>
      </c>
      <c r="C37" s="213" t="str">
        <f>'Unit Data for Audit Worksheet'!D43</f>
        <v>Advance To: Interfund loan receivable-portion of repayment plan longer than 12 months</v>
      </c>
      <c r="D37" s="322"/>
      <c r="E37" s="284">
        <f>'Unit Data for Audit Worksheet'!F43</f>
        <v>0</v>
      </c>
      <c r="F37" s="153"/>
      <c r="G37" s="189"/>
      <c r="H37" s="150"/>
      <c r="I37" s="326"/>
      <c r="J37" s="147">
        <v>586</v>
      </c>
      <c r="K37" s="213" t="s">
        <v>212</v>
      </c>
      <c r="L37" s="338">
        <f t="shared" si="9"/>
        <v>0</v>
      </c>
      <c r="P37" s="286"/>
      <c r="Q37" s="476"/>
      <c r="S37" s="224"/>
      <c r="U37" s="252" t="b">
        <f t="shared" si="0"/>
        <v>1</v>
      </c>
      <c r="V37" s="320">
        <f t="shared" si="8"/>
        <v>0</v>
      </c>
      <c r="W37" s="320">
        <f t="shared" si="3"/>
        <v>0</v>
      </c>
    </row>
    <row r="38" spans="1:23" ht="40.5" customHeight="1" x14ac:dyDescent="0.25">
      <c r="A38" s="160">
        <f>'Unit Data for Audit Worksheet'!A44</f>
        <v>379</v>
      </c>
      <c r="B38" s="168" t="str">
        <f>'Unit Data for Audit Worksheet'!C44</f>
        <v>General Fund-Balance Sheet</v>
      </c>
      <c r="C38" s="158" t="str">
        <f>'Unit Data for Audit Worksheet'!D44</f>
        <v>Total Assets and deferred outflows</v>
      </c>
      <c r="D38" s="322"/>
      <c r="E38" s="284">
        <f>'Unit Data for Audit Worksheet'!F44</f>
        <v>0</v>
      </c>
      <c r="F38" s="236">
        <f>IF((L35+L36)&gt;L38,"Error: Please review accts (506+536)&gt;379",)</f>
        <v>0</v>
      </c>
      <c r="G38" s="189" t="str">
        <f>IF(Q38=1," Included in error count"," ")</f>
        <v xml:space="preserve"> </v>
      </c>
      <c r="H38" s="150">
        <f>'Unit Data for Audit Worksheet'!I44</f>
        <v>0</v>
      </c>
      <c r="I38" s="326"/>
      <c r="J38" s="147">
        <v>379</v>
      </c>
      <c r="K38" s="146" t="s">
        <v>65</v>
      </c>
      <c r="L38" s="339">
        <f t="shared" si="9"/>
        <v>0</v>
      </c>
      <c r="P38" s="286"/>
      <c r="Q38" s="476">
        <f>IF(L35+L36&gt;L38,1,0)</f>
        <v>0</v>
      </c>
      <c r="S38" s="224"/>
      <c r="U38" s="252" t="b">
        <f t="shared" si="0"/>
        <v>1</v>
      </c>
      <c r="V38" s="320">
        <f t="shared" si="8"/>
        <v>0</v>
      </c>
      <c r="W38" s="320">
        <f t="shared" si="3"/>
        <v>0</v>
      </c>
    </row>
    <row r="39" spans="1:23" ht="70.5" customHeight="1" x14ac:dyDescent="0.25">
      <c r="A39" s="160">
        <f>'Unit Data for Audit Worksheet'!A45</f>
        <v>4</v>
      </c>
      <c r="B39" s="399" t="str">
        <f>'Unit Data for Audit Worksheet'!C45</f>
        <v>General Fund-Balance Sheet</v>
      </c>
      <c r="C39" s="400" t="str">
        <f>'Unit Data for Audit Worksheet'!D45</f>
        <v>Current Liabilities 
Exclude all deferred inflows. 
Include advance from(long-term portion of interfund loans)</v>
      </c>
      <c r="D39" s="401"/>
      <c r="E39" s="402">
        <f>'Unit Data for Audit Worksheet'!F45</f>
        <v>0</v>
      </c>
      <c r="F39" s="403">
        <f>IF(L39&lt;0,"Error: Enter as a positive.",)</f>
        <v>0</v>
      </c>
      <c r="G39" s="404"/>
      <c r="H39" s="150">
        <f>'Unit Data for Audit Worksheet'!I45</f>
        <v>0</v>
      </c>
      <c r="I39" s="326"/>
      <c r="J39" s="405">
        <v>4</v>
      </c>
      <c r="K39" s="146" t="s">
        <v>66</v>
      </c>
      <c r="L39" s="406">
        <f t="shared" si="9"/>
        <v>0</v>
      </c>
      <c r="P39" s="286"/>
      <c r="Q39" s="476"/>
      <c r="S39" s="224"/>
      <c r="U39" s="252" t="b">
        <f t="shared" si="0"/>
        <v>1</v>
      </c>
      <c r="V39" s="320">
        <f t="shared" si="8"/>
        <v>0</v>
      </c>
      <c r="W39" s="320">
        <f t="shared" si="3"/>
        <v>0</v>
      </c>
    </row>
    <row r="40" spans="1:23" ht="131.25" customHeight="1" x14ac:dyDescent="0.25">
      <c r="A40" s="160">
        <f>'Unit Data for Audit Worksheet'!A46</f>
        <v>5</v>
      </c>
      <c r="B40" s="399" t="str">
        <f>'Unit Data for Audit Worksheet'!C46</f>
        <v>General Fund-Balance Sheet</v>
      </c>
      <c r="C40" s="400" t="str">
        <f>'Unit Data for Audit Worksheet'!D46</f>
        <v>General fund deferred inflows derived from cash receipts. 
 Prepaid taxes is a common item listed.  Deferred inflows on the face of the statements can include cash and non-cash.  You may have to refer to the note disclosure where the cash and non-cash is broken out.</v>
      </c>
      <c r="D40" s="401"/>
      <c r="E40" s="402">
        <f>'Unit Data for Audit Worksheet'!F46</f>
        <v>0</v>
      </c>
      <c r="F40" s="403">
        <f>IF(L40&lt;0,"Error: Enter as a positive.",)</f>
        <v>0</v>
      </c>
      <c r="G40" s="404"/>
      <c r="H40" s="150">
        <f>'Unit Data for Audit Worksheet'!I46</f>
        <v>0</v>
      </c>
      <c r="I40" s="326"/>
      <c r="J40" s="405">
        <v>5</v>
      </c>
      <c r="K40" s="146" t="s">
        <v>67</v>
      </c>
      <c r="L40" s="406">
        <f t="shared" si="9"/>
        <v>0</v>
      </c>
      <c r="P40" s="286"/>
      <c r="Q40" s="476"/>
      <c r="S40" s="224"/>
      <c r="U40" s="252" t="b">
        <f t="shared" si="0"/>
        <v>1</v>
      </c>
      <c r="V40" s="320">
        <f t="shared" si="8"/>
        <v>0</v>
      </c>
      <c r="W40" s="320">
        <f t="shared" si="3"/>
        <v>0</v>
      </c>
    </row>
    <row r="41" spans="1:23" ht="104.25" customHeight="1" x14ac:dyDescent="0.25">
      <c r="A41" s="160">
        <f>'Unit Data for Audit Worksheet'!A47</f>
        <v>380</v>
      </c>
      <c r="B41" s="168" t="str">
        <f>'Unit Data for Audit Worksheet'!C47</f>
        <v>General Fund-Balance Sheet</v>
      </c>
      <c r="C41" s="158" t="str">
        <f>'Unit Data for Audit Worksheet'!D47</f>
        <v>Total Deferred inflows not derived from cash receipts.  Deferred inflows on the face of the statements can include cash and non-cash.  You may have to refer to the note disclosure where the cash and non-cash is broken out.</v>
      </c>
      <c r="D41" s="322"/>
      <c r="E41" s="284">
        <f>'Unit Data for Audit Worksheet'!F47</f>
        <v>0</v>
      </c>
      <c r="F41" s="153">
        <f>IF(L41&lt;0,"Error: Enter as a positive.",)</f>
        <v>0</v>
      </c>
      <c r="G41" s="189"/>
      <c r="H41" s="150">
        <f>'Unit Data for Audit Worksheet'!I47</f>
        <v>0</v>
      </c>
      <c r="I41" s="326"/>
      <c r="J41" s="147">
        <v>380</v>
      </c>
      <c r="K41" s="146" t="s">
        <v>68</v>
      </c>
      <c r="L41" s="339">
        <f t="shared" si="9"/>
        <v>0</v>
      </c>
      <c r="P41" s="286"/>
      <c r="Q41" s="476"/>
      <c r="S41" s="224"/>
      <c r="U41" s="252" t="b">
        <f t="shared" si="0"/>
        <v>1</v>
      </c>
      <c r="V41" s="320">
        <f t="shared" si="8"/>
        <v>0</v>
      </c>
      <c r="W41" s="320">
        <f t="shared" si="3"/>
        <v>0</v>
      </c>
    </row>
    <row r="42" spans="1:23" ht="44.25" customHeight="1" x14ac:dyDescent="0.25">
      <c r="A42" s="160">
        <f>'Unit Data for Audit Worksheet'!A48</f>
        <v>391</v>
      </c>
      <c r="B42" s="168" t="str">
        <f>'Unit Data for Audit Worksheet'!C48</f>
        <v>General Fund-Balance Sheet</v>
      </c>
      <c r="C42" s="158" t="str">
        <f>'Unit Data for Audit Worksheet'!D48</f>
        <v xml:space="preserve">Fund balance, Restricted for Stabilization by State Statute </v>
      </c>
      <c r="D42" s="322"/>
      <c r="E42" s="284">
        <f>'Unit Data for Audit Worksheet'!F48</f>
        <v>0</v>
      </c>
      <c r="F42" s="153">
        <f>IF(L42&lt;0,"Error: Enter as a positive.",)</f>
        <v>0</v>
      </c>
      <c r="G42" s="189" t="str">
        <f>IF(Q42=1, "included in error count", "")</f>
        <v/>
      </c>
      <c r="H42" s="150">
        <f>'Unit Data for Audit Worksheet'!I48</f>
        <v>0</v>
      </c>
      <c r="I42" s="326"/>
      <c r="J42" s="147">
        <v>391</v>
      </c>
      <c r="K42" s="146" t="s">
        <v>127</v>
      </c>
      <c r="L42" s="339">
        <f t="shared" si="9"/>
        <v>0</v>
      </c>
      <c r="P42" s="286"/>
      <c r="Q42" s="476"/>
      <c r="S42" s="224"/>
      <c r="U42" s="252" t="b">
        <f t="shared" si="0"/>
        <v>1</v>
      </c>
      <c r="V42" s="320">
        <f t="shared" si="8"/>
        <v>0</v>
      </c>
      <c r="W42" s="320">
        <f t="shared" si="3"/>
        <v>0</v>
      </c>
    </row>
    <row r="43" spans="1:23" ht="39" customHeight="1" x14ac:dyDescent="0.25">
      <c r="A43" s="160">
        <f>'Unit Data for Audit Worksheet'!A49</f>
        <v>7</v>
      </c>
      <c r="B43" s="399" t="str">
        <f>'Unit Data for Audit Worksheet'!C49</f>
        <v>General Fund-Balance Sheet</v>
      </c>
      <c r="C43" s="400" t="str">
        <f>'Unit Data for Audit Worksheet'!D49</f>
        <v>Fund balance, Nonspendable-  inventory/prepaids/etc.</v>
      </c>
      <c r="D43" s="322"/>
      <c r="E43" s="402">
        <f>'Unit Data for Audit Worksheet'!F49</f>
        <v>0</v>
      </c>
      <c r="F43" s="403">
        <f>IF(L43&lt;0,"Error: Enter as a positive.",)</f>
        <v>0</v>
      </c>
      <c r="G43" s="404"/>
      <c r="H43" s="150">
        <f>'Unit Data for Audit Worksheet'!I49</f>
        <v>0</v>
      </c>
      <c r="I43" s="326"/>
      <c r="J43" s="405">
        <v>7</v>
      </c>
      <c r="K43" s="146" t="s">
        <v>128</v>
      </c>
      <c r="L43" s="406">
        <f t="shared" si="9"/>
        <v>0</v>
      </c>
      <c r="P43" s="286"/>
      <c r="Q43" s="476"/>
      <c r="S43" s="224"/>
      <c r="U43" s="252" t="b">
        <f t="shared" si="0"/>
        <v>1</v>
      </c>
      <c r="V43" s="320">
        <f t="shared" si="8"/>
        <v>0</v>
      </c>
      <c r="W43" s="320">
        <f t="shared" si="3"/>
        <v>0</v>
      </c>
    </row>
    <row r="44" spans="1:23" s="272" customFormat="1" ht="39" customHeight="1" x14ac:dyDescent="0.25">
      <c r="A44" s="265">
        <f>'Unit Data for Audit Worksheet'!A50</f>
        <v>645</v>
      </c>
      <c r="B44" s="264" t="str">
        <f>'Unit Data for Audit Worksheet'!C50</f>
        <v>General Fund-Balance Sheet</v>
      </c>
      <c r="C44" s="263" t="str">
        <f>'Unit Data for Audit Worksheet'!D50</f>
        <v xml:space="preserve">Fund balance, Assigned </v>
      </c>
      <c r="D44" s="322"/>
      <c r="E44" s="416">
        <f>'Unit Data for Audit Worksheet'!F50</f>
        <v>0</v>
      </c>
      <c r="F44" s="417">
        <f t="shared" ref="F44:F45" si="11">IF(L44&lt;0,"Error: Enter as a positive.",)</f>
        <v>0</v>
      </c>
      <c r="G44" s="464"/>
      <c r="H44" s="418">
        <f>'Unit Data for Audit Worksheet'!I50</f>
        <v>0</v>
      </c>
      <c r="I44" s="326"/>
      <c r="J44" s="465">
        <v>645</v>
      </c>
      <c r="K44" s="466" t="s">
        <v>383</v>
      </c>
      <c r="L44" s="467">
        <f t="shared" si="9"/>
        <v>0</v>
      </c>
      <c r="P44" s="286"/>
      <c r="Q44" s="478"/>
      <c r="V44" s="320">
        <f t="shared" ref="V44:V47" si="12">E44-L44</f>
        <v>0</v>
      </c>
      <c r="W44" s="320">
        <f t="shared" ref="W44:W47" si="13">D44-L44</f>
        <v>0</v>
      </c>
    </row>
    <row r="45" spans="1:23" s="272" customFormat="1" ht="39" customHeight="1" x14ac:dyDescent="0.25">
      <c r="A45" s="265">
        <f>'Unit Data for Audit Worksheet'!A51</f>
        <v>646</v>
      </c>
      <c r="B45" s="264" t="str">
        <f>'Unit Data for Audit Worksheet'!C51</f>
        <v>General Fund-Balance Sheet</v>
      </c>
      <c r="C45" s="263" t="str">
        <f>'Unit Data for Audit Worksheet'!D51</f>
        <v>Fund Balance, Unassigned</v>
      </c>
      <c r="D45" s="322"/>
      <c r="E45" s="416">
        <f>'Unit Data for Audit Worksheet'!F51</f>
        <v>0</v>
      </c>
      <c r="F45" s="417">
        <f t="shared" si="11"/>
        <v>0</v>
      </c>
      <c r="G45" s="464"/>
      <c r="H45" s="418">
        <f>'Unit Data for Audit Worksheet'!I51</f>
        <v>0</v>
      </c>
      <c r="I45" s="326"/>
      <c r="J45" s="465">
        <v>646</v>
      </c>
      <c r="K45" s="466" t="s">
        <v>384</v>
      </c>
      <c r="L45" s="467">
        <f t="shared" si="9"/>
        <v>0</v>
      </c>
      <c r="P45" s="286"/>
      <c r="Q45" s="478"/>
      <c r="V45" s="320">
        <f t="shared" si="12"/>
        <v>0</v>
      </c>
      <c r="W45" s="320">
        <f t="shared" si="13"/>
        <v>0</v>
      </c>
    </row>
    <row r="46" spans="1:23" ht="55.5" customHeight="1" x14ac:dyDescent="0.25">
      <c r="A46" s="160">
        <f>'Unit Data for Audit Worksheet'!A52</f>
        <v>9</v>
      </c>
      <c r="B46" s="399" t="str">
        <f>'Unit Data for Audit Worksheet'!C52</f>
        <v>General Fund-Balance Sheet</v>
      </c>
      <c r="C46" s="400" t="str">
        <f>'Unit Data for Audit Worksheet'!D52</f>
        <v>Total Fund balance (enter fund deficits as negative)</v>
      </c>
      <c r="D46" s="322"/>
      <c r="E46" s="402">
        <f>'Unit Data for Audit Worksheet'!F52</f>
        <v>0</v>
      </c>
      <c r="F46" s="407">
        <f>IF(L38-L39-L40-L41-L46=0,,"Error: Total assets less total liabilities do not equal Acct +379-4-5-380-9=0")</f>
        <v>0</v>
      </c>
      <c r="G46" s="408">
        <f>L38-L39-L40-L41-L46</f>
        <v>0</v>
      </c>
      <c r="H46" s="150">
        <f>'Unit Data for Audit Worksheet'!I52</f>
        <v>0</v>
      </c>
      <c r="I46" s="326"/>
      <c r="J46" s="405">
        <v>9</v>
      </c>
      <c r="K46" s="146" t="s">
        <v>129</v>
      </c>
      <c r="L46" s="406">
        <f t="shared" si="9"/>
        <v>0</v>
      </c>
      <c r="O46" s="140" t="e">
        <f>'Unit Data for Audit Worksheet'!E52</f>
        <v>#N/A</v>
      </c>
      <c r="P46" s="286"/>
      <c r="Q46" s="476">
        <f>IF(G46&lt;&gt;0,1,0)</f>
        <v>0</v>
      </c>
      <c r="S46" s="224"/>
      <c r="U46" s="252" t="b">
        <f t="shared" si="0"/>
        <v>1</v>
      </c>
      <c r="V46" s="320">
        <f t="shared" si="12"/>
        <v>0</v>
      </c>
      <c r="W46" s="320">
        <f t="shared" si="13"/>
        <v>0</v>
      </c>
    </row>
    <row r="47" spans="1:23" ht="65.25" customHeight="1" x14ac:dyDescent="0.25">
      <c r="A47" s="160">
        <f>'Unit Data for Audit Worksheet'!A54</f>
        <v>16</v>
      </c>
      <c r="B47" s="168" t="str">
        <f>'Unit Data for Audit Worksheet'!C54</f>
        <v>General Fund-Rev, Exp. Change in Fund Balance</v>
      </c>
      <c r="C47" s="158" t="str">
        <f>'Unit Data for Audit Worksheet'!D54</f>
        <v>Total revenues</v>
      </c>
      <c r="D47" s="322"/>
      <c r="E47" s="284">
        <f>'Unit Data for Audit Worksheet'!F54</f>
        <v>0</v>
      </c>
      <c r="F47" s="153"/>
      <c r="G47" s="189"/>
      <c r="H47" s="150">
        <f>'Unit Data for Audit Worksheet'!I54</f>
        <v>0</v>
      </c>
      <c r="I47" s="326"/>
      <c r="J47" s="147">
        <v>16</v>
      </c>
      <c r="K47" s="146" t="s">
        <v>130</v>
      </c>
      <c r="L47" s="338">
        <f t="shared" ref="L47:L64" si="14">IF(D47="",E47,D47)</f>
        <v>0</v>
      </c>
      <c r="P47" s="286"/>
      <c r="Q47" s="476"/>
      <c r="S47" s="224"/>
      <c r="U47" s="252" t="b">
        <f t="shared" si="0"/>
        <v>1</v>
      </c>
      <c r="V47" s="320">
        <f t="shared" si="12"/>
        <v>0</v>
      </c>
      <c r="W47" s="320">
        <f t="shared" si="13"/>
        <v>0</v>
      </c>
    </row>
    <row r="48" spans="1:23" ht="65.25" customHeight="1" x14ac:dyDescent="0.25">
      <c r="A48" s="160">
        <f>'Unit Data for Audit Worksheet'!A55</f>
        <v>532</v>
      </c>
      <c r="B48" s="168" t="str">
        <f>'Unit Data for Audit Worksheet'!C55</f>
        <v>General Fund-Rev, Exp. Change in Fund Balance</v>
      </c>
      <c r="C48" s="158" t="str">
        <f>'Unit Data for Audit Worksheet'!D55</f>
        <v xml:space="preserve">Total expenditures  
Exclude expenditures in the "other financing sources (uses)" section.
</v>
      </c>
      <c r="D48" s="322"/>
      <c r="E48" s="284">
        <f>'Unit Data for Audit Worksheet'!F55</f>
        <v>0</v>
      </c>
      <c r="F48" s="153">
        <f t="shared" ref="F48:F53" si="15">IF(L48&lt;0,"Error: Enter as a positive.",)</f>
        <v>0</v>
      </c>
      <c r="G48" s="189"/>
      <c r="H48" s="150">
        <f>'Unit Data for Audit Worksheet'!I55</f>
        <v>0</v>
      </c>
      <c r="I48" s="326"/>
      <c r="J48" s="147">
        <v>532</v>
      </c>
      <c r="K48" s="151" t="s">
        <v>132</v>
      </c>
      <c r="L48" s="338">
        <f t="shared" si="14"/>
        <v>0</v>
      </c>
      <c r="P48" s="286"/>
      <c r="Q48" s="476"/>
      <c r="S48" s="224"/>
      <c r="U48" s="252" t="b">
        <f t="shared" si="0"/>
        <v>1</v>
      </c>
      <c r="V48" s="320">
        <f t="shared" ref="V48:V62" si="16">E48-L48</f>
        <v>0</v>
      </c>
      <c r="W48" s="320">
        <f t="shared" ref="W48:W62" si="17">D48-L48</f>
        <v>0</v>
      </c>
    </row>
    <row r="49" spans="1:23" ht="65.25" customHeight="1" x14ac:dyDescent="0.25">
      <c r="A49" s="160">
        <f>'Unit Data for Audit Worksheet'!A56</f>
        <v>17</v>
      </c>
      <c r="B49" s="168" t="str">
        <f>'Unit Data for Audit Worksheet'!C56</f>
        <v>General Fund-Rev, Exp. Change in Fund Balance</v>
      </c>
      <c r="C49" s="158" t="str">
        <f>'Unit Data for Audit Worksheet'!D56</f>
        <v>Total Transfers in    (Preference is that transfers-in  are not netted against transfers-out)</v>
      </c>
      <c r="D49" s="322"/>
      <c r="E49" s="284">
        <f>'Unit Data for Audit Worksheet'!F56</f>
        <v>0</v>
      </c>
      <c r="F49" s="153">
        <f t="shared" si="15"/>
        <v>0</v>
      </c>
      <c r="G49" s="189"/>
      <c r="H49" s="150">
        <f>'Unit Data for Audit Worksheet'!I56</f>
        <v>0</v>
      </c>
      <c r="I49" s="326"/>
      <c r="J49" s="147">
        <v>17</v>
      </c>
      <c r="K49" s="146" t="s">
        <v>133</v>
      </c>
      <c r="L49" s="338">
        <f t="shared" si="14"/>
        <v>0</v>
      </c>
      <c r="P49" s="286"/>
      <c r="Q49" s="476"/>
      <c r="S49" s="224"/>
      <c r="U49" s="252" t="b">
        <f t="shared" si="0"/>
        <v>1</v>
      </c>
      <c r="V49" s="320">
        <f t="shared" si="16"/>
        <v>0</v>
      </c>
      <c r="W49" s="320">
        <f t="shared" si="17"/>
        <v>0</v>
      </c>
    </row>
    <row r="50" spans="1:23" ht="65.25" customHeight="1" x14ac:dyDescent="0.25">
      <c r="A50" s="160">
        <f>'Unit Data for Audit Worksheet'!A57</f>
        <v>20</v>
      </c>
      <c r="B50" s="168" t="str">
        <f>'Unit Data for Audit Worksheet'!C57</f>
        <v>General Fund-Rev, Exp. Change in Fund Balance</v>
      </c>
      <c r="C50" s="158" t="str">
        <f>'Unit Data for Audit Worksheet'!D57</f>
        <v>Total Transfers out    (Preference is that transfers-in  are not netted against transfers-out)</v>
      </c>
      <c r="D50" s="322"/>
      <c r="E50" s="284">
        <f>'Unit Data for Audit Worksheet'!F57</f>
        <v>0</v>
      </c>
      <c r="F50" s="153">
        <f t="shared" si="15"/>
        <v>0</v>
      </c>
      <c r="G50" s="189"/>
      <c r="H50" s="150">
        <f>'Unit Data for Audit Worksheet'!I57</f>
        <v>0</v>
      </c>
      <c r="I50" s="326"/>
      <c r="J50" s="147">
        <v>20</v>
      </c>
      <c r="K50" s="146" t="s">
        <v>134</v>
      </c>
      <c r="L50" s="338">
        <f t="shared" si="14"/>
        <v>0</v>
      </c>
      <c r="P50" s="286"/>
      <c r="Q50" s="476"/>
      <c r="S50" s="224"/>
      <c r="U50" s="252" t="b">
        <f t="shared" si="0"/>
        <v>1</v>
      </c>
      <c r="V50" s="320">
        <f t="shared" si="16"/>
        <v>0</v>
      </c>
      <c r="W50" s="320">
        <f t="shared" si="17"/>
        <v>0</v>
      </c>
    </row>
    <row r="51" spans="1:23" ht="65.25" customHeight="1" x14ac:dyDescent="0.25">
      <c r="A51" s="160">
        <f>'Unit Data for Audit Worksheet'!A58</f>
        <v>533</v>
      </c>
      <c r="B51" s="168" t="str">
        <f>'Unit Data for Audit Worksheet'!C58</f>
        <v>General Fund-Rev, Exp. Change in Fund Balance</v>
      </c>
      <c r="C51" s="158" t="str">
        <f>'Unit Data for Audit Worksheet'!D58</f>
        <v>Total Proceeds from all long-term debt issuances 
Exclude proceeds from refundings</v>
      </c>
      <c r="D51" s="322"/>
      <c r="E51" s="284">
        <f>'Unit Data for Audit Worksheet'!F58</f>
        <v>0</v>
      </c>
      <c r="F51" s="153">
        <f t="shared" si="15"/>
        <v>0</v>
      </c>
      <c r="G51" s="189"/>
      <c r="H51" s="150">
        <f>'Unit Data for Audit Worksheet'!I58</f>
        <v>0</v>
      </c>
      <c r="I51" s="326"/>
      <c r="J51" s="147">
        <v>533</v>
      </c>
      <c r="K51" s="151" t="s">
        <v>135</v>
      </c>
      <c r="L51" s="338">
        <f t="shared" si="14"/>
        <v>0</v>
      </c>
      <c r="P51" s="286"/>
      <c r="Q51" s="476"/>
      <c r="S51" s="224"/>
      <c r="U51" s="252" t="b">
        <f t="shared" si="0"/>
        <v>1</v>
      </c>
      <c r="V51" s="320">
        <f t="shared" si="16"/>
        <v>0</v>
      </c>
      <c r="W51" s="320">
        <f t="shared" si="17"/>
        <v>0</v>
      </c>
    </row>
    <row r="52" spans="1:23" ht="65.25" customHeight="1" x14ac:dyDescent="0.25">
      <c r="A52" s="160">
        <f>'Unit Data for Audit Worksheet'!A59</f>
        <v>508</v>
      </c>
      <c r="B52" s="168" t="str">
        <f>'Unit Data for Audit Worksheet'!C59</f>
        <v>General Fund-Rev, Exp. Change in Fund Balance</v>
      </c>
      <c r="C52" s="158" t="str">
        <f>'Unit Data for Audit Worksheet'!D59</f>
        <v>Debt Refunding - Net refunding proceeds against debt payoff and if positive place results on this line.</v>
      </c>
      <c r="D52" s="322"/>
      <c r="E52" s="284">
        <f>'Unit Data for Audit Worksheet'!F59</f>
        <v>0</v>
      </c>
      <c r="F52" s="153">
        <f t="shared" si="15"/>
        <v>0</v>
      </c>
      <c r="G52" s="189"/>
      <c r="H52" s="150">
        <f>'Unit Data for Audit Worksheet'!I59</f>
        <v>0</v>
      </c>
      <c r="I52" s="326"/>
      <c r="J52" s="147">
        <v>508</v>
      </c>
      <c r="K52" s="146" t="s">
        <v>137</v>
      </c>
      <c r="L52" s="338">
        <f t="shared" si="14"/>
        <v>0</v>
      </c>
      <c r="P52" s="286"/>
      <c r="Q52" s="476"/>
      <c r="S52" s="224"/>
      <c r="U52" s="252" t="b">
        <f t="shared" si="0"/>
        <v>1</v>
      </c>
      <c r="V52" s="320">
        <f t="shared" si="16"/>
        <v>0</v>
      </c>
      <c r="W52" s="320">
        <f t="shared" si="17"/>
        <v>0</v>
      </c>
    </row>
    <row r="53" spans="1:23" ht="65.25" customHeight="1" x14ac:dyDescent="0.25">
      <c r="A53" s="160">
        <f>'Unit Data for Audit Worksheet'!A60</f>
        <v>509</v>
      </c>
      <c r="B53" s="168" t="str">
        <f>'Unit Data for Audit Worksheet'!C60</f>
        <v>General Fund-Rev, Exp. Change in Fund Balance</v>
      </c>
      <c r="C53" s="158" t="str">
        <f>'Unit Data for Audit Worksheet'!D60</f>
        <v>Debt Refunding - Net refunding proceeds against debt payoff and if negative place results on this line.</v>
      </c>
      <c r="D53" s="322"/>
      <c r="E53" s="284">
        <f>'Unit Data for Audit Worksheet'!F60</f>
        <v>0</v>
      </c>
      <c r="F53" s="153">
        <f t="shared" si="15"/>
        <v>0</v>
      </c>
      <c r="G53" s="189"/>
      <c r="H53" s="150">
        <f>'Unit Data for Audit Worksheet'!I60</f>
        <v>0</v>
      </c>
      <c r="I53" s="326"/>
      <c r="J53" s="147">
        <v>509</v>
      </c>
      <c r="K53" s="146" t="s">
        <v>138</v>
      </c>
      <c r="L53" s="338">
        <f t="shared" si="14"/>
        <v>0</v>
      </c>
      <c r="P53" s="286"/>
      <c r="Q53" s="476"/>
      <c r="S53" s="224"/>
      <c r="U53" s="252" t="b">
        <f t="shared" si="0"/>
        <v>1</v>
      </c>
      <c r="V53" s="320">
        <f t="shared" si="16"/>
        <v>0</v>
      </c>
      <c r="W53" s="320">
        <f t="shared" si="17"/>
        <v>0</v>
      </c>
    </row>
    <row r="54" spans="1:23" ht="80.25" customHeight="1" x14ac:dyDescent="0.25">
      <c r="A54" s="160">
        <f>'Unit Data for Audit Worksheet'!A61</f>
        <v>22</v>
      </c>
      <c r="B54" s="168" t="str">
        <f>'Unit Data for Audit Worksheet'!C61</f>
        <v>General Fund-Rev, Exp. Change in Fund Balance</v>
      </c>
      <c r="C54" s="158" t="str">
        <f>'Unit Data for Audit Worksheet'!D61</f>
        <v xml:space="preserve">All other items on this statement that were not included in total revenues, total expenditures, transfers in or out, or proceeds from long-term debt above.  </v>
      </c>
      <c r="D54" s="322"/>
      <c r="E54" s="284">
        <f>'Unit Data for Audit Worksheet'!F61</f>
        <v>0</v>
      </c>
      <c r="F54" s="153"/>
      <c r="G54" s="189"/>
      <c r="H54" s="150">
        <f>'Unit Data for Audit Worksheet'!I61</f>
        <v>0</v>
      </c>
      <c r="I54" s="326"/>
      <c r="J54" s="147">
        <v>22</v>
      </c>
      <c r="K54" s="146" t="s">
        <v>136</v>
      </c>
      <c r="L54" s="338">
        <f t="shared" si="14"/>
        <v>0</v>
      </c>
      <c r="P54" s="286"/>
      <c r="Q54" s="476"/>
      <c r="S54" s="224"/>
      <c r="U54" s="252" t="b">
        <f t="shared" si="0"/>
        <v>1</v>
      </c>
      <c r="V54" s="320">
        <f t="shared" si="16"/>
        <v>0</v>
      </c>
      <c r="W54" s="320">
        <f t="shared" si="17"/>
        <v>0</v>
      </c>
    </row>
    <row r="55" spans="1:23" ht="80.25" customHeight="1" x14ac:dyDescent="0.25">
      <c r="A55" s="160">
        <f>'Unit Data for Audit Worksheet'!A62</f>
        <v>23</v>
      </c>
      <c r="B55" s="168" t="str">
        <f>'Unit Data for Audit Worksheet'!C62</f>
        <v>General Fund-Rev, Exp. Change in Fund Balance</v>
      </c>
      <c r="C55" s="158" t="str">
        <f>'Unit Data for Audit Worksheet'!D62</f>
        <v>Change in fund balance - (Increase in Fund balance is recorded as a positive and a decrease in fund balance is recorded as a negative)</v>
      </c>
      <c r="D55" s="322"/>
      <c r="E55" s="284">
        <f>'Unit Data for Audit Worksheet'!F62</f>
        <v>0</v>
      </c>
      <c r="F55" s="153">
        <f>IF(+L47-L48+L49-L50+L51+L52-L53+L54-L55=0,,"Error:Total revenues less toal Expenditures do not equal change in fund balance")</f>
        <v>0</v>
      </c>
      <c r="G55" s="238">
        <f>+L47-L48+L49-L50+L51+L54+L52-L53-L55</f>
        <v>0</v>
      </c>
      <c r="H55" s="150">
        <f>'Unit Data for Audit Worksheet'!I62</f>
        <v>0</v>
      </c>
      <c r="I55" s="326"/>
      <c r="J55" s="147">
        <v>23</v>
      </c>
      <c r="K55" s="146" t="s">
        <v>139</v>
      </c>
      <c r="L55" s="338">
        <f t="shared" si="14"/>
        <v>0</v>
      </c>
      <c r="P55" s="286"/>
      <c r="Q55" s="476">
        <f>IF(G55&lt;&gt;0,1,0)</f>
        <v>0</v>
      </c>
      <c r="S55" s="224"/>
      <c r="U55" s="252" t="b">
        <f t="shared" si="0"/>
        <v>1</v>
      </c>
      <c r="V55" s="320">
        <f t="shared" si="16"/>
        <v>0</v>
      </c>
      <c r="W55" s="320">
        <f t="shared" si="17"/>
        <v>0</v>
      </c>
    </row>
    <row r="56" spans="1:23" ht="120.75" customHeight="1" x14ac:dyDescent="0.25">
      <c r="A56" s="160">
        <f>'Unit Data for Audit Worksheet'!A63</f>
        <v>507</v>
      </c>
      <c r="B56" s="168" t="str">
        <f>'Unit Data for Audit Worksheet'!C63</f>
        <v>General Fund-Rev, Exp. Change in Fund Balance</v>
      </c>
      <c r="C56" s="158" t="str">
        <f>'Unit Data for Audit Worksheet'!D63</f>
        <v>Any adjustment to beginning fund balance including rounding, prior period adjustments and restatements.   (Amounts that increase fund balance are recorded as positive and amounts that decrease fund balance are recorded as negative)</v>
      </c>
      <c r="D56" s="322"/>
      <c r="E56" s="284">
        <f>'Unit Data for Audit Worksheet'!F63</f>
        <v>0</v>
      </c>
      <c r="F56" s="153" t="e">
        <f>IF(+L46-L55-L56=O46,,"Error: Beginning Fund Bal does not equal our records Accts 9-23-507= prior year 9")</f>
        <v>#N/A</v>
      </c>
      <c r="G56" s="238" t="e">
        <f>L46-L55-L56-O46</f>
        <v>#N/A</v>
      </c>
      <c r="H56" s="150">
        <f>'Unit Data for Audit Worksheet'!I63</f>
        <v>0</v>
      </c>
      <c r="I56" s="326"/>
      <c r="J56" s="147">
        <v>507</v>
      </c>
      <c r="K56" s="146" t="s">
        <v>140</v>
      </c>
      <c r="L56" s="338">
        <f t="shared" si="14"/>
        <v>0</v>
      </c>
      <c r="O56" s="140"/>
      <c r="P56" s="286"/>
      <c r="Q56" s="476" t="e">
        <f>IF(G56&lt;&gt;0,1,0)</f>
        <v>#N/A</v>
      </c>
      <c r="S56" s="224"/>
      <c r="U56" s="252" t="b">
        <f t="shared" si="0"/>
        <v>1</v>
      </c>
      <c r="V56" s="320">
        <f t="shared" si="16"/>
        <v>0</v>
      </c>
      <c r="W56" s="320">
        <f t="shared" si="17"/>
        <v>0</v>
      </c>
    </row>
    <row r="57" spans="1:23" s="272" customFormat="1" ht="91.5" customHeight="1" x14ac:dyDescent="0.25">
      <c r="A57" s="265">
        <f>'Unit Data for Audit Worksheet'!A64</f>
        <v>647</v>
      </c>
      <c r="B57" s="264" t="str">
        <f>'Unit Data for Audit Worksheet'!C64</f>
        <v>Debt Service Fund</v>
      </c>
      <c r="C57" s="263" t="str">
        <f>'Unit Data for Audit Worksheet'!D64</f>
        <v>Please enter the Total Fund Balance for any Debt Service Funds</v>
      </c>
      <c r="D57" s="322"/>
      <c r="E57" s="416">
        <f>'Unit Data for Audit Worksheet'!F64</f>
        <v>0</v>
      </c>
      <c r="F57" s="417"/>
      <c r="G57" s="471"/>
      <c r="H57" s="418">
        <f>'Unit Data for Audit Worksheet'!I64</f>
        <v>0</v>
      </c>
      <c r="I57" s="326"/>
      <c r="J57" s="465">
        <v>647</v>
      </c>
      <c r="K57" s="468" t="s">
        <v>385</v>
      </c>
      <c r="L57" s="467">
        <f t="shared" si="14"/>
        <v>0</v>
      </c>
      <c r="O57" s="281"/>
      <c r="P57" s="286"/>
      <c r="Q57" s="478"/>
      <c r="V57" s="320">
        <f t="shared" si="16"/>
        <v>0</v>
      </c>
      <c r="W57" s="320">
        <f t="shared" si="17"/>
        <v>0</v>
      </c>
    </row>
    <row r="58" spans="1:23" s="4" customFormat="1" ht="67.5" x14ac:dyDescent="0.25">
      <c r="A58" s="160">
        <f>'Unit Data for Audit Worksheet'!A66</f>
        <v>534</v>
      </c>
      <c r="B58" s="168" t="str">
        <f>'Unit Data for Audit Worksheet'!C66</f>
        <v>Statement of Net Position - combined totals from all Proprietary Funds</v>
      </c>
      <c r="C58" s="213" t="str">
        <f>'Unit Data for Audit Worksheet'!D66</f>
        <v>Combined Totals of all Proprietary Funds - Amount of Inventories and Prepaids in current assets</v>
      </c>
      <c r="D58" s="322"/>
      <c r="E58" s="284">
        <f>'Unit Data for Audit Worksheet'!F66</f>
        <v>0</v>
      </c>
      <c r="F58" s="153">
        <f>IF(L58&lt;0,"Error: Number is normally positive.",)</f>
        <v>0</v>
      </c>
      <c r="G58" s="153">
        <f>'Unit Data for Audit Worksheet'!G66</f>
        <v>0</v>
      </c>
      <c r="H58" s="150">
        <f>'Unit Data for Audit Worksheet'!I66</f>
        <v>0</v>
      </c>
      <c r="I58" s="327"/>
      <c r="J58" s="147">
        <v>534</v>
      </c>
      <c r="K58" s="231" t="s">
        <v>152</v>
      </c>
      <c r="L58" s="338">
        <f t="shared" si="14"/>
        <v>0</v>
      </c>
      <c r="P58" s="286"/>
      <c r="Q58" s="478"/>
      <c r="U58" s="252" t="b">
        <f t="shared" si="0"/>
        <v>1</v>
      </c>
      <c r="V58" s="320">
        <f t="shared" si="16"/>
        <v>0</v>
      </c>
      <c r="W58" s="320">
        <f t="shared" si="17"/>
        <v>0</v>
      </c>
    </row>
    <row r="59" spans="1:23" s="4" customFormat="1" ht="67.5" x14ac:dyDescent="0.25">
      <c r="A59" s="160">
        <f>'Unit Data for Audit Worksheet'!A67</f>
        <v>13</v>
      </c>
      <c r="B59" s="168" t="str">
        <f>'Unit Data for Audit Worksheet'!C67</f>
        <v>Statement of Net Position - combined totals from all Proprietary Funds</v>
      </c>
      <c r="C59" s="213" t="str">
        <f>'Unit Data for Audit Worksheet'!D67</f>
        <v>Comb-Proprietary Funds-Current Assets 
Exclude: any restricted assets
                  deferred outflows.</v>
      </c>
      <c r="D59" s="322"/>
      <c r="E59" s="284">
        <f>'Unit Data for Audit Worksheet'!F67</f>
        <v>0</v>
      </c>
      <c r="F59" s="153">
        <f>IF(L59&lt;0,"Error: Number is normally positive.",)</f>
        <v>0</v>
      </c>
      <c r="G59" s="189"/>
      <c r="H59" s="150">
        <f>'Unit Data for Audit Worksheet'!I67</f>
        <v>0</v>
      </c>
      <c r="I59" s="327"/>
      <c r="J59" s="147">
        <v>13</v>
      </c>
      <c r="K59" s="231" t="s">
        <v>316</v>
      </c>
      <c r="L59" s="338">
        <f t="shared" si="14"/>
        <v>0</v>
      </c>
      <c r="P59" s="286"/>
      <c r="Q59" s="478"/>
      <c r="U59" s="252" t="b">
        <f t="shared" si="0"/>
        <v>1</v>
      </c>
      <c r="V59" s="320">
        <f t="shared" si="16"/>
        <v>0</v>
      </c>
      <c r="W59" s="320">
        <f t="shared" si="17"/>
        <v>0</v>
      </c>
    </row>
    <row r="60" spans="1:23" s="159" customFormat="1" ht="191.25" customHeight="1" x14ac:dyDescent="0.25">
      <c r="A60" s="160">
        <f>'Unit Data for Audit Worksheet'!A68</f>
        <v>14</v>
      </c>
      <c r="B60" s="168" t="str">
        <f>'Unit Data for Audit Worksheet'!C68</f>
        <v>Statement of Net Position - combined totals from all Proprietary Funds</v>
      </c>
      <c r="C60" s="213" t="str">
        <f>'Unit Data for Audit Worksheet'!D68</f>
        <v>Combined Totals of all Proprietary Funds - Total Current Liabilities  
Include:  Current liabilities and current portion of long-term debt 
Exclude:   Bond anticipation notes
                   Compensated Absences
                   Pension liabilities
                   Liabilities payable from restricted assets
                   Other post employment liabilities (OPEB)
                   Deferred inflows</v>
      </c>
      <c r="D60" s="322"/>
      <c r="E60" s="284">
        <f>'Unit Data for Audit Worksheet'!F68</f>
        <v>0</v>
      </c>
      <c r="F60" s="153"/>
      <c r="G60" s="189"/>
      <c r="H60" s="150"/>
      <c r="I60" s="326"/>
      <c r="J60" s="147">
        <v>14</v>
      </c>
      <c r="K60" s="231" t="s">
        <v>317</v>
      </c>
      <c r="L60" s="338">
        <f t="shared" si="14"/>
        <v>0</v>
      </c>
      <c r="P60" s="286"/>
      <c r="Q60" s="476"/>
      <c r="S60" s="224"/>
      <c r="U60" s="252" t="b">
        <f t="shared" si="0"/>
        <v>1</v>
      </c>
      <c r="V60" s="320">
        <f t="shared" si="16"/>
        <v>0</v>
      </c>
      <c r="W60" s="320">
        <f t="shared" si="17"/>
        <v>0</v>
      </c>
    </row>
    <row r="61" spans="1:23" ht="78.75" x14ac:dyDescent="0.25">
      <c r="A61" s="160">
        <f>'Unit Data for Audit Worksheet'!A69</f>
        <v>32</v>
      </c>
      <c r="B61" s="168" t="str">
        <f>'Unit Data for Audit Worksheet'!C69</f>
        <v>Rev,, Exp. &amp; Changes in Net Position-combined totals from all proprietary funds</v>
      </c>
      <c r="C61" s="158" t="str">
        <f>'Unit Data for Audit Worksheet'!D69</f>
        <v>Combined Totals of all Proprietary Funds - Depreciation &amp; Amortization Expense (Enter as a Positive)</v>
      </c>
      <c r="D61" s="322"/>
      <c r="E61" s="284">
        <f>'Unit Data for Audit Worksheet'!F69</f>
        <v>0</v>
      </c>
      <c r="F61" s="153"/>
      <c r="G61" s="189"/>
      <c r="H61" s="150">
        <f>'Unit Data for Audit Worksheet'!I69</f>
        <v>0</v>
      </c>
      <c r="I61" s="326"/>
      <c r="J61" s="147">
        <v>32</v>
      </c>
      <c r="K61" s="146" t="s">
        <v>314</v>
      </c>
      <c r="L61" s="338">
        <f t="shared" si="14"/>
        <v>0</v>
      </c>
      <c r="P61" s="286"/>
      <c r="Q61" s="476"/>
      <c r="S61" s="224"/>
      <c r="U61" s="252" t="b">
        <f t="shared" si="0"/>
        <v>1</v>
      </c>
      <c r="V61" s="320">
        <f t="shared" si="16"/>
        <v>0</v>
      </c>
      <c r="W61" s="320">
        <f t="shared" si="17"/>
        <v>0</v>
      </c>
    </row>
    <row r="62" spans="1:23" ht="96.75" customHeight="1" x14ac:dyDescent="0.25">
      <c r="A62" s="160">
        <f>'Unit Data for Audit Worksheet'!A70</f>
        <v>31</v>
      </c>
      <c r="B62" s="168" t="str">
        <f>'Unit Data for Audit Worksheet'!C70</f>
        <v>Rev,, Exp. &amp; Changes in Net Position-combined totals from all proprietary funds</v>
      </c>
      <c r="C62" s="158" t="str">
        <f>'Unit Data for Audit Worksheet'!D70</f>
        <v>Combined Totals of all Proprietary Funds - Change in net position - (increase in net position is recorded as a positive and a decrease in net position is recorded as a negative)</v>
      </c>
      <c r="D62" s="322"/>
      <c r="E62" s="284">
        <f>'Unit Data for Audit Worksheet'!F70</f>
        <v>0</v>
      </c>
      <c r="F62" s="153"/>
      <c r="G62" s="189"/>
      <c r="H62" s="150">
        <f>'Unit Data for Audit Worksheet'!I70</f>
        <v>0</v>
      </c>
      <c r="I62" s="326"/>
      <c r="J62" s="147">
        <v>31</v>
      </c>
      <c r="K62" s="146" t="s">
        <v>313</v>
      </c>
      <c r="L62" s="338">
        <f t="shared" si="14"/>
        <v>0</v>
      </c>
      <c r="P62" s="286"/>
      <c r="Q62" s="479"/>
      <c r="S62" s="224"/>
      <c r="U62" s="252" t="b">
        <f t="shared" si="0"/>
        <v>1</v>
      </c>
      <c r="V62" s="320">
        <f t="shared" si="16"/>
        <v>0</v>
      </c>
      <c r="W62" s="320">
        <f t="shared" si="17"/>
        <v>0</v>
      </c>
    </row>
    <row r="63" spans="1:23" ht="64.150000000000006" customHeight="1" x14ac:dyDescent="0.25">
      <c r="A63" s="160">
        <f>'Unit Data for Audit Worksheet'!A71</f>
        <v>193</v>
      </c>
      <c r="B63" s="168" t="str">
        <f>'Unit Data for Audit Worksheet'!C71</f>
        <v>Rev,, Exp. &amp; Changes in Net Position-combined totals from all proprietary funds</v>
      </c>
      <c r="C63" s="158" t="str">
        <f>'Unit Data for Audit Worksheet'!D71</f>
        <v>Combined Totals of all Proprietary Funds - Capital Contributions</v>
      </c>
      <c r="D63" s="322"/>
      <c r="E63" s="284">
        <f>'Unit Data for Audit Worksheet'!F71</f>
        <v>0</v>
      </c>
      <c r="F63" s="153"/>
      <c r="G63" s="189"/>
      <c r="H63" s="150">
        <f>'Unit Data for Audit Worksheet'!I71</f>
        <v>0</v>
      </c>
      <c r="I63" s="326"/>
      <c r="J63" s="147">
        <v>193</v>
      </c>
      <c r="K63" s="146" t="s">
        <v>170</v>
      </c>
      <c r="L63" s="338">
        <f t="shared" si="14"/>
        <v>0</v>
      </c>
      <c r="P63" s="286"/>
      <c r="Q63" s="479"/>
      <c r="S63" s="224"/>
      <c r="U63" s="252" t="b">
        <f t="shared" si="0"/>
        <v>1</v>
      </c>
      <c r="V63" s="320">
        <f t="shared" ref="V63:V66" si="18">E63-L63</f>
        <v>0</v>
      </c>
      <c r="W63" s="320">
        <f t="shared" ref="W63:W66" si="19">D63-L63</f>
        <v>0</v>
      </c>
    </row>
    <row r="64" spans="1:23" s="4" customFormat="1" ht="51.75" customHeight="1" x14ac:dyDescent="0.25">
      <c r="A64" s="230">
        <f>'Unit Data for Audit Worksheet'!A72</f>
        <v>33</v>
      </c>
      <c r="B64" s="168" t="str">
        <f>'Unit Data for Audit Worksheet'!C72</f>
        <v>Cash Flows- all proprietary funds</v>
      </c>
      <c r="C64" s="213" t="str">
        <f>'Unit Data for Audit Worksheet'!D72</f>
        <v>Combined Totals of all Proprietary Funds - Cash Flow from Operating</v>
      </c>
      <c r="D64" s="322"/>
      <c r="E64" s="284">
        <f>'Unit Data for Audit Worksheet'!F72</f>
        <v>0</v>
      </c>
      <c r="F64" s="153"/>
      <c r="G64" s="189"/>
      <c r="H64" s="150"/>
      <c r="I64" s="326"/>
      <c r="J64" s="147">
        <v>33</v>
      </c>
      <c r="K64" s="231" t="s">
        <v>169</v>
      </c>
      <c r="L64" s="338">
        <f t="shared" si="14"/>
        <v>0</v>
      </c>
      <c r="P64" s="286"/>
      <c r="Q64" s="480"/>
      <c r="U64" s="252" t="b">
        <f t="shared" si="0"/>
        <v>1</v>
      </c>
      <c r="V64" s="320">
        <f t="shared" si="18"/>
        <v>0</v>
      </c>
      <c r="W64" s="320">
        <f t="shared" si="19"/>
        <v>0</v>
      </c>
    </row>
    <row r="65" spans="1:23" s="58" customFormat="1" ht="71.25" customHeight="1" x14ac:dyDescent="0.25">
      <c r="A65" s="160">
        <f>'Unit Data for Audit Worksheet'!A74</f>
        <v>512</v>
      </c>
      <c r="B65" s="168" t="str">
        <f>'Unit Data for Audit Worksheet'!C74</f>
        <v>Fiduciary Statements</v>
      </c>
      <c r="C65" s="158" t="str">
        <f>'Unit Data for Audit Worksheet'!D74</f>
        <v>Cash and investments.  
Include:  unrestricted and restricted.  
                 cash and investments held by a third party</v>
      </c>
      <c r="D65" s="322"/>
      <c r="E65" s="284">
        <f>'Unit Data for Audit Worksheet'!F74</f>
        <v>0</v>
      </c>
      <c r="F65" s="153">
        <f>IF(L65&lt;0,"Error: Number is normally positive.",)</f>
        <v>0</v>
      </c>
      <c r="G65" s="189"/>
      <c r="H65" s="150">
        <f>'Unit Data for Audit Worksheet'!I74</f>
        <v>0</v>
      </c>
      <c r="I65" s="326"/>
      <c r="J65" s="147">
        <v>512</v>
      </c>
      <c r="K65" s="146" t="s">
        <v>143</v>
      </c>
      <c r="L65" s="339">
        <f t="shared" ref="L65:L72" si="20">IF(D65="",E65,D65)</f>
        <v>0</v>
      </c>
      <c r="P65" s="286"/>
      <c r="Q65" s="476"/>
      <c r="S65" s="224"/>
      <c r="U65" s="252" t="b">
        <f t="shared" si="0"/>
        <v>1</v>
      </c>
      <c r="V65" s="320">
        <f t="shared" si="18"/>
        <v>0</v>
      </c>
      <c r="W65" s="320">
        <f t="shared" si="19"/>
        <v>0</v>
      </c>
    </row>
    <row r="66" spans="1:23" s="272" customFormat="1" ht="119.25" customHeight="1" x14ac:dyDescent="0.25">
      <c r="A66" s="254">
        <f>'Unit Data for Audit Worksheet'!A76</f>
        <v>622</v>
      </c>
      <c r="B66" s="168" t="str">
        <f>'Unit Data for Audit Worksheet'!C76</f>
        <v>FS., Pension note or RSI</v>
      </c>
      <c r="C66" s="253" t="str">
        <f>'Unit Data for Audit Worksheet'!D76</f>
        <v xml:space="preserve">Unit's Share of Net Pension Liability ($s)
- unit of government is a participating employer in the State's TSERS (Teachers' and State Employees' Retirement System) or the LGERS (Local Governmental Employees' Retirement System).  </v>
      </c>
      <c r="D66" s="318"/>
      <c r="E66" s="284">
        <f>'Unit Data for Audit Worksheet'!F76</f>
        <v>0</v>
      </c>
      <c r="F66" s="153"/>
      <c r="G66" s="189"/>
      <c r="H66" s="150"/>
      <c r="I66" s="326"/>
      <c r="J66" s="147">
        <v>622</v>
      </c>
      <c r="K66" s="231" t="s">
        <v>365</v>
      </c>
      <c r="L66" s="338">
        <f t="shared" si="20"/>
        <v>0</v>
      </c>
      <c r="P66" s="286"/>
      <c r="Q66" s="478"/>
      <c r="U66" s="272" t="b">
        <f t="shared" si="0"/>
        <v>1</v>
      </c>
      <c r="V66" s="320">
        <f t="shared" si="18"/>
        <v>0</v>
      </c>
      <c r="W66" s="320">
        <f t="shared" si="19"/>
        <v>0</v>
      </c>
    </row>
    <row r="67" spans="1:23" s="256" customFormat="1" ht="225" x14ac:dyDescent="0.25">
      <c r="A67" s="160">
        <f>'Unit Data for Audit Worksheet'!A77</f>
        <v>577</v>
      </c>
      <c r="B67" s="168" t="str">
        <f>'Unit Data for Audit Worksheet'!C77</f>
        <v>Pension Notes</v>
      </c>
      <c r="C67" s="213" t="str">
        <f>'Unit Data for Audit Worksheet'!D77</f>
        <v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v>
      </c>
      <c r="D67" s="323"/>
      <c r="E67" s="285">
        <f>'Unit Data for Audit Worksheet'!F77</f>
        <v>0</v>
      </c>
      <c r="F67" s="175" t="str">
        <f>'Unit Data for Audit Worksheet'!G77</f>
        <v xml:space="preserve"> </v>
      </c>
      <c r="G67" s="189"/>
      <c r="H67" s="150">
        <f>'Unit Data for Audit Worksheet'!I77</f>
        <v>0</v>
      </c>
      <c r="I67" s="326"/>
      <c r="J67" s="147">
        <v>577</v>
      </c>
      <c r="K67" s="242" t="s">
        <v>327</v>
      </c>
      <c r="L67" s="338" t="str">
        <f>IF(E67="Yes",1,IF(E67="No",,""))</f>
        <v/>
      </c>
      <c r="P67" s="286"/>
      <c r="Q67" s="476"/>
    </row>
    <row r="68" spans="1:23" s="4" customFormat="1" ht="136.5" customHeight="1" x14ac:dyDescent="0.25">
      <c r="A68" s="178">
        <f>'Unit Data for Audit Worksheet'!A79</f>
        <v>547</v>
      </c>
      <c r="B68" s="168" t="str">
        <f>'Unit Data for Audit Worksheet'!C79</f>
        <v>OPEB Note</v>
      </c>
      <c r="C68" s="247" t="str">
        <f>'Unit Data for Audit Worksheet'!D79</f>
        <v>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v>
      </c>
      <c r="D68" s="322"/>
      <c r="E68" s="284">
        <f>'Unit Data for Audit Worksheet'!F79</f>
        <v>0</v>
      </c>
      <c r="F68" s="153" t="str">
        <f>IF(L68&lt;1,"Please answer this question","")</f>
        <v>Please answer this question</v>
      </c>
      <c r="G68" s="189"/>
      <c r="H68" s="150">
        <f>'Unit Data for Audit Worksheet'!I79</f>
        <v>0</v>
      </c>
      <c r="I68" s="326"/>
      <c r="J68" s="147">
        <v>547</v>
      </c>
      <c r="K68" s="179" t="s">
        <v>191</v>
      </c>
      <c r="L68" s="339">
        <f t="shared" si="20"/>
        <v>0</v>
      </c>
      <c r="M68" s="47"/>
      <c r="P68" s="286"/>
      <c r="Q68" s="478"/>
      <c r="S68" s="224"/>
      <c r="U68" s="252" t="b">
        <f t="shared" si="0"/>
        <v>1</v>
      </c>
      <c r="V68" s="320">
        <f t="shared" ref="V68" si="21">E68-L68</f>
        <v>0</v>
      </c>
      <c r="W68" s="320">
        <f t="shared" ref="W68" si="22">D68-L68</f>
        <v>0</v>
      </c>
    </row>
    <row r="69" spans="1:23" s="249" customFormat="1" ht="78.75" x14ac:dyDescent="0.25">
      <c r="A69" s="414">
        <f>'Unit Data for Audit Worksheet'!A80</f>
        <v>659</v>
      </c>
      <c r="B69" s="264" t="str">
        <f>'Unit Data for Audit Worksheet'!C80</f>
        <v>OPEB
 Note or RSI</v>
      </c>
      <c r="C69" s="415" t="str">
        <f>'Unit Data for Audit Worksheet'!D80</f>
        <v>Total OPEB benefits - total OPEB liability
If you do not provide benefit, please enter 0</v>
      </c>
      <c r="D69" s="322"/>
      <c r="E69" s="416">
        <f>'Unit Data for Audit Worksheet'!F80</f>
        <v>0</v>
      </c>
      <c r="F69" s="417">
        <f>IF(L69&lt;0,"Error: Enter as a positive.",)</f>
        <v>0</v>
      </c>
      <c r="G69" s="434" t="s">
        <v>526</v>
      </c>
      <c r="H69" s="418">
        <f>'Unit Data for Audit Worksheet'!I80</f>
        <v>0</v>
      </c>
      <c r="I69" s="326"/>
      <c r="J69" s="147">
        <v>659</v>
      </c>
      <c r="K69" s="282" t="s">
        <v>516</v>
      </c>
      <c r="L69" s="338">
        <f>IF(D69="",E69,D69)</f>
        <v>0</v>
      </c>
      <c r="M69" s="250"/>
      <c r="P69" s="286"/>
      <c r="Q69" s="478"/>
      <c r="S69" s="248"/>
      <c r="U69" s="252" t="b">
        <f t="shared" si="0"/>
        <v>1</v>
      </c>
      <c r="V69" s="320">
        <f t="shared" ref="V69:V72" si="23">E69-L69</f>
        <v>0</v>
      </c>
      <c r="W69" s="320">
        <f t="shared" ref="W69:W72" si="24">D69-L69</f>
        <v>0</v>
      </c>
    </row>
    <row r="70" spans="1:23" s="249" customFormat="1" ht="78.75" x14ac:dyDescent="0.25">
      <c r="A70" s="414">
        <f>'Unit Data for Audit Worksheet'!A81</f>
        <v>660</v>
      </c>
      <c r="B70" s="264" t="str">
        <f>'Unit Data for Audit Worksheet'!C81</f>
        <v>OPEB
 Note or RSI</v>
      </c>
      <c r="C70" s="415" t="str">
        <f>'Unit Data for Audit Worksheet'!D81</f>
        <v>Total OPEB benefits- OPEB plan fiduciary net position
If no fiduciary net position, enter 0</v>
      </c>
      <c r="D70" s="322"/>
      <c r="E70" s="416">
        <f>'Unit Data for Audit Worksheet'!F81</f>
        <v>0</v>
      </c>
      <c r="F70" s="417">
        <f>IF(L70&lt;0,"Note: Number is normally positive.",)</f>
        <v>0</v>
      </c>
      <c r="G70" s="434" t="s">
        <v>526</v>
      </c>
      <c r="H70" s="418">
        <f>'Unit Data for Audit Worksheet'!I81</f>
        <v>0</v>
      </c>
      <c r="I70" s="326"/>
      <c r="J70" s="463">
        <v>660</v>
      </c>
      <c r="K70" s="253" t="s">
        <v>517</v>
      </c>
      <c r="L70" s="338">
        <f t="shared" si="20"/>
        <v>0</v>
      </c>
      <c r="M70" s="250"/>
      <c r="P70" s="286"/>
      <c r="Q70" s="478"/>
      <c r="S70" s="248"/>
      <c r="U70" s="252" t="b">
        <f t="shared" si="0"/>
        <v>1</v>
      </c>
      <c r="V70" s="320">
        <f t="shared" si="23"/>
        <v>0</v>
      </c>
      <c r="W70" s="320">
        <f t="shared" si="24"/>
        <v>0</v>
      </c>
    </row>
    <row r="71" spans="1:23" s="249" customFormat="1" ht="78.75" x14ac:dyDescent="0.25">
      <c r="A71" s="414">
        <f>'Unit Data for Audit Worksheet'!A82</f>
        <v>661</v>
      </c>
      <c r="B71" s="264" t="str">
        <f>'Unit Data for Audit Worksheet'!C82</f>
        <v>OPEB
RSI</v>
      </c>
      <c r="C71" s="415" t="str">
        <f>'Unit Data for Audit Worksheet'!D82</f>
        <v>Total OPEB benefits - What is the plan’s fiduciary net position as a percentage of the total OPEB liability?  Please enter as percentage value; for example, 83.5% should be entered as 83.5.  If assets have not been set aside in a trust, please enter 0.0</v>
      </c>
      <c r="D71" s="322"/>
      <c r="E71" s="419">
        <f>'Unit Data for Audit Worksheet'!F82</f>
        <v>0</v>
      </c>
      <c r="F71" s="417" t="str">
        <f>IF(H71=L71,"","Column L does not equal Column H")</f>
        <v/>
      </c>
      <c r="G71" s="434" t="s">
        <v>526</v>
      </c>
      <c r="H71" s="420">
        <f>ROUND(IFERROR((L70/L69)*100,0),1)</f>
        <v>0</v>
      </c>
      <c r="I71" s="326"/>
      <c r="J71" s="463">
        <v>661</v>
      </c>
      <c r="K71" s="282" t="s">
        <v>523</v>
      </c>
      <c r="L71" s="481">
        <f t="shared" si="20"/>
        <v>0</v>
      </c>
      <c r="M71" s="250"/>
      <c r="P71" s="286"/>
      <c r="Q71" s="478">
        <f>IF(H71=L71,0,1)</f>
        <v>0</v>
      </c>
      <c r="S71" s="248"/>
      <c r="U71" s="252" t="b">
        <f t="shared" si="0"/>
        <v>1</v>
      </c>
      <c r="V71" s="320">
        <f t="shared" si="23"/>
        <v>0</v>
      </c>
      <c r="W71" s="320">
        <f t="shared" si="24"/>
        <v>0</v>
      </c>
    </row>
    <row r="72" spans="1:23" ht="66" customHeight="1" x14ac:dyDescent="0.25">
      <c r="A72" s="409">
        <f>'Unit Data for Audit Worksheet'!A85</f>
        <v>6</v>
      </c>
      <c r="B72" s="399" t="str">
        <f>'Unit Data for Audit Worksheet'!C85</f>
        <v>Fund Balance Note</v>
      </c>
      <c r="C72" s="400" t="str">
        <f>'Unit Data for Audit Worksheet'!D85</f>
        <v>General Fund -  Total Encumbrances.  You will probably have to refer to the note disclosure where the amount of encumbrances is listed.</v>
      </c>
      <c r="D72" s="322"/>
      <c r="E72" s="402">
        <f>'Unit Data for Audit Worksheet'!F85</f>
        <v>0</v>
      </c>
      <c r="F72" s="403">
        <f>IF(L72&lt;0,"Error: Enter as a positive.",)</f>
        <v>0</v>
      </c>
      <c r="G72" s="404"/>
      <c r="H72" s="150">
        <f>'Unit Data for Audit Worksheet'!I85</f>
        <v>0</v>
      </c>
      <c r="I72" s="326"/>
      <c r="J72" s="410">
        <v>6</v>
      </c>
      <c r="K72" s="257" t="s">
        <v>147</v>
      </c>
      <c r="L72" s="411">
        <f t="shared" si="20"/>
        <v>0</v>
      </c>
      <c r="P72" s="286"/>
      <c r="Q72" s="476"/>
      <c r="S72" s="224"/>
      <c r="U72" s="252" t="b">
        <f>EXACT(A72,J72)</f>
        <v>1</v>
      </c>
      <c r="V72" s="320">
        <f t="shared" si="23"/>
        <v>0</v>
      </c>
      <c r="W72" s="320">
        <f t="shared" si="24"/>
        <v>0</v>
      </c>
    </row>
    <row r="73" spans="1:23" s="272" customFormat="1" ht="80.25" customHeight="1" x14ac:dyDescent="0.25">
      <c r="A73" s="254">
        <f>'Unit Data for Audit Worksheet'!A87</f>
        <v>620</v>
      </c>
      <c r="B73" s="168"/>
      <c r="C73" s="253" t="str">
        <f>'Unit Data for Audit Worksheet'!D87</f>
        <v>Do you expect to issue debt requiring LGC approval within 12 months from the date that the audit is submitted - select "1" for year and "2" for no</v>
      </c>
      <c r="D73" s="332"/>
      <c r="E73" s="284">
        <f>'Unit Data for Audit Worksheet'!F87</f>
        <v>0</v>
      </c>
      <c r="F73" s="153"/>
      <c r="G73" s="189"/>
      <c r="H73" s="150">
        <f>'Unit Data for Audit Worksheet'!I87</f>
        <v>0</v>
      </c>
      <c r="I73" s="326"/>
      <c r="J73" s="324">
        <v>620</v>
      </c>
      <c r="K73" s="475" t="s">
        <v>353</v>
      </c>
      <c r="L73" s="337">
        <f>IF(D73="",E73,D73)</f>
        <v>0</v>
      </c>
      <c r="P73" s="286"/>
      <c r="Q73" s="478"/>
    </row>
    <row r="74" spans="1:23" s="272" customFormat="1" ht="45" customHeight="1" x14ac:dyDescent="0.25">
      <c r="A74" s="438"/>
      <c r="B74" s="439"/>
      <c r="C74" s="440"/>
      <c r="D74" s="438"/>
      <c r="E74" s="439"/>
      <c r="F74" s="390"/>
      <c r="G74" s="391"/>
      <c r="H74" s="392"/>
      <c r="I74" s="326"/>
      <c r="J74" s="459">
        <v>998</v>
      </c>
      <c r="K74" s="460" t="s">
        <v>166</v>
      </c>
      <c r="L74" s="461" t="e">
        <f>HLOOKUP('Unit Data for Audit Worksheet'!$D$2,'2019 Data'!$D$1:$AF$203,119,FALSE)</f>
        <v>#N/A</v>
      </c>
      <c r="P74" s="286"/>
      <c r="Q74" s="478"/>
    </row>
    <row r="75" spans="1:23" s="272" customFormat="1" ht="52.5" customHeight="1" x14ac:dyDescent="0.25">
      <c r="A75" s="438"/>
      <c r="B75" s="439"/>
      <c r="C75" s="440"/>
      <c r="D75" s="438"/>
      <c r="E75" s="439"/>
      <c r="F75" s="390"/>
      <c r="G75" s="391"/>
      <c r="H75" s="392"/>
      <c r="I75" s="326"/>
      <c r="J75" s="435">
        <v>554</v>
      </c>
      <c r="K75" s="436" t="s">
        <v>527</v>
      </c>
      <c r="L75" s="437"/>
      <c r="P75" s="286"/>
      <c r="Q75" s="478"/>
    </row>
    <row r="76" spans="1:23" s="272" customFormat="1" ht="45" x14ac:dyDescent="0.25">
      <c r="A76" s="438"/>
      <c r="B76" s="439"/>
      <c r="C76" s="440"/>
      <c r="D76" s="438"/>
      <c r="E76" s="439"/>
      <c r="F76" s="390"/>
      <c r="G76" s="391"/>
      <c r="H76" s="392"/>
      <c r="I76" s="326"/>
      <c r="J76" s="435">
        <v>555</v>
      </c>
      <c r="K76" s="436" t="s">
        <v>528</v>
      </c>
      <c r="L76" s="437"/>
      <c r="P76" s="286"/>
      <c r="Q76" s="478"/>
    </row>
    <row r="77" spans="1:23" s="272" customFormat="1" ht="51.75" customHeight="1" x14ac:dyDescent="0.25">
      <c r="A77" s="438"/>
      <c r="B77" s="439"/>
      <c r="C77" s="440"/>
      <c r="D77" s="438"/>
      <c r="E77" s="439"/>
      <c r="F77" s="390"/>
      <c r="G77" s="391"/>
      <c r="H77" s="392"/>
      <c r="I77" s="326"/>
      <c r="J77" s="435">
        <v>556</v>
      </c>
      <c r="K77" s="436" t="s">
        <v>529</v>
      </c>
      <c r="L77" s="437"/>
      <c r="P77" s="286"/>
      <c r="Q77" s="478"/>
    </row>
    <row r="78" spans="1:23" s="272" customFormat="1" ht="45" x14ac:dyDescent="0.25">
      <c r="A78" s="438"/>
      <c r="B78" s="439"/>
      <c r="C78" s="440"/>
      <c r="D78" s="438"/>
      <c r="E78" s="439"/>
      <c r="F78" s="390"/>
      <c r="G78" s="391"/>
      <c r="H78" s="392"/>
      <c r="I78" s="326"/>
      <c r="J78" s="435">
        <v>557</v>
      </c>
      <c r="K78" s="436" t="s">
        <v>530</v>
      </c>
      <c r="L78" s="437"/>
      <c r="P78" s="286"/>
      <c r="Q78" s="478"/>
    </row>
    <row r="79" spans="1:23" s="272" customFormat="1" ht="45" x14ac:dyDescent="0.25">
      <c r="A79" s="438"/>
      <c r="B79" s="439"/>
      <c r="C79" s="440"/>
      <c r="D79" s="438"/>
      <c r="E79" s="439"/>
      <c r="F79" s="390"/>
      <c r="G79" s="391"/>
      <c r="H79" s="392"/>
      <c r="I79" s="326"/>
      <c r="J79" s="435">
        <v>606</v>
      </c>
      <c r="K79" s="436" t="s">
        <v>531</v>
      </c>
      <c r="L79" s="437"/>
      <c r="P79" s="286"/>
      <c r="Q79" s="478"/>
    </row>
    <row r="80" spans="1:23" s="272" customFormat="1" ht="38.25" customHeight="1" x14ac:dyDescent="0.25">
      <c r="A80" s="438"/>
      <c r="B80" s="439"/>
      <c r="C80" s="440"/>
      <c r="D80" s="438"/>
      <c r="E80" s="439"/>
      <c r="F80" s="390"/>
      <c r="G80" s="391"/>
      <c r="H80" s="392"/>
      <c r="I80" s="326"/>
      <c r="J80" s="457">
        <v>662</v>
      </c>
      <c r="K80" s="448" t="s">
        <v>532</v>
      </c>
      <c r="L80" s="456"/>
      <c r="P80" s="286"/>
      <c r="Q80" s="478"/>
    </row>
    <row r="81" spans="1:17" s="272" customFormat="1" ht="28.5" x14ac:dyDescent="0.25">
      <c r="A81" s="438"/>
      <c r="B81" s="439"/>
      <c r="C81" s="440"/>
      <c r="D81" s="438"/>
      <c r="E81" s="439"/>
      <c r="F81" s="390"/>
      <c r="G81" s="391"/>
      <c r="H81" s="392"/>
      <c r="I81" s="326"/>
      <c r="J81" s="457">
        <v>663</v>
      </c>
      <c r="K81" s="458" t="s">
        <v>533</v>
      </c>
      <c r="L81" s="456"/>
      <c r="P81" s="286"/>
      <c r="Q81" s="478"/>
    </row>
    <row r="82" spans="1:17" s="272" customFormat="1" x14ac:dyDescent="0.25">
      <c r="A82" s="393"/>
      <c r="B82" s="394"/>
      <c r="C82" s="395"/>
      <c r="D82" s="332"/>
      <c r="E82" s="384"/>
      <c r="F82" s="385"/>
      <c r="G82" s="386"/>
      <c r="H82" s="387"/>
      <c r="I82" s="326"/>
      <c r="J82" s="333"/>
      <c r="K82" s="334"/>
      <c r="L82" s="455"/>
      <c r="P82" s="286"/>
      <c r="Q82" s="478"/>
    </row>
    <row r="83" spans="1:17" s="272" customFormat="1" ht="60" x14ac:dyDescent="0.25">
      <c r="A83" s="500">
        <f>'Unit Data for Audit Worksheet'!A89</f>
        <v>947</v>
      </c>
      <c r="B83" s="501"/>
      <c r="C83" s="498" t="str">
        <f>'Unit Data for Audit Worksheet'!D89</f>
        <v>First name of finance officer or interim finance officer (please enter “vacant” for first or last name if the position is currently vacant)</v>
      </c>
      <c r="D83" s="332"/>
      <c r="E83" s="506">
        <f>'Unit Data for Audit Worksheet'!F89</f>
        <v>0</v>
      </c>
      <c r="F83" s="153" t="str">
        <f>'Unit Data for Audit Worksheet'!G89</f>
        <v>Please do not leave blank</v>
      </c>
      <c r="G83" s="189"/>
      <c r="H83" s="150"/>
      <c r="I83" s="326"/>
      <c r="J83" s="495">
        <v>947</v>
      </c>
      <c r="K83" s="496" t="s">
        <v>386</v>
      </c>
      <c r="L83" s="507">
        <f t="shared" ref="L83:L95" si="25">IF(D83="",E83,D83)</f>
        <v>0</v>
      </c>
      <c r="P83" s="286"/>
      <c r="Q83" s="482">
        <f>IF(L83=0,1,0)</f>
        <v>1</v>
      </c>
    </row>
    <row r="84" spans="1:17" s="272" customFormat="1" ht="60" x14ac:dyDescent="0.25">
      <c r="A84" s="500">
        <f>'Unit Data for Audit Worksheet'!A90</f>
        <v>948</v>
      </c>
      <c r="B84" s="501"/>
      <c r="C84" s="498" t="str">
        <f>'Unit Data for Audit Worksheet'!D90</f>
        <v>Last name of finance officer or interim finance officer (please enter “vacant” for first or last name if the position is currently vacant)</v>
      </c>
      <c r="D84" s="332"/>
      <c r="E84" s="506">
        <f>'Unit Data for Audit Worksheet'!F90</f>
        <v>0</v>
      </c>
      <c r="F84" s="153" t="str">
        <f>'Unit Data for Audit Worksheet'!G90</f>
        <v>Please do not leave blank</v>
      </c>
      <c r="G84" s="189"/>
      <c r="H84" s="150"/>
      <c r="I84" s="326"/>
      <c r="J84" s="495">
        <v>948</v>
      </c>
      <c r="K84" s="497" t="s">
        <v>388</v>
      </c>
      <c r="L84" s="507">
        <f t="shared" si="25"/>
        <v>0</v>
      </c>
      <c r="P84" s="286"/>
      <c r="Q84" s="482">
        <f t="shared" ref="Q84:Q90" si="26">IF(L84=0,1,0)</f>
        <v>1</v>
      </c>
    </row>
    <row r="85" spans="1:17" s="272" customFormat="1" ht="65.25" customHeight="1" x14ac:dyDescent="0.25">
      <c r="A85" s="500">
        <f>'Unit Data for Audit Worksheet'!A91</f>
        <v>949</v>
      </c>
      <c r="B85" s="501"/>
      <c r="C85" s="498" t="str">
        <f>'Unit Data for Audit Worksheet'!D91</f>
        <v>Is the finance officer serving in a permanent role or an interim role? (permanent/interim/vacant)</v>
      </c>
      <c r="D85" s="332"/>
      <c r="E85" s="506">
        <f>'Unit Data for Audit Worksheet'!F91</f>
        <v>0</v>
      </c>
      <c r="F85" s="153" t="str">
        <f>'Unit Data for Audit Worksheet'!G91</f>
        <v>Please do not leave blank</v>
      </c>
      <c r="G85" s="189"/>
      <c r="H85" s="150"/>
      <c r="I85" s="326"/>
      <c r="J85" s="495">
        <v>949</v>
      </c>
      <c r="K85" s="497" t="s">
        <v>389</v>
      </c>
      <c r="L85" s="507">
        <f t="shared" si="25"/>
        <v>0</v>
      </c>
      <c r="P85" s="286"/>
      <c r="Q85" s="482">
        <f t="shared" si="26"/>
        <v>1</v>
      </c>
    </row>
    <row r="86" spans="1:17" s="272" customFormat="1" ht="75" customHeight="1" x14ac:dyDescent="0.25">
      <c r="A86" s="500">
        <f>'Unit Data for Audit Worksheet'!A92</f>
        <v>950</v>
      </c>
      <c r="B86" s="501"/>
      <c r="C86" s="498" t="str">
        <f>'Unit Data for Audit Worksheet'!D92</f>
        <v>Has the finance officer been formally appointed by the local government, public authority, or designated official?  (Y/N)</v>
      </c>
      <c r="D86" s="332"/>
      <c r="E86" s="506">
        <f>'Unit Data for Audit Worksheet'!F92</f>
        <v>0</v>
      </c>
      <c r="F86" s="153" t="str">
        <f>'Unit Data for Audit Worksheet'!G92</f>
        <v>Please do not leave blank</v>
      </c>
      <c r="G86" s="189"/>
      <c r="H86" s="150"/>
      <c r="I86" s="326"/>
      <c r="J86" s="495">
        <v>950</v>
      </c>
      <c r="K86" s="497" t="s">
        <v>391</v>
      </c>
      <c r="L86" s="507">
        <f t="shared" si="25"/>
        <v>0</v>
      </c>
      <c r="P86" s="286"/>
      <c r="Q86" s="482">
        <f t="shared" si="26"/>
        <v>1</v>
      </c>
    </row>
    <row r="87" spans="1:17" s="272" customFormat="1" ht="105" x14ac:dyDescent="0.25">
      <c r="A87" s="500">
        <f>'Unit Data for Audit Worksheet'!A93</f>
        <v>952</v>
      </c>
      <c r="B87" s="501"/>
      <c r="C87" s="498" t="str">
        <f>'Unit Data for Audit Worksheet'!D93</f>
        <v>Date on which the local government, public authority, or designated official appointed the finance officer? (If the date of appointment by the board is difficult to find you may enter January 1 and the year)   Date Format   MM/DD/YYYY</v>
      </c>
      <c r="D87" s="332"/>
      <c r="E87" s="331">
        <f>'Unit Data for Audit Worksheet'!F93</f>
        <v>0</v>
      </c>
      <c r="F87" s="153" t="str">
        <f>'Unit Data for Audit Worksheet'!G93</f>
        <v>Please do not leave blank</v>
      </c>
      <c r="G87" s="189"/>
      <c r="H87" s="150"/>
      <c r="I87" s="326"/>
      <c r="J87" s="495">
        <v>952</v>
      </c>
      <c r="K87" s="498" t="s">
        <v>536</v>
      </c>
      <c r="L87" s="508">
        <f t="shared" si="25"/>
        <v>0</v>
      </c>
      <c r="P87" s="286"/>
      <c r="Q87" s="482">
        <f t="shared" si="26"/>
        <v>1</v>
      </c>
    </row>
    <row r="88" spans="1:17" s="272" customFormat="1" ht="85.5" x14ac:dyDescent="0.25">
      <c r="A88" s="500">
        <f>'Unit Data for Audit Worksheet'!A94</f>
        <v>954</v>
      </c>
      <c r="B88" s="501"/>
      <c r="C88" s="498" t="str">
        <f>'Unit Data for Audit Worksheet'!D94</f>
        <v>Has the finance officer or interim finance officer read, understand, and is in compliance with the requirements of N.C.G.S. 159, as applicable based on unit type and circumstances? (Y/N)</v>
      </c>
      <c r="D88" s="332"/>
      <c r="E88" s="506">
        <f>'Unit Data for Audit Worksheet'!F94</f>
        <v>0</v>
      </c>
      <c r="F88" s="153" t="str">
        <f>'Unit Data for Audit Worksheet'!G94</f>
        <v>Please do not leave blank</v>
      </c>
      <c r="G88" s="189"/>
      <c r="H88" s="150"/>
      <c r="I88" s="326"/>
      <c r="J88" s="495">
        <v>954</v>
      </c>
      <c r="K88" s="497" t="s">
        <v>392</v>
      </c>
      <c r="L88" s="507">
        <f t="shared" si="25"/>
        <v>0</v>
      </c>
      <c r="P88" s="286"/>
      <c r="Q88" s="482">
        <f t="shared" si="26"/>
        <v>1</v>
      </c>
    </row>
    <row r="89" spans="1:17" s="272" customFormat="1" ht="105.75" customHeight="1" x14ac:dyDescent="0.25">
      <c r="A89" s="500">
        <f>'Unit Data for Audit Worksheet'!A95</f>
        <v>956</v>
      </c>
      <c r="B89" s="501"/>
      <c r="C89" s="498" t="str">
        <f>'Unit Data for Audit Worksheet'!D95</f>
        <v>Does the finance officer or interim finance officer maintain and update (or ensures the maintenance and update of)  financial records monthly, including reconciliation of bank accounts to the general ledger? (Y/N)</v>
      </c>
      <c r="D89" s="332"/>
      <c r="E89" s="506">
        <f>'Unit Data for Audit Worksheet'!F95</f>
        <v>0</v>
      </c>
      <c r="F89" s="153" t="str">
        <f>'Unit Data for Audit Worksheet'!G95</f>
        <v>Please do not leave blank</v>
      </c>
      <c r="G89" s="189"/>
      <c r="H89" s="150"/>
      <c r="I89" s="326"/>
      <c r="J89" s="495">
        <v>956</v>
      </c>
      <c r="K89" s="497" t="s">
        <v>393</v>
      </c>
      <c r="L89" s="507">
        <f t="shared" si="25"/>
        <v>0</v>
      </c>
      <c r="P89" s="286"/>
      <c r="Q89" s="482">
        <f t="shared" si="26"/>
        <v>1</v>
      </c>
    </row>
    <row r="90" spans="1:17" s="272" customFormat="1" ht="188.1" customHeight="1" x14ac:dyDescent="0.25">
      <c r="A90" s="500">
        <f>'Unit Data for Audit Worksheet'!A96</f>
        <v>958</v>
      </c>
      <c r="B90" s="501"/>
      <c r="C90" s="498" t="str">
        <f>'Unit Data for Audit Worksheet'!D96</f>
        <v>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v>
      </c>
      <c r="D90" s="332"/>
      <c r="E90" s="506">
        <f>'Unit Data for Audit Worksheet'!F96</f>
        <v>0</v>
      </c>
      <c r="F90" s="153" t="str">
        <f>'Unit Data for Audit Worksheet'!G96</f>
        <v>Please do not leave blank</v>
      </c>
      <c r="G90" s="189"/>
      <c r="H90" s="150"/>
      <c r="I90" s="326"/>
      <c r="J90" s="495">
        <v>958</v>
      </c>
      <c r="K90" s="499" t="s">
        <v>394</v>
      </c>
      <c r="L90" s="507">
        <f t="shared" si="25"/>
        <v>0</v>
      </c>
      <c r="P90" s="286"/>
      <c r="Q90" s="482">
        <f t="shared" si="26"/>
        <v>1</v>
      </c>
    </row>
    <row r="91" spans="1:17" s="272" customFormat="1" ht="30.75" customHeight="1" x14ac:dyDescent="0.25">
      <c r="A91" s="472">
        <f>'Unit Data for Audit Worksheet'!A104</f>
        <v>960</v>
      </c>
      <c r="B91" s="502"/>
      <c r="C91" s="473" t="str">
        <f>'Unit Data for Audit Worksheet'!B104</f>
        <v>Name of Finance Officer</v>
      </c>
      <c r="D91" s="332"/>
      <c r="E91" s="514">
        <f>'Unit Data for Audit Worksheet'!D104</f>
        <v>0</v>
      </c>
      <c r="F91" s="153" t="str">
        <f>'Unit Data for Audit Worksheet'!G104</f>
        <v>Cell D104 must be completed.</v>
      </c>
      <c r="G91" s="189"/>
      <c r="H91" s="150"/>
      <c r="I91" s="326"/>
      <c r="J91" s="510">
        <v>960</v>
      </c>
      <c r="K91" s="473" t="s">
        <v>535</v>
      </c>
      <c r="L91" s="509">
        <f t="shared" si="25"/>
        <v>0</v>
      </c>
      <c r="P91" s="286"/>
      <c r="Q91" s="482">
        <f>IF(L91=0,1,0)</f>
        <v>1</v>
      </c>
    </row>
    <row r="92" spans="1:17" s="272" customFormat="1" ht="30.75" customHeight="1" x14ac:dyDescent="0.25">
      <c r="A92" s="472">
        <f>'Unit Data for Audit Worksheet'!A105</f>
        <v>962</v>
      </c>
      <c r="B92" s="502"/>
      <c r="C92" s="473" t="str">
        <f>'Unit Data for Audit Worksheet'!B105</f>
        <v>Title of Official</v>
      </c>
      <c r="D92" s="332"/>
      <c r="E92" s="514">
        <f>'Unit Data for Audit Worksheet'!D105</f>
        <v>0</v>
      </c>
      <c r="F92" s="153" t="str">
        <f>'Unit Data for Audit Worksheet'!G105</f>
        <v>Cell D105 must be completed.</v>
      </c>
      <c r="G92" s="189"/>
      <c r="H92" s="150"/>
      <c r="I92" s="326"/>
      <c r="J92" s="510">
        <v>962</v>
      </c>
      <c r="K92" s="473" t="s">
        <v>399</v>
      </c>
      <c r="L92" s="509">
        <f t="shared" si="25"/>
        <v>0</v>
      </c>
      <c r="P92" s="286"/>
      <c r="Q92" s="482">
        <f t="shared" ref="Q92:Q95" si="27">IF(L92=0,1,0)</f>
        <v>1</v>
      </c>
    </row>
    <row r="93" spans="1:17" s="272" customFormat="1" ht="30.75" customHeight="1" x14ac:dyDescent="0.25">
      <c r="A93" s="472">
        <f>'Unit Data for Audit Worksheet'!A106</f>
        <v>964</v>
      </c>
      <c r="B93" s="502"/>
      <c r="C93" s="473" t="str">
        <f>'Unit Data for Audit Worksheet'!B106</f>
        <v>Date                        (Enter as "MM/DD/YYYY")</v>
      </c>
      <c r="D93" s="332"/>
      <c r="E93" s="474">
        <f>'Unit Data for Audit Worksheet'!D106</f>
        <v>0</v>
      </c>
      <c r="F93" s="153" t="str">
        <f>'Unit Data for Audit Worksheet'!G106</f>
        <v>Cell D106 must be completed.</v>
      </c>
      <c r="G93" s="189"/>
      <c r="H93" s="150"/>
      <c r="I93" s="326"/>
      <c r="J93" s="510">
        <v>964</v>
      </c>
      <c r="K93" s="473" t="s">
        <v>550</v>
      </c>
      <c r="L93" s="511">
        <f t="shared" si="25"/>
        <v>0</v>
      </c>
      <c r="P93" s="286"/>
      <c r="Q93" s="482">
        <f t="shared" si="27"/>
        <v>1</v>
      </c>
    </row>
    <row r="94" spans="1:17" s="272" customFormat="1" ht="30.75" customHeight="1" x14ac:dyDescent="0.25">
      <c r="A94" s="472">
        <f>'Unit Data for Audit Worksheet'!A107</f>
        <v>966</v>
      </c>
      <c r="B94" s="502"/>
      <c r="C94" s="473" t="str">
        <f>'Unit Data for Audit Worksheet'!B107</f>
        <v>Telephone number</v>
      </c>
      <c r="D94" s="332"/>
      <c r="E94" s="514">
        <f>'Unit Data for Audit Worksheet'!D107</f>
        <v>0</v>
      </c>
      <c r="F94" s="153" t="str">
        <f>'Unit Data for Audit Worksheet'!G107</f>
        <v>Cell D107 must be completed.</v>
      </c>
      <c r="G94" s="189"/>
      <c r="H94" s="150"/>
      <c r="I94" s="326"/>
      <c r="J94" s="510">
        <v>966</v>
      </c>
      <c r="K94" s="473" t="s">
        <v>401</v>
      </c>
      <c r="L94" s="509">
        <f t="shared" si="25"/>
        <v>0</v>
      </c>
      <c r="P94" s="286"/>
      <c r="Q94" s="482">
        <f t="shared" si="27"/>
        <v>1</v>
      </c>
    </row>
    <row r="95" spans="1:17" s="272" customFormat="1" ht="30.75" customHeight="1" x14ac:dyDescent="0.25">
      <c r="A95" s="472">
        <f>'Unit Data for Audit Worksheet'!A108</f>
        <v>968</v>
      </c>
      <c r="B95" s="502"/>
      <c r="C95" s="473" t="str">
        <f>'Unit Data for Audit Worksheet'!B108</f>
        <v>E-mail address</v>
      </c>
      <c r="D95" s="332"/>
      <c r="E95" s="515">
        <f>'Unit Data for Audit Worksheet'!D108</f>
        <v>0</v>
      </c>
      <c r="F95" s="153" t="str">
        <f>'Unit Data for Audit Worksheet'!G108</f>
        <v>Cell D108 must be completed.</v>
      </c>
      <c r="G95" s="189"/>
      <c r="H95" s="150"/>
      <c r="I95" s="326"/>
      <c r="J95" s="510">
        <v>968</v>
      </c>
      <c r="K95" s="473" t="s">
        <v>402</v>
      </c>
      <c r="L95" s="509">
        <f t="shared" si="25"/>
        <v>0</v>
      </c>
      <c r="P95" s="286"/>
      <c r="Q95" s="482">
        <f t="shared" si="27"/>
        <v>1</v>
      </c>
    </row>
    <row r="96" spans="1:17" s="272" customFormat="1" ht="42.75" customHeight="1" x14ac:dyDescent="0.25">
      <c r="A96" s="462"/>
      <c r="B96" s="462"/>
      <c r="C96" s="462"/>
      <c r="D96" s="388"/>
      <c r="E96" s="389"/>
      <c r="F96" s="385"/>
      <c r="G96" s="386"/>
      <c r="H96" s="387"/>
      <c r="I96" s="326"/>
      <c r="J96" s="503">
        <v>999</v>
      </c>
      <c r="K96" s="504" t="s">
        <v>167</v>
      </c>
      <c r="L96" s="505" t="e">
        <f>+'Unit Data for Audit Worksheet'!D3</f>
        <v>#N/A</v>
      </c>
      <c r="N96" s="5" t="s">
        <v>551</v>
      </c>
      <c r="P96" s="286"/>
      <c r="Q96" s="478"/>
    </row>
    <row r="97" spans="1:17" s="272" customFormat="1" ht="41.1" customHeight="1" x14ac:dyDescent="0.25">
      <c r="I97" s="512"/>
      <c r="J97" s="328"/>
      <c r="K97" s="329"/>
      <c r="L97" s="330"/>
      <c r="P97" s="286"/>
      <c r="Q97" s="273"/>
    </row>
    <row r="98" spans="1:17" s="272" customFormat="1" ht="45" customHeight="1" x14ac:dyDescent="0.55000000000000004">
      <c r="A98"/>
      <c r="B98"/>
      <c r="C98"/>
      <c r="D98"/>
      <c r="E98"/>
      <c r="F98"/>
      <c r="G98"/>
      <c r="H98"/>
      <c r="I98" s="512"/>
      <c r="J98" s="195" t="e">
        <f>SUM(Q4:Q95)</f>
        <v>#N/A</v>
      </c>
      <c r="K98" s="192" t="s">
        <v>200</v>
      </c>
      <c r="L98" s="246" t="e">
        <f>SUM(G5:G73)</f>
        <v>#N/A</v>
      </c>
      <c r="P98" s="286"/>
      <c r="Q98" s="273"/>
    </row>
    <row r="99" spans="1:17" s="272" customFormat="1" ht="36" x14ac:dyDescent="0.55000000000000004">
      <c r="A99"/>
      <c r="B99"/>
      <c r="C99"/>
      <c r="D99"/>
      <c r="E99"/>
      <c r="F99"/>
      <c r="G99"/>
      <c r="H99"/>
      <c r="I99" s="512"/>
      <c r="J99" s="195"/>
      <c r="K99" s="192"/>
      <c r="L99" s="246"/>
      <c r="P99" s="286"/>
      <c r="Q99" s="273"/>
    </row>
    <row r="100" spans="1:17" x14ac:dyDescent="0.25">
      <c r="D100" s="30"/>
      <c r="E100" s="26"/>
      <c r="F100" s="26"/>
      <c r="G100" s="190"/>
      <c r="H100" s="26"/>
      <c r="I100" s="512"/>
      <c r="K100" s="40"/>
      <c r="L100" s="182"/>
      <c r="P100" s="224"/>
    </row>
    <row r="101" spans="1:17" x14ac:dyDescent="0.25">
      <c r="A101" s="21"/>
      <c r="B101" s="169"/>
      <c r="C101" s="164"/>
      <c r="D101" s="30"/>
      <c r="E101" s="26"/>
      <c r="F101" s="26"/>
      <c r="G101" s="190"/>
      <c r="H101" s="26"/>
      <c r="I101" s="512"/>
      <c r="K101" s="40"/>
      <c r="L101" s="182"/>
      <c r="P101" s="224"/>
    </row>
    <row r="102" spans="1:17" x14ac:dyDescent="0.25">
      <c r="A102" s="21"/>
      <c r="B102" s="169"/>
      <c r="C102" s="164"/>
      <c r="D102" s="30"/>
      <c r="E102" s="26"/>
      <c r="F102" s="26"/>
      <c r="G102" s="190"/>
      <c r="H102" s="26"/>
      <c r="I102" s="512"/>
      <c r="K102" s="40"/>
      <c r="L102" s="182"/>
      <c r="P102" s="224"/>
    </row>
    <row r="103" spans="1:17" x14ac:dyDescent="0.25">
      <c r="A103" s="21"/>
      <c r="B103" s="169"/>
      <c r="C103" s="164"/>
      <c r="D103" s="30"/>
      <c r="E103" s="26"/>
      <c r="F103" s="26"/>
      <c r="G103" s="190"/>
      <c r="H103" s="26"/>
      <c r="I103" s="512"/>
      <c r="K103" s="40"/>
      <c r="L103" s="182"/>
      <c r="P103" s="224"/>
    </row>
    <row r="104" spans="1:17" x14ac:dyDescent="0.25">
      <c r="D104" s="30"/>
      <c r="E104" s="26"/>
      <c r="F104" s="26"/>
      <c r="G104" s="190"/>
      <c r="H104" s="26"/>
      <c r="I104" s="512"/>
      <c r="K104" s="40"/>
      <c r="L104" s="182"/>
      <c r="P104" s="224"/>
    </row>
    <row r="105" spans="1:17" x14ac:dyDescent="0.25">
      <c r="D105" s="30"/>
      <c r="E105" s="26"/>
      <c r="F105" s="173"/>
      <c r="G105" s="191"/>
      <c r="H105" s="26"/>
      <c r="I105" s="512"/>
      <c r="K105" s="40"/>
      <c r="L105" s="182"/>
      <c r="P105" s="224"/>
    </row>
    <row r="106" spans="1:17" x14ac:dyDescent="0.25">
      <c r="A106" s="21"/>
      <c r="B106" s="169"/>
      <c r="C106" s="164"/>
      <c r="D106" s="30"/>
      <c r="E106" s="26"/>
      <c r="P106" s="224"/>
    </row>
    <row r="107" spans="1:17" x14ac:dyDescent="0.25">
      <c r="A107" s="21"/>
      <c r="B107" s="169"/>
      <c r="C107" s="164"/>
      <c r="D107" s="30"/>
      <c r="E107" s="26"/>
      <c r="P107" s="224"/>
    </row>
    <row r="108" spans="1:17" x14ac:dyDescent="0.25">
      <c r="A108" s="21"/>
      <c r="B108" s="169"/>
      <c r="C108" s="171"/>
      <c r="D108" s="172"/>
      <c r="E108" s="172"/>
      <c r="P108" s="224"/>
    </row>
    <row r="109" spans="1:17" x14ac:dyDescent="0.25">
      <c r="D109" s="31"/>
      <c r="P109" s="224"/>
    </row>
    <row r="110" spans="1:17" x14ac:dyDescent="0.25">
      <c r="D110" s="31"/>
      <c r="P110" s="224"/>
    </row>
    <row r="111" spans="1:17" x14ac:dyDescent="0.25">
      <c r="A111" s="21"/>
      <c r="B111" s="169"/>
      <c r="C111" s="164"/>
      <c r="D111" s="31"/>
      <c r="P111" s="224"/>
    </row>
    <row r="112" spans="1:17" x14ac:dyDescent="0.25">
      <c r="A112" s="21"/>
      <c r="B112" s="169"/>
      <c r="C112" s="164"/>
      <c r="D112" s="31"/>
      <c r="P112" s="224"/>
    </row>
    <row r="113" spans="1:16" x14ac:dyDescent="0.25">
      <c r="A113" s="21"/>
      <c r="B113" s="169"/>
      <c r="C113" s="164"/>
      <c r="D113" s="31"/>
      <c r="P113" s="224"/>
    </row>
    <row r="114" spans="1:16" x14ac:dyDescent="0.25">
      <c r="D114" s="31"/>
      <c r="P114" s="224"/>
    </row>
    <row r="115" spans="1:16" x14ac:dyDescent="0.25">
      <c r="D115" s="31"/>
      <c r="P115" s="224"/>
    </row>
    <row r="116" spans="1:16" x14ac:dyDescent="0.25">
      <c r="D116" s="31"/>
      <c r="P116" s="224"/>
    </row>
    <row r="117" spans="1:16" x14ac:dyDescent="0.25">
      <c r="D117" s="31"/>
      <c r="P117" s="224"/>
    </row>
    <row r="118" spans="1:16" x14ac:dyDescent="0.25">
      <c r="A118" s="21"/>
      <c r="B118" s="169"/>
      <c r="C118" s="164"/>
      <c r="D118" s="31"/>
      <c r="P118" s="224"/>
    </row>
    <row r="119" spans="1:16" x14ac:dyDescent="0.25">
      <c r="A119" s="21"/>
      <c r="B119" s="169"/>
      <c r="C119" s="164"/>
      <c r="D119" s="31"/>
      <c r="P119" s="224"/>
    </row>
    <row r="120" spans="1:16" x14ac:dyDescent="0.25">
      <c r="D120" s="31"/>
      <c r="P120" s="224"/>
    </row>
    <row r="121" spans="1:16" x14ac:dyDescent="0.25">
      <c r="D121" s="31"/>
      <c r="P121" s="224"/>
    </row>
    <row r="122" spans="1:16" x14ac:dyDescent="0.25">
      <c r="D122" s="31"/>
      <c r="P122" s="224"/>
    </row>
    <row r="123" spans="1:16" x14ac:dyDescent="0.25">
      <c r="D123" s="31"/>
      <c r="P123" s="224"/>
    </row>
    <row r="124" spans="1:16" x14ac:dyDescent="0.25">
      <c r="A124" s="21"/>
      <c r="B124" s="169"/>
      <c r="C124" s="164"/>
      <c r="D124" s="31"/>
      <c r="P124" s="224"/>
    </row>
    <row r="125" spans="1:16" x14ac:dyDescent="0.25">
      <c r="A125" s="21"/>
      <c r="B125" s="169"/>
      <c r="C125" s="164"/>
      <c r="D125" s="31"/>
      <c r="P125" s="224"/>
    </row>
    <row r="126" spans="1:16" x14ac:dyDescent="0.25">
      <c r="D126" s="31"/>
      <c r="P126" s="224"/>
    </row>
    <row r="127" spans="1:16" x14ac:dyDescent="0.25">
      <c r="D127" s="31"/>
      <c r="P127" s="224"/>
    </row>
    <row r="128" spans="1:16" x14ac:dyDescent="0.25">
      <c r="D128" s="31"/>
      <c r="P128" s="224"/>
    </row>
    <row r="129" spans="1:16" x14ac:dyDescent="0.25">
      <c r="D129" s="31"/>
      <c r="P129" s="224"/>
    </row>
    <row r="130" spans="1:16" x14ac:dyDescent="0.25">
      <c r="A130" s="21"/>
      <c r="B130" s="169"/>
      <c r="C130" s="164"/>
      <c r="D130" s="31"/>
      <c r="P130" s="224"/>
    </row>
    <row r="131" spans="1:16" x14ac:dyDescent="0.25">
      <c r="A131" s="21"/>
      <c r="B131" s="169"/>
      <c r="C131" s="164"/>
      <c r="D131" s="31"/>
      <c r="P131" s="224"/>
    </row>
    <row r="132" spans="1:16" x14ac:dyDescent="0.25">
      <c r="A132" s="21"/>
      <c r="B132" s="169"/>
      <c r="C132" s="164"/>
      <c r="D132" s="31"/>
      <c r="P132" s="224"/>
    </row>
    <row r="133" spans="1:16" x14ac:dyDescent="0.25">
      <c r="A133" s="21"/>
      <c r="B133" s="169"/>
      <c r="C133" s="164"/>
      <c r="D133" s="31"/>
      <c r="P133" s="224"/>
    </row>
    <row r="134" spans="1:16" x14ac:dyDescent="0.25">
      <c r="D134" s="31"/>
      <c r="P134" s="224"/>
    </row>
    <row r="135" spans="1:16" x14ac:dyDescent="0.25">
      <c r="D135" s="31"/>
      <c r="P135" s="224"/>
    </row>
    <row r="136" spans="1:16" x14ac:dyDescent="0.25">
      <c r="D136" s="31"/>
      <c r="P136" s="224"/>
    </row>
    <row r="137" spans="1:16" x14ac:dyDescent="0.25">
      <c r="A137" s="21"/>
      <c r="B137" s="169"/>
      <c r="C137" s="164"/>
      <c r="D137" s="31"/>
      <c r="P137" s="224"/>
    </row>
    <row r="138" spans="1:16" x14ac:dyDescent="0.25">
      <c r="A138" s="21"/>
      <c r="B138" s="169"/>
      <c r="C138" s="164"/>
      <c r="D138" s="31"/>
      <c r="P138" s="224"/>
    </row>
    <row r="139" spans="1:16" x14ac:dyDescent="0.25">
      <c r="A139" s="21"/>
      <c r="B139" s="169"/>
      <c r="C139" s="164"/>
      <c r="D139" s="31"/>
      <c r="P139" s="224"/>
    </row>
    <row r="140" spans="1:16" x14ac:dyDescent="0.25">
      <c r="A140" s="21"/>
      <c r="B140" s="169"/>
      <c r="C140" s="164"/>
      <c r="D140" s="31"/>
      <c r="P140" s="224"/>
    </row>
    <row r="141" spans="1:16" x14ac:dyDescent="0.25">
      <c r="A141" s="21"/>
      <c r="B141" s="169"/>
      <c r="C141" s="164"/>
      <c r="D141" s="31"/>
      <c r="P141" s="224"/>
    </row>
    <row r="142" spans="1:16" x14ac:dyDescent="0.25">
      <c r="A142" s="21"/>
      <c r="B142" s="169"/>
      <c r="C142" s="164"/>
      <c r="D142" s="31"/>
      <c r="P142" s="224"/>
    </row>
    <row r="143" spans="1:16" x14ac:dyDescent="0.25">
      <c r="A143" s="21"/>
      <c r="B143" s="169"/>
      <c r="C143" s="164"/>
      <c r="D143" s="31"/>
      <c r="P143" s="224"/>
    </row>
    <row r="144" spans="1:16" x14ac:dyDescent="0.25">
      <c r="A144" s="21"/>
      <c r="B144" s="169"/>
      <c r="C144" s="164"/>
      <c r="D144" s="31"/>
      <c r="P144" s="224"/>
    </row>
    <row r="145" spans="1:16" x14ac:dyDescent="0.25">
      <c r="A145" s="21"/>
      <c r="B145" s="169"/>
      <c r="C145" s="164"/>
      <c r="D145" s="31"/>
      <c r="P145" s="224"/>
    </row>
    <row r="146" spans="1:16" x14ac:dyDescent="0.25">
      <c r="A146" s="21"/>
      <c r="B146" s="169"/>
      <c r="C146" s="164"/>
      <c r="D146" s="31"/>
      <c r="P146" s="224"/>
    </row>
    <row r="147" spans="1:16" x14ac:dyDescent="0.25">
      <c r="A147" s="21"/>
      <c r="B147" s="169"/>
      <c r="C147" s="164"/>
      <c r="D147" s="31"/>
      <c r="P147" s="224"/>
    </row>
    <row r="148" spans="1:16" x14ac:dyDescent="0.25">
      <c r="A148" s="21"/>
      <c r="B148" s="169"/>
      <c r="C148" s="164"/>
      <c r="D148" s="31"/>
      <c r="P148" s="224"/>
    </row>
    <row r="149" spans="1:16" x14ac:dyDescent="0.25">
      <c r="A149" s="21"/>
      <c r="B149" s="169"/>
      <c r="C149" s="164"/>
      <c r="D149" s="31"/>
      <c r="P149" s="224"/>
    </row>
    <row r="150" spans="1:16" x14ac:dyDescent="0.25">
      <c r="A150" s="21"/>
      <c r="B150" s="169"/>
      <c r="C150" s="164"/>
      <c r="D150" s="31"/>
      <c r="P150" s="224"/>
    </row>
    <row r="151" spans="1:16" x14ac:dyDescent="0.25">
      <c r="A151" s="21"/>
      <c r="B151" s="169"/>
      <c r="C151" s="164"/>
      <c r="D151" s="31"/>
      <c r="P151" s="224"/>
    </row>
    <row r="152" spans="1:16" x14ac:dyDescent="0.25">
      <c r="A152" s="21"/>
      <c r="B152" s="169"/>
      <c r="C152" s="164"/>
      <c r="D152" s="31"/>
      <c r="P152" s="224"/>
    </row>
    <row r="153" spans="1:16" x14ac:dyDescent="0.25">
      <c r="A153" s="21"/>
      <c r="B153" s="169"/>
      <c r="C153" s="164"/>
      <c r="D153" s="31"/>
      <c r="P153" s="224"/>
    </row>
    <row r="154" spans="1:16" x14ac:dyDescent="0.25">
      <c r="A154" s="21"/>
      <c r="B154" s="169"/>
      <c r="C154" s="164"/>
      <c r="D154" s="31"/>
      <c r="P154" s="224"/>
    </row>
    <row r="155" spans="1:16" x14ac:dyDescent="0.25">
      <c r="A155" s="21"/>
      <c r="B155" s="169"/>
      <c r="C155" s="164"/>
      <c r="D155" s="31"/>
      <c r="P155" s="224"/>
    </row>
    <row r="156" spans="1:16" x14ac:dyDescent="0.25">
      <c r="A156" s="21"/>
      <c r="B156" s="169"/>
      <c r="C156" s="164"/>
      <c r="D156" s="31"/>
      <c r="P156" s="224"/>
    </row>
    <row r="157" spans="1:16" x14ac:dyDescent="0.25">
      <c r="A157" s="21"/>
      <c r="B157" s="169"/>
      <c r="C157" s="164"/>
      <c r="D157" s="31"/>
      <c r="P157" s="224"/>
    </row>
    <row r="158" spans="1:16" x14ac:dyDescent="0.25">
      <c r="A158" s="21"/>
      <c r="B158" s="169"/>
      <c r="C158" s="164"/>
      <c r="D158" s="31"/>
      <c r="P158" s="224"/>
    </row>
    <row r="159" spans="1:16" x14ac:dyDescent="0.25">
      <c r="A159" s="21"/>
      <c r="B159" s="169"/>
      <c r="C159" s="164"/>
      <c r="D159" s="31"/>
      <c r="P159" s="224"/>
    </row>
    <row r="160" spans="1:16" x14ac:dyDescent="0.25">
      <c r="A160" s="21"/>
      <c r="B160" s="169"/>
      <c r="C160" s="164"/>
      <c r="D160" s="31"/>
      <c r="P160" s="224"/>
    </row>
    <row r="161" spans="1:16" x14ac:dyDescent="0.25">
      <c r="A161" s="21"/>
      <c r="B161" s="169"/>
      <c r="C161" s="164"/>
      <c r="D161" s="31"/>
      <c r="P161" s="224"/>
    </row>
    <row r="162" spans="1:16" x14ac:dyDescent="0.25">
      <c r="A162" s="21"/>
      <c r="B162" s="169"/>
      <c r="C162" s="164"/>
      <c r="D162" s="31"/>
      <c r="P162" s="224"/>
    </row>
    <row r="163" spans="1:16" x14ac:dyDescent="0.25">
      <c r="A163" s="21"/>
      <c r="B163" s="169"/>
      <c r="C163" s="164"/>
      <c r="D163" s="31"/>
      <c r="P163" s="224"/>
    </row>
    <row r="164" spans="1:16" x14ac:dyDescent="0.25">
      <c r="A164" s="21"/>
      <c r="B164" s="169"/>
      <c r="C164" s="164"/>
      <c r="D164" s="31"/>
      <c r="P164" s="224"/>
    </row>
    <row r="165" spans="1:16" x14ac:dyDescent="0.25">
      <c r="A165" s="21"/>
      <c r="B165" s="169"/>
      <c r="C165" s="164"/>
      <c r="D165" s="31"/>
      <c r="P165" s="224"/>
    </row>
    <row r="166" spans="1:16" x14ac:dyDescent="0.25">
      <c r="A166" s="21"/>
      <c r="B166" s="169"/>
      <c r="C166" s="164"/>
      <c r="D166" s="31"/>
    </row>
    <row r="167" spans="1:16" x14ac:dyDescent="0.25">
      <c r="A167" s="21"/>
      <c r="B167" s="169"/>
      <c r="C167" s="164"/>
      <c r="D167" s="31"/>
    </row>
    <row r="168" spans="1:16" x14ac:dyDescent="0.25">
      <c r="A168" s="21"/>
      <c r="B168" s="169"/>
      <c r="C168" s="164"/>
      <c r="D168" s="31"/>
    </row>
    <row r="169" spans="1:16" x14ac:dyDescent="0.25">
      <c r="A169" s="21"/>
      <c r="B169" s="169"/>
      <c r="C169" s="164"/>
      <c r="D169" s="31"/>
    </row>
    <row r="170" spans="1:16" x14ac:dyDescent="0.25">
      <c r="A170" s="21"/>
      <c r="B170" s="169"/>
      <c r="C170" s="164"/>
      <c r="D170" s="31"/>
    </row>
    <row r="171" spans="1:16" x14ac:dyDescent="0.25">
      <c r="A171" s="21"/>
      <c r="B171" s="169"/>
      <c r="C171" s="164"/>
      <c r="D171" s="31"/>
    </row>
    <row r="172" spans="1:16" x14ac:dyDescent="0.25">
      <c r="A172" s="21"/>
      <c r="B172" s="169"/>
      <c r="C172" s="164"/>
      <c r="D172" s="31"/>
    </row>
    <row r="173" spans="1:16" x14ac:dyDescent="0.25">
      <c r="A173" s="21"/>
      <c r="B173" s="169"/>
      <c r="C173" s="164"/>
      <c r="D173" s="31"/>
    </row>
    <row r="174" spans="1:16" x14ac:dyDescent="0.25">
      <c r="A174" s="21"/>
      <c r="B174" s="169"/>
      <c r="C174" s="164"/>
      <c r="D174" s="31"/>
    </row>
    <row r="175" spans="1:16" x14ac:dyDescent="0.25">
      <c r="A175" s="21"/>
      <c r="B175" s="169"/>
      <c r="C175" s="164"/>
      <c r="D175" s="31"/>
    </row>
    <row r="176" spans="1:16" x14ac:dyDescent="0.25">
      <c r="A176" s="21"/>
      <c r="B176" s="169"/>
      <c r="C176" s="164"/>
      <c r="D176" s="31"/>
    </row>
    <row r="177" spans="1:4" x14ac:dyDescent="0.25">
      <c r="A177" s="21"/>
      <c r="B177" s="169"/>
      <c r="C177" s="164"/>
      <c r="D177" s="31"/>
    </row>
    <row r="178" spans="1:4" x14ac:dyDescent="0.25">
      <c r="A178" s="21"/>
      <c r="B178" s="169"/>
      <c r="C178" s="164"/>
      <c r="D178" s="31"/>
    </row>
    <row r="179" spans="1:4" x14ac:dyDescent="0.25">
      <c r="A179" s="21"/>
      <c r="B179" s="169"/>
      <c r="C179" s="164"/>
      <c r="D179" s="31"/>
    </row>
    <row r="180" spans="1:4" x14ac:dyDescent="0.25">
      <c r="A180" s="21"/>
      <c r="B180" s="169"/>
      <c r="C180" s="164"/>
      <c r="D180" s="31"/>
    </row>
    <row r="181" spans="1:4" x14ac:dyDescent="0.25">
      <c r="A181" s="21"/>
      <c r="B181" s="169"/>
      <c r="C181" s="164"/>
      <c r="D181" s="31"/>
    </row>
    <row r="182" spans="1:4" x14ac:dyDescent="0.25">
      <c r="A182" s="21"/>
      <c r="B182" s="169"/>
      <c r="C182" s="164"/>
      <c r="D182" s="31"/>
    </row>
    <row r="183" spans="1:4" x14ac:dyDescent="0.25">
      <c r="A183" s="21"/>
      <c r="B183" s="169"/>
      <c r="C183" s="164"/>
      <c r="D183" s="31"/>
    </row>
    <row r="184" spans="1:4" x14ac:dyDescent="0.25">
      <c r="A184" s="21"/>
      <c r="B184" s="169"/>
      <c r="C184" s="164"/>
      <c r="D184" s="31"/>
    </row>
    <row r="185" spans="1:4" x14ac:dyDescent="0.25">
      <c r="A185" s="21"/>
      <c r="B185" s="169"/>
      <c r="C185" s="164"/>
      <c r="D185" s="31"/>
    </row>
    <row r="186" spans="1:4" x14ac:dyDescent="0.25">
      <c r="A186" s="21"/>
      <c r="B186" s="169"/>
      <c r="C186" s="164"/>
      <c r="D186" s="31"/>
    </row>
    <row r="187" spans="1:4" x14ac:dyDescent="0.25">
      <c r="A187" s="21"/>
      <c r="B187" s="169"/>
      <c r="C187" s="164"/>
      <c r="D187" s="31"/>
    </row>
    <row r="188" spans="1:4" x14ac:dyDescent="0.25">
      <c r="A188" s="21"/>
      <c r="B188" s="169"/>
      <c r="C188" s="164"/>
      <c r="D188" s="31"/>
    </row>
    <row r="189" spans="1:4" x14ac:dyDescent="0.25">
      <c r="A189" s="21"/>
      <c r="B189" s="169"/>
      <c r="C189" s="164"/>
      <c r="D189" s="31"/>
    </row>
    <row r="190" spans="1:4" x14ac:dyDescent="0.25">
      <c r="A190" s="21"/>
      <c r="B190" s="169"/>
      <c r="C190" s="164"/>
      <c r="D190" s="31"/>
    </row>
    <row r="191" spans="1:4" x14ac:dyDescent="0.25">
      <c r="A191" s="21"/>
      <c r="B191" s="169"/>
      <c r="C191" s="164"/>
      <c r="D191" s="31"/>
    </row>
    <row r="192" spans="1:4" x14ac:dyDescent="0.25">
      <c r="A192" s="21"/>
      <c r="B192" s="169"/>
      <c r="C192" s="164"/>
      <c r="D192" s="31"/>
    </row>
    <row r="193" spans="1:4" x14ac:dyDescent="0.25">
      <c r="A193" s="21"/>
      <c r="B193" s="169"/>
      <c r="C193" s="164"/>
      <c r="D193" s="31"/>
    </row>
    <row r="194" spans="1:4" x14ac:dyDescent="0.25">
      <c r="A194" s="21"/>
      <c r="B194" s="169"/>
      <c r="C194" s="164"/>
      <c r="D194" s="31"/>
    </row>
    <row r="195" spans="1:4" x14ac:dyDescent="0.25">
      <c r="A195" s="21"/>
      <c r="B195" s="169"/>
      <c r="C195" s="164"/>
      <c r="D195" s="31"/>
    </row>
    <row r="196" spans="1:4" x14ac:dyDescent="0.25">
      <c r="A196" s="21"/>
      <c r="B196" s="169"/>
      <c r="C196" s="164"/>
      <c r="D196" s="31"/>
    </row>
    <row r="197" spans="1:4" x14ac:dyDescent="0.25">
      <c r="A197" s="21"/>
      <c r="B197" s="169"/>
      <c r="C197" s="164"/>
      <c r="D197" s="31"/>
    </row>
    <row r="198" spans="1:4" x14ac:dyDescent="0.25">
      <c r="A198" s="21"/>
      <c r="B198" s="169"/>
      <c r="C198" s="164"/>
      <c r="D198" s="31"/>
    </row>
    <row r="199" spans="1:4" x14ac:dyDescent="0.25">
      <c r="A199" s="21"/>
      <c r="B199" s="169"/>
      <c r="C199" s="164"/>
      <c r="D199" s="31"/>
    </row>
    <row r="200" spans="1:4" x14ac:dyDescent="0.25">
      <c r="A200" s="21"/>
      <c r="B200" s="169"/>
      <c r="C200" s="164"/>
      <c r="D200" s="31"/>
    </row>
    <row r="201" spans="1:4" x14ac:dyDescent="0.25">
      <c r="A201" s="21"/>
      <c r="B201" s="169"/>
      <c r="C201" s="164"/>
      <c r="D201" s="31"/>
    </row>
    <row r="202" spans="1:4" x14ac:dyDescent="0.25">
      <c r="A202" s="21"/>
      <c r="B202" s="169"/>
      <c r="C202" s="164"/>
      <c r="D202" s="31"/>
    </row>
    <row r="203" spans="1:4" x14ac:dyDescent="0.25">
      <c r="A203" s="21"/>
      <c r="B203" s="169"/>
      <c r="C203" s="164"/>
      <c r="D203" s="31"/>
    </row>
    <row r="204" spans="1:4" x14ac:dyDescent="0.25">
      <c r="A204" s="21"/>
      <c r="B204" s="169"/>
      <c r="C204" s="164"/>
      <c r="D204" s="31"/>
    </row>
    <row r="205" spans="1:4" x14ac:dyDescent="0.25">
      <c r="A205" s="21"/>
      <c r="B205" s="169"/>
      <c r="C205" s="164"/>
      <c r="D205" s="31"/>
    </row>
    <row r="206" spans="1:4" x14ac:dyDescent="0.25">
      <c r="A206" s="21"/>
      <c r="B206" s="169"/>
      <c r="C206" s="164"/>
      <c r="D206" s="31"/>
    </row>
    <row r="207" spans="1:4" x14ac:dyDescent="0.25">
      <c r="A207" s="21"/>
      <c r="B207" s="169"/>
      <c r="C207" s="164"/>
      <c r="D207" s="31"/>
    </row>
    <row r="208" spans="1:4" x14ac:dyDescent="0.25">
      <c r="A208" s="21"/>
      <c r="B208" s="169"/>
      <c r="C208" s="164"/>
      <c r="D208" s="31"/>
    </row>
    <row r="209" spans="1:4" x14ac:dyDescent="0.25">
      <c r="A209" s="21"/>
      <c r="B209" s="169"/>
      <c r="C209" s="164"/>
      <c r="D209" s="31"/>
    </row>
    <row r="210" spans="1:4" x14ac:dyDescent="0.25">
      <c r="A210" s="21"/>
      <c r="B210" s="169"/>
      <c r="C210" s="164"/>
      <c r="D210" s="31"/>
    </row>
    <row r="211" spans="1:4" x14ac:dyDescent="0.25">
      <c r="A211" s="21"/>
      <c r="B211" s="169"/>
      <c r="C211" s="164"/>
      <c r="D211" s="31"/>
    </row>
    <row r="212" spans="1:4" x14ac:dyDescent="0.25">
      <c r="A212" s="21"/>
      <c r="B212" s="169"/>
      <c r="C212" s="164"/>
      <c r="D212" s="31"/>
    </row>
    <row r="213" spans="1:4" x14ac:dyDescent="0.25">
      <c r="A213" s="21"/>
      <c r="B213" s="169"/>
      <c r="C213" s="164"/>
      <c r="D213" s="31"/>
    </row>
    <row r="214" spans="1:4" x14ac:dyDescent="0.25">
      <c r="A214" s="21"/>
      <c r="B214" s="169"/>
      <c r="C214" s="164"/>
      <c r="D214" s="31"/>
    </row>
    <row r="215" spans="1:4" x14ac:dyDescent="0.25">
      <c r="A215" s="21"/>
      <c r="B215" s="169"/>
      <c r="C215" s="164"/>
      <c r="D215" s="31"/>
    </row>
    <row r="216" spans="1:4" x14ac:dyDescent="0.25">
      <c r="A216" s="21"/>
      <c r="B216" s="169"/>
      <c r="C216" s="164"/>
      <c r="D216" s="31"/>
    </row>
    <row r="217" spans="1:4" x14ac:dyDescent="0.25">
      <c r="A217" s="21"/>
      <c r="B217" s="169"/>
      <c r="C217" s="164"/>
      <c r="D217" s="31"/>
    </row>
    <row r="218" spans="1:4" x14ac:dyDescent="0.25">
      <c r="A218" s="21"/>
      <c r="B218" s="169"/>
      <c r="C218" s="164"/>
      <c r="D218" s="31"/>
    </row>
    <row r="219" spans="1:4" x14ac:dyDescent="0.25">
      <c r="A219" s="21"/>
      <c r="B219" s="169"/>
      <c r="C219" s="164"/>
      <c r="D219" s="31"/>
    </row>
    <row r="220" spans="1:4" x14ac:dyDescent="0.25">
      <c r="A220" s="21"/>
      <c r="B220" s="169"/>
      <c r="C220" s="164"/>
      <c r="D220" s="31"/>
    </row>
    <row r="221" spans="1:4" x14ac:dyDescent="0.25">
      <c r="A221" s="21"/>
      <c r="B221" s="169"/>
      <c r="C221" s="164"/>
      <c r="D221" s="31"/>
    </row>
    <row r="222" spans="1:4" x14ac:dyDescent="0.25">
      <c r="A222" s="21"/>
      <c r="B222" s="169"/>
      <c r="C222" s="164"/>
      <c r="D222" s="31"/>
    </row>
    <row r="223" spans="1:4" x14ac:dyDescent="0.25">
      <c r="A223" s="21"/>
      <c r="B223" s="169"/>
      <c r="C223" s="164"/>
      <c r="D223" s="31"/>
    </row>
    <row r="224" spans="1:4" x14ac:dyDescent="0.25">
      <c r="A224" s="21"/>
      <c r="B224" s="169"/>
      <c r="C224" s="164"/>
      <c r="D224" s="31"/>
    </row>
    <row r="225" spans="1:4" x14ac:dyDescent="0.25">
      <c r="A225" s="21"/>
      <c r="B225" s="169"/>
      <c r="C225" s="164"/>
      <c r="D225" s="31"/>
    </row>
    <row r="226" spans="1:4" x14ac:dyDescent="0.25">
      <c r="A226" s="21"/>
      <c r="B226" s="169"/>
      <c r="C226" s="164"/>
      <c r="D226" s="31"/>
    </row>
    <row r="227" spans="1:4" x14ac:dyDescent="0.25">
      <c r="A227" s="21"/>
      <c r="B227" s="169"/>
      <c r="C227" s="164"/>
      <c r="D227" s="31"/>
    </row>
    <row r="228" spans="1:4" x14ac:dyDescent="0.25">
      <c r="A228" s="21"/>
      <c r="B228" s="169"/>
      <c r="C228" s="164"/>
      <c r="D228" s="31"/>
    </row>
    <row r="229" spans="1:4" x14ac:dyDescent="0.25">
      <c r="A229" s="21"/>
      <c r="B229" s="169"/>
      <c r="C229" s="164"/>
      <c r="D229" s="31"/>
    </row>
    <row r="230" spans="1:4" x14ac:dyDescent="0.25">
      <c r="A230" s="21"/>
      <c r="B230" s="169"/>
      <c r="C230" s="164"/>
      <c r="D230" s="31"/>
    </row>
    <row r="231" spans="1:4" x14ac:dyDescent="0.25">
      <c r="A231" s="21"/>
      <c r="B231" s="169"/>
      <c r="C231" s="164"/>
      <c r="D231" s="31"/>
    </row>
    <row r="232" spans="1:4" x14ac:dyDescent="0.25">
      <c r="A232" s="21"/>
      <c r="B232" s="169"/>
      <c r="C232" s="164"/>
      <c r="D232" s="31"/>
    </row>
    <row r="233" spans="1:4" x14ac:dyDescent="0.25">
      <c r="A233" s="21"/>
      <c r="B233" s="169"/>
      <c r="C233" s="164"/>
      <c r="D233" s="31"/>
    </row>
    <row r="234" spans="1:4" x14ac:dyDescent="0.25">
      <c r="A234" s="21"/>
      <c r="B234" s="169"/>
      <c r="C234" s="164"/>
      <c r="D234" s="31"/>
    </row>
    <row r="235" spans="1:4" x14ac:dyDescent="0.25">
      <c r="A235" s="21"/>
      <c r="B235" s="169"/>
      <c r="C235" s="164"/>
      <c r="D235" s="31"/>
    </row>
    <row r="236" spans="1:4" x14ac:dyDescent="0.25">
      <c r="A236" s="21"/>
      <c r="B236" s="169"/>
      <c r="C236" s="164"/>
      <c r="D236" s="31"/>
    </row>
    <row r="237" spans="1:4" x14ac:dyDescent="0.25">
      <c r="A237" s="21"/>
      <c r="B237" s="169"/>
      <c r="C237" s="164"/>
      <c r="D237" s="31"/>
    </row>
    <row r="238" spans="1:4" x14ac:dyDescent="0.25">
      <c r="A238" s="21"/>
      <c r="B238" s="169"/>
      <c r="C238" s="164"/>
      <c r="D238" s="31"/>
    </row>
    <row r="239" spans="1:4" x14ac:dyDescent="0.25">
      <c r="A239" s="21"/>
      <c r="B239" s="169"/>
      <c r="C239" s="164"/>
      <c r="D239" s="31"/>
    </row>
    <row r="240" spans="1:4" x14ac:dyDescent="0.25">
      <c r="A240" s="21"/>
      <c r="B240" s="169"/>
      <c r="C240" s="164"/>
      <c r="D240" s="31"/>
    </row>
    <row r="241" spans="1:4" x14ac:dyDescent="0.25">
      <c r="A241" s="21"/>
      <c r="B241" s="169"/>
      <c r="C241" s="164"/>
      <c r="D241" s="31"/>
    </row>
    <row r="242" spans="1:4" x14ac:dyDescent="0.25">
      <c r="A242" s="21"/>
      <c r="B242" s="169"/>
      <c r="C242" s="164"/>
      <c r="D242" s="31"/>
    </row>
    <row r="243" spans="1:4" x14ac:dyDescent="0.25">
      <c r="A243" s="21"/>
      <c r="B243" s="169"/>
      <c r="C243" s="164"/>
      <c r="D243" s="31"/>
    </row>
    <row r="244" spans="1:4" x14ac:dyDescent="0.25">
      <c r="A244" s="21"/>
      <c r="B244" s="169"/>
      <c r="C244" s="164"/>
      <c r="D244" s="31"/>
    </row>
    <row r="245" spans="1:4" x14ac:dyDescent="0.25">
      <c r="A245" s="21"/>
      <c r="B245" s="169"/>
      <c r="C245" s="164"/>
      <c r="D245" s="31"/>
    </row>
    <row r="246" spans="1:4" x14ac:dyDescent="0.25">
      <c r="A246" s="21"/>
      <c r="B246" s="169"/>
      <c r="C246" s="164"/>
      <c r="D246" s="31"/>
    </row>
    <row r="247" spans="1:4" x14ac:dyDescent="0.25">
      <c r="A247" s="21"/>
      <c r="B247" s="169"/>
      <c r="C247" s="164"/>
      <c r="D247" s="31"/>
    </row>
    <row r="248" spans="1:4" x14ac:dyDescent="0.25">
      <c r="A248" s="21"/>
      <c r="B248" s="169"/>
      <c r="C248" s="164"/>
      <c r="D248" s="31"/>
    </row>
    <row r="249" spans="1:4" x14ac:dyDescent="0.25">
      <c r="D249" s="31"/>
    </row>
    <row r="250" spans="1:4" x14ac:dyDescent="0.25">
      <c r="D250" s="31"/>
    </row>
    <row r="251" spans="1:4" x14ac:dyDescent="0.25">
      <c r="D251" s="31"/>
    </row>
    <row r="252" spans="1:4" x14ac:dyDescent="0.25">
      <c r="D252" s="31"/>
    </row>
    <row r="253" spans="1:4" x14ac:dyDescent="0.25">
      <c r="D253" s="31"/>
    </row>
    <row r="254" spans="1:4" x14ac:dyDescent="0.25">
      <c r="D254" s="31"/>
    </row>
    <row r="255" spans="1:4" x14ac:dyDescent="0.25">
      <c r="D255" s="31"/>
    </row>
    <row r="256" spans="1:4" x14ac:dyDescent="0.25">
      <c r="D256" s="31"/>
    </row>
    <row r="257" spans="4:4" x14ac:dyDescent="0.25">
      <c r="D257" s="31"/>
    </row>
    <row r="258" spans="4:4" x14ac:dyDescent="0.25">
      <c r="D258" s="31"/>
    </row>
    <row r="259" spans="4:4" x14ac:dyDescent="0.25">
      <c r="D259" s="31"/>
    </row>
    <row r="260" spans="4:4" x14ac:dyDescent="0.25">
      <c r="D260" s="31"/>
    </row>
    <row r="261" spans="4:4" x14ac:dyDescent="0.25">
      <c r="D261" s="31"/>
    </row>
    <row r="262" spans="4:4" x14ac:dyDescent="0.25">
      <c r="D262" s="31"/>
    </row>
    <row r="263" spans="4:4" x14ac:dyDescent="0.25">
      <c r="D263" s="31"/>
    </row>
    <row r="264" spans="4:4" x14ac:dyDescent="0.25">
      <c r="D264" s="31"/>
    </row>
    <row r="265" spans="4:4" x14ac:dyDescent="0.25">
      <c r="D265" s="31"/>
    </row>
    <row r="266" spans="4:4" x14ac:dyDescent="0.25">
      <c r="D266" s="31"/>
    </row>
    <row r="267" spans="4:4" x14ac:dyDescent="0.25">
      <c r="D267" s="31"/>
    </row>
    <row r="268" spans="4:4" x14ac:dyDescent="0.25">
      <c r="D268" s="31"/>
    </row>
    <row r="269" spans="4:4" x14ac:dyDescent="0.25">
      <c r="D269" s="31"/>
    </row>
    <row r="270" spans="4:4" x14ac:dyDescent="0.25">
      <c r="D270" s="31"/>
    </row>
    <row r="271" spans="4:4" x14ac:dyDescent="0.25">
      <c r="D271" s="31"/>
    </row>
    <row r="272" spans="4:4" x14ac:dyDescent="0.25">
      <c r="D272" s="31"/>
    </row>
    <row r="273" spans="4:4" x14ac:dyDescent="0.25">
      <c r="D273" s="31"/>
    </row>
    <row r="274" spans="4:4" x14ac:dyDescent="0.25">
      <c r="D274" s="31"/>
    </row>
    <row r="275" spans="4:4" x14ac:dyDescent="0.25">
      <c r="D275" s="31"/>
    </row>
    <row r="276" spans="4:4" x14ac:dyDescent="0.25">
      <c r="D276" s="31"/>
    </row>
    <row r="277" spans="4:4" x14ac:dyDescent="0.25">
      <c r="D277" s="31"/>
    </row>
    <row r="278" spans="4:4" x14ac:dyDescent="0.25">
      <c r="D278" s="31"/>
    </row>
    <row r="279" spans="4:4" x14ac:dyDescent="0.25">
      <c r="D279" s="31"/>
    </row>
    <row r="280" spans="4:4" x14ac:dyDescent="0.25">
      <c r="D280" s="31"/>
    </row>
    <row r="281" spans="4:4" x14ac:dyDescent="0.25">
      <c r="D281" s="31"/>
    </row>
    <row r="282" spans="4:4" x14ac:dyDescent="0.25">
      <c r="D282" s="31"/>
    </row>
    <row r="283" spans="4:4" x14ac:dyDescent="0.25">
      <c r="D283" s="31"/>
    </row>
    <row r="284" spans="4:4" x14ac:dyDescent="0.25">
      <c r="D284" s="31"/>
    </row>
    <row r="285" spans="4:4" x14ac:dyDescent="0.25">
      <c r="D285" s="31"/>
    </row>
    <row r="286" spans="4:4" x14ac:dyDescent="0.25">
      <c r="D286" s="31"/>
    </row>
    <row r="287" spans="4:4" x14ac:dyDescent="0.25">
      <c r="D287" s="31"/>
    </row>
    <row r="288" spans="4:4" x14ac:dyDescent="0.25">
      <c r="D288" s="31"/>
    </row>
    <row r="289" spans="4:4" x14ac:dyDescent="0.25">
      <c r="D289" s="31"/>
    </row>
    <row r="290" spans="4:4" x14ac:dyDescent="0.25">
      <c r="D290" s="31"/>
    </row>
    <row r="291" spans="4:4" x14ac:dyDescent="0.25">
      <c r="D291" s="31"/>
    </row>
    <row r="292" spans="4:4" x14ac:dyDescent="0.25">
      <c r="D292" s="31"/>
    </row>
    <row r="293" spans="4:4" x14ac:dyDescent="0.25">
      <c r="D293" s="31"/>
    </row>
    <row r="294" spans="4:4" x14ac:dyDescent="0.25">
      <c r="D294" s="31"/>
    </row>
    <row r="295" spans="4:4" x14ac:dyDescent="0.25">
      <c r="D295" s="31"/>
    </row>
    <row r="296" spans="4:4" x14ac:dyDescent="0.25">
      <c r="D296" s="31"/>
    </row>
    <row r="297" spans="4:4" x14ac:dyDescent="0.25">
      <c r="D297" s="31"/>
    </row>
    <row r="298" spans="4:4" x14ac:dyDescent="0.25">
      <c r="D298" s="31"/>
    </row>
    <row r="299" spans="4:4" x14ac:dyDescent="0.25">
      <c r="D299" s="31"/>
    </row>
    <row r="300" spans="4:4" x14ac:dyDescent="0.25">
      <c r="D300" s="31"/>
    </row>
    <row r="301" spans="4:4" x14ac:dyDescent="0.25">
      <c r="D301" s="31"/>
    </row>
    <row r="302" spans="4:4" x14ac:dyDescent="0.25">
      <c r="D302" s="31"/>
    </row>
    <row r="303" spans="4:4" x14ac:dyDescent="0.25">
      <c r="D303" s="31"/>
    </row>
    <row r="304" spans="4:4" x14ac:dyDescent="0.25">
      <c r="D304" s="31"/>
    </row>
    <row r="305" spans="4:4" x14ac:dyDescent="0.25">
      <c r="D305" s="31"/>
    </row>
    <row r="306" spans="4:4" x14ac:dyDescent="0.25">
      <c r="D306" s="31"/>
    </row>
    <row r="307" spans="4:4" x14ac:dyDescent="0.25">
      <c r="D307" s="31"/>
    </row>
    <row r="308" spans="4:4" x14ac:dyDescent="0.25">
      <c r="D308" s="31"/>
    </row>
    <row r="309" spans="4:4" x14ac:dyDescent="0.25">
      <c r="D309" s="31"/>
    </row>
    <row r="310" spans="4:4" x14ac:dyDescent="0.25">
      <c r="D310" s="31"/>
    </row>
    <row r="311" spans="4:4" x14ac:dyDescent="0.25">
      <c r="D311" s="31"/>
    </row>
    <row r="312" spans="4:4" x14ac:dyDescent="0.25">
      <c r="D312" s="31"/>
    </row>
    <row r="313" spans="4:4" x14ac:dyDescent="0.25">
      <c r="D313" s="31"/>
    </row>
    <row r="314" spans="4:4" x14ac:dyDescent="0.25">
      <c r="D314" s="31"/>
    </row>
    <row r="315" spans="4:4" x14ac:dyDescent="0.25">
      <c r="D315" s="31"/>
    </row>
    <row r="316" spans="4:4" x14ac:dyDescent="0.25">
      <c r="D316" s="31"/>
    </row>
    <row r="317" spans="4:4" x14ac:dyDescent="0.25">
      <c r="D317" s="31"/>
    </row>
    <row r="318" spans="4:4" x14ac:dyDescent="0.25">
      <c r="D318" s="31"/>
    </row>
    <row r="319" spans="4:4" x14ac:dyDescent="0.25">
      <c r="D319" s="31"/>
    </row>
    <row r="320" spans="4:4" x14ac:dyDescent="0.25">
      <c r="D320" s="31"/>
    </row>
    <row r="321" spans="4:4" x14ac:dyDescent="0.25">
      <c r="D321" s="31"/>
    </row>
    <row r="322" spans="4:4" x14ac:dyDescent="0.25">
      <c r="D322" s="31"/>
    </row>
    <row r="323" spans="4:4" x14ac:dyDescent="0.25">
      <c r="D323" s="31"/>
    </row>
    <row r="324" spans="4:4" x14ac:dyDescent="0.25">
      <c r="D324" s="31"/>
    </row>
    <row r="325" spans="4:4" x14ac:dyDescent="0.25">
      <c r="D325" s="31"/>
    </row>
    <row r="326" spans="4:4" x14ac:dyDescent="0.25">
      <c r="D326" s="31"/>
    </row>
    <row r="327" spans="4:4" x14ac:dyDescent="0.25">
      <c r="D327" s="31"/>
    </row>
    <row r="328" spans="4:4" x14ac:dyDescent="0.25">
      <c r="D328" s="31"/>
    </row>
    <row r="329" spans="4:4" x14ac:dyDescent="0.25">
      <c r="D329" s="31"/>
    </row>
    <row r="330" spans="4:4" x14ac:dyDescent="0.25">
      <c r="D330" s="31"/>
    </row>
    <row r="331" spans="4:4" x14ac:dyDescent="0.25">
      <c r="D331" s="31"/>
    </row>
    <row r="332" spans="4:4" x14ac:dyDescent="0.25">
      <c r="D332" s="31"/>
    </row>
    <row r="333" spans="4:4" x14ac:dyDescent="0.25">
      <c r="D333" s="31"/>
    </row>
    <row r="334" spans="4:4" x14ac:dyDescent="0.25">
      <c r="D334" s="31"/>
    </row>
    <row r="335" spans="4:4" x14ac:dyDescent="0.25">
      <c r="D335" s="31"/>
    </row>
    <row r="336" spans="4:4" x14ac:dyDescent="0.25">
      <c r="D336" s="31"/>
    </row>
    <row r="337" spans="4:4" x14ac:dyDescent="0.25">
      <c r="D337" s="31"/>
    </row>
    <row r="338" spans="4:4" x14ac:dyDescent="0.25">
      <c r="D338" s="31"/>
    </row>
    <row r="339" spans="4:4" x14ac:dyDescent="0.25">
      <c r="D339" s="31"/>
    </row>
    <row r="340" spans="4:4" x14ac:dyDescent="0.25">
      <c r="D340" s="31"/>
    </row>
    <row r="341" spans="4:4" x14ac:dyDescent="0.25">
      <c r="D341" s="31"/>
    </row>
    <row r="342" spans="4:4" x14ac:dyDescent="0.25">
      <c r="D342" s="31"/>
    </row>
    <row r="343" spans="4:4" x14ac:dyDescent="0.25">
      <c r="D343" s="31"/>
    </row>
    <row r="344" spans="4:4" x14ac:dyDescent="0.25">
      <c r="D344" s="31"/>
    </row>
    <row r="345" spans="4:4" x14ac:dyDescent="0.25">
      <c r="D345" s="31"/>
    </row>
    <row r="346" spans="4:4" x14ac:dyDescent="0.25">
      <c r="D346" s="31"/>
    </row>
    <row r="347" spans="4:4" x14ac:dyDescent="0.25">
      <c r="D347" s="31"/>
    </row>
    <row r="348" spans="4:4" x14ac:dyDescent="0.25">
      <c r="D348" s="31"/>
    </row>
    <row r="349" spans="4:4" x14ac:dyDescent="0.25">
      <c r="D349" s="31"/>
    </row>
    <row r="350" spans="4:4" x14ac:dyDescent="0.25">
      <c r="D350" s="31"/>
    </row>
    <row r="351" spans="4:4" x14ac:dyDescent="0.25">
      <c r="D351" s="31"/>
    </row>
    <row r="352" spans="4:4" x14ac:dyDescent="0.25">
      <c r="D352" s="31"/>
    </row>
    <row r="353" spans="4:4" x14ac:dyDescent="0.25">
      <c r="D353" s="31"/>
    </row>
    <row r="354" spans="4:4" x14ac:dyDescent="0.25">
      <c r="D354" s="31"/>
    </row>
    <row r="355" spans="4:4" x14ac:dyDescent="0.25">
      <c r="D355" s="31"/>
    </row>
    <row r="356" spans="4:4" x14ac:dyDescent="0.25">
      <c r="D356" s="31"/>
    </row>
    <row r="357" spans="4:4" x14ac:dyDescent="0.25">
      <c r="D357" s="31"/>
    </row>
    <row r="358" spans="4:4" x14ac:dyDescent="0.25">
      <c r="D358" s="31"/>
    </row>
    <row r="359" spans="4:4" x14ac:dyDescent="0.25">
      <c r="D359" s="31"/>
    </row>
    <row r="360" spans="4:4" x14ac:dyDescent="0.25">
      <c r="D360" s="31"/>
    </row>
    <row r="361" spans="4:4" x14ac:dyDescent="0.25">
      <c r="D361" s="31"/>
    </row>
    <row r="362" spans="4:4" x14ac:dyDescent="0.25">
      <c r="D362" s="31"/>
    </row>
    <row r="363" spans="4:4" x14ac:dyDescent="0.25">
      <c r="D363" s="31"/>
    </row>
    <row r="364" spans="4:4" x14ac:dyDescent="0.25">
      <c r="D364" s="31"/>
    </row>
    <row r="365" spans="4:4" x14ac:dyDescent="0.25">
      <c r="D365" s="31"/>
    </row>
    <row r="366" spans="4:4" x14ac:dyDescent="0.25">
      <c r="D366" s="31"/>
    </row>
    <row r="367" spans="4:4" x14ac:dyDescent="0.25">
      <c r="D367" s="31"/>
    </row>
    <row r="368" spans="4:4" x14ac:dyDescent="0.25">
      <c r="D368" s="31"/>
    </row>
    <row r="369" spans="4:4" x14ac:dyDescent="0.25">
      <c r="D369" s="31"/>
    </row>
    <row r="370" spans="4:4" x14ac:dyDescent="0.25">
      <c r="D370" s="31"/>
    </row>
    <row r="371" spans="4:4" x14ac:dyDescent="0.25">
      <c r="D371" s="31"/>
    </row>
    <row r="372" spans="4:4" x14ac:dyDescent="0.25">
      <c r="D372" s="31"/>
    </row>
    <row r="373" spans="4:4" x14ac:dyDescent="0.25">
      <c r="D373" s="31"/>
    </row>
    <row r="374" spans="4:4" x14ac:dyDescent="0.25">
      <c r="D374" s="31"/>
    </row>
    <row r="375" spans="4:4" x14ac:dyDescent="0.25">
      <c r="D375" s="31"/>
    </row>
    <row r="376" spans="4:4" x14ac:dyDescent="0.25">
      <c r="D376" s="31"/>
    </row>
    <row r="377" spans="4:4" x14ac:dyDescent="0.25">
      <c r="D377" s="31"/>
    </row>
    <row r="378" spans="4:4" x14ac:dyDescent="0.25">
      <c r="D378" s="31"/>
    </row>
    <row r="379" spans="4:4" x14ac:dyDescent="0.25">
      <c r="D379" s="31"/>
    </row>
    <row r="380" spans="4:4" x14ac:dyDescent="0.25">
      <c r="D380" s="31"/>
    </row>
    <row r="381" spans="4:4" x14ac:dyDescent="0.25">
      <c r="D381" s="31"/>
    </row>
    <row r="382" spans="4:4" x14ac:dyDescent="0.25">
      <c r="D382" s="31"/>
    </row>
    <row r="383" spans="4:4" x14ac:dyDescent="0.25">
      <c r="D383" s="31"/>
    </row>
    <row r="384" spans="4:4" x14ac:dyDescent="0.25">
      <c r="D384" s="31"/>
    </row>
    <row r="385" spans="4:4" x14ac:dyDescent="0.25">
      <c r="D385" s="31"/>
    </row>
    <row r="386" spans="4:4" x14ac:dyDescent="0.25">
      <c r="D386" s="31"/>
    </row>
    <row r="387" spans="4:4" x14ac:dyDescent="0.25">
      <c r="D387" s="31"/>
    </row>
    <row r="388" spans="4:4" x14ac:dyDescent="0.25">
      <c r="D388" s="31"/>
    </row>
    <row r="389" spans="4:4" x14ac:dyDescent="0.25">
      <c r="D389" s="31"/>
    </row>
    <row r="390" spans="4:4" x14ac:dyDescent="0.25">
      <c r="D390" s="31"/>
    </row>
    <row r="391" spans="4:4" x14ac:dyDescent="0.25">
      <c r="D391" s="31"/>
    </row>
    <row r="392" spans="4:4" x14ac:dyDescent="0.25">
      <c r="D392" s="31"/>
    </row>
    <row r="393" spans="4:4" x14ac:dyDescent="0.25">
      <c r="D393" s="31"/>
    </row>
    <row r="394" spans="4:4" x14ac:dyDescent="0.25">
      <c r="D394" s="31"/>
    </row>
    <row r="395" spans="4:4" x14ac:dyDescent="0.25">
      <c r="D395" s="31"/>
    </row>
    <row r="396" spans="4:4" x14ac:dyDescent="0.25">
      <c r="D396" s="31"/>
    </row>
    <row r="397" spans="4:4" x14ac:dyDescent="0.25">
      <c r="D397" s="31"/>
    </row>
    <row r="398" spans="4:4" x14ac:dyDescent="0.25">
      <c r="D398" s="31"/>
    </row>
    <row r="399" spans="4:4" x14ac:dyDescent="0.25">
      <c r="D399" s="31"/>
    </row>
    <row r="400" spans="4:4" x14ac:dyDescent="0.25">
      <c r="D400" s="31"/>
    </row>
    <row r="401" spans="4:4" x14ac:dyDescent="0.25">
      <c r="D401" s="31"/>
    </row>
    <row r="402" spans="4:4" x14ac:dyDescent="0.25">
      <c r="D402" s="31"/>
    </row>
    <row r="403" spans="4:4" x14ac:dyDescent="0.25">
      <c r="D403" s="31"/>
    </row>
    <row r="404" spans="4:4" x14ac:dyDescent="0.25">
      <c r="D404" s="31"/>
    </row>
    <row r="405" spans="4:4" x14ac:dyDescent="0.25">
      <c r="D405" s="31"/>
    </row>
    <row r="406" spans="4:4" x14ac:dyDescent="0.25">
      <c r="D406" s="31"/>
    </row>
    <row r="407" spans="4:4" x14ac:dyDescent="0.25">
      <c r="D407" s="31"/>
    </row>
    <row r="408" spans="4:4" x14ac:dyDescent="0.25">
      <c r="D408" s="31"/>
    </row>
    <row r="409" spans="4:4" x14ac:dyDescent="0.25">
      <c r="D409" s="31"/>
    </row>
    <row r="410" spans="4:4" x14ac:dyDescent="0.25">
      <c r="D410" s="31"/>
    </row>
    <row r="411" spans="4:4" x14ac:dyDescent="0.25">
      <c r="D411" s="31"/>
    </row>
    <row r="412" spans="4:4" x14ac:dyDescent="0.25">
      <c r="D412" s="31"/>
    </row>
    <row r="413" spans="4:4" x14ac:dyDescent="0.25">
      <c r="D413" s="31"/>
    </row>
    <row r="414" spans="4:4" x14ac:dyDescent="0.25">
      <c r="D414" s="31"/>
    </row>
    <row r="415" spans="4:4" x14ac:dyDescent="0.25">
      <c r="D415" s="31"/>
    </row>
    <row r="416" spans="4:4" x14ac:dyDescent="0.25">
      <c r="D416" s="31"/>
    </row>
    <row r="417" spans="4:4" x14ac:dyDescent="0.25">
      <c r="D417" s="31"/>
    </row>
    <row r="418" spans="4:4" x14ac:dyDescent="0.25">
      <c r="D418" s="31"/>
    </row>
    <row r="419" spans="4:4" x14ac:dyDescent="0.25">
      <c r="D419" s="31"/>
    </row>
    <row r="420" spans="4:4" x14ac:dyDescent="0.25">
      <c r="D420" s="31"/>
    </row>
    <row r="421" spans="4:4" x14ac:dyDescent="0.25">
      <c r="D421" s="31"/>
    </row>
    <row r="422" spans="4:4" x14ac:dyDescent="0.25">
      <c r="D422" s="31"/>
    </row>
    <row r="423" spans="4:4" x14ac:dyDescent="0.25">
      <c r="D423" s="31"/>
    </row>
    <row r="424" spans="4:4" x14ac:dyDescent="0.25">
      <c r="D424" s="31"/>
    </row>
    <row r="425" spans="4:4" x14ac:dyDescent="0.25">
      <c r="D425" s="31"/>
    </row>
    <row r="426" spans="4:4" x14ac:dyDescent="0.25">
      <c r="D426" s="31"/>
    </row>
    <row r="427" spans="4:4" x14ac:dyDescent="0.25">
      <c r="D427" s="31"/>
    </row>
    <row r="428" spans="4:4" x14ac:dyDescent="0.25">
      <c r="D428" s="31"/>
    </row>
    <row r="429" spans="4:4" x14ac:dyDescent="0.25">
      <c r="D429" s="31"/>
    </row>
    <row r="430" spans="4:4" x14ac:dyDescent="0.25">
      <c r="D430" s="31"/>
    </row>
    <row r="431" spans="4:4" x14ac:dyDescent="0.25">
      <c r="D431" s="31"/>
    </row>
    <row r="432" spans="4:4" x14ac:dyDescent="0.25">
      <c r="D432" s="31"/>
    </row>
    <row r="433" spans="4:4" x14ac:dyDescent="0.25">
      <c r="D433" s="31"/>
    </row>
    <row r="434" spans="4:4" x14ac:dyDescent="0.25">
      <c r="D434" s="31"/>
    </row>
    <row r="435" spans="4:4" x14ac:dyDescent="0.25">
      <c r="D435" s="31"/>
    </row>
    <row r="436" spans="4:4" x14ac:dyDescent="0.25">
      <c r="D436" s="31"/>
    </row>
    <row r="437" spans="4:4" x14ac:dyDescent="0.25">
      <c r="D437" s="31"/>
    </row>
    <row r="438" spans="4:4" x14ac:dyDescent="0.25">
      <c r="D438" s="31"/>
    </row>
    <row r="439" spans="4:4" x14ac:dyDescent="0.25">
      <c r="D439" s="31"/>
    </row>
    <row r="440" spans="4:4" x14ac:dyDescent="0.25">
      <c r="D440" s="31"/>
    </row>
    <row r="441" spans="4:4" x14ac:dyDescent="0.25">
      <c r="D441" s="31"/>
    </row>
    <row r="442" spans="4:4" x14ac:dyDescent="0.25">
      <c r="D442" s="31"/>
    </row>
    <row r="443" spans="4:4" x14ac:dyDescent="0.25">
      <c r="D443" s="31"/>
    </row>
    <row r="444" spans="4:4" x14ac:dyDescent="0.25">
      <c r="D444" s="31"/>
    </row>
    <row r="445" spans="4:4" x14ac:dyDescent="0.25">
      <c r="D445" s="31"/>
    </row>
    <row r="446" spans="4:4" x14ac:dyDescent="0.25">
      <c r="D446" s="31"/>
    </row>
    <row r="447" spans="4:4" x14ac:dyDescent="0.25">
      <c r="D447" s="31"/>
    </row>
    <row r="448" spans="4:4" x14ac:dyDescent="0.25">
      <c r="D448" s="31"/>
    </row>
    <row r="449" spans="4:4" x14ac:dyDescent="0.25">
      <c r="D449" s="31"/>
    </row>
    <row r="450" spans="4:4" x14ac:dyDescent="0.25">
      <c r="D450" s="31"/>
    </row>
    <row r="451" spans="4:4" x14ac:dyDescent="0.25">
      <c r="D451" s="31"/>
    </row>
    <row r="452" spans="4:4" x14ac:dyDescent="0.25">
      <c r="D452" s="31"/>
    </row>
    <row r="453" spans="4:4" x14ac:dyDescent="0.25">
      <c r="D453" s="31"/>
    </row>
    <row r="454" spans="4:4" x14ac:dyDescent="0.25">
      <c r="D454" s="31"/>
    </row>
    <row r="455" spans="4:4" x14ac:dyDescent="0.25">
      <c r="D455" s="31"/>
    </row>
    <row r="456" spans="4:4" x14ac:dyDescent="0.25">
      <c r="D456" s="31"/>
    </row>
    <row r="457" spans="4:4" x14ac:dyDescent="0.25">
      <c r="D457" s="31"/>
    </row>
    <row r="458" spans="4:4" x14ac:dyDescent="0.25">
      <c r="D458" s="31"/>
    </row>
    <row r="459" spans="4:4" x14ac:dyDescent="0.25">
      <c r="D459" s="31"/>
    </row>
    <row r="460" spans="4:4" x14ac:dyDescent="0.25">
      <c r="D460" s="31"/>
    </row>
    <row r="461" spans="4:4" x14ac:dyDescent="0.25">
      <c r="D461" s="31"/>
    </row>
    <row r="462" spans="4:4" x14ac:dyDescent="0.25">
      <c r="D462" s="31"/>
    </row>
    <row r="463" spans="4:4" x14ac:dyDescent="0.25">
      <c r="D463" s="31"/>
    </row>
    <row r="464" spans="4:4" x14ac:dyDescent="0.25">
      <c r="D464" s="31"/>
    </row>
    <row r="465" spans="4:4" x14ac:dyDescent="0.25">
      <c r="D465" s="31"/>
    </row>
    <row r="466" spans="4:4" x14ac:dyDescent="0.25">
      <c r="D466" s="31"/>
    </row>
    <row r="467" spans="4:4" x14ac:dyDescent="0.25">
      <c r="D467" s="31"/>
    </row>
    <row r="468" spans="4:4" x14ac:dyDescent="0.25">
      <c r="D468" s="31"/>
    </row>
    <row r="469" spans="4:4" x14ac:dyDescent="0.25">
      <c r="D469" s="31"/>
    </row>
    <row r="470" spans="4:4" x14ac:dyDescent="0.25">
      <c r="D470" s="31"/>
    </row>
    <row r="471" spans="4:4" x14ac:dyDescent="0.25">
      <c r="D471" s="31"/>
    </row>
    <row r="472" spans="4:4" x14ac:dyDescent="0.25">
      <c r="D472" s="31"/>
    </row>
    <row r="473" spans="4:4" x14ac:dyDescent="0.25">
      <c r="D473" s="31"/>
    </row>
    <row r="474" spans="4:4" x14ac:dyDescent="0.25">
      <c r="D474" s="31"/>
    </row>
    <row r="475" spans="4:4" x14ac:dyDescent="0.25">
      <c r="D475" s="31"/>
    </row>
    <row r="476" spans="4:4" x14ac:dyDescent="0.25">
      <c r="D476" s="31"/>
    </row>
    <row r="477" spans="4:4" x14ac:dyDescent="0.25">
      <c r="D477" s="31"/>
    </row>
    <row r="478" spans="4:4" x14ac:dyDescent="0.25">
      <c r="D478" s="31"/>
    </row>
    <row r="479" spans="4:4" x14ac:dyDescent="0.25">
      <c r="D479" s="31"/>
    </row>
    <row r="480" spans="4:4" x14ac:dyDescent="0.25">
      <c r="D480" s="31"/>
    </row>
    <row r="481" spans="4:4" x14ac:dyDescent="0.25">
      <c r="D481" s="31"/>
    </row>
    <row r="482" spans="4:4" x14ac:dyDescent="0.25">
      <c r="D482" s="31"/>
    </row>
    <row r="483" spans="4:4" x14ac:dyDescent="0.25">
      <c r="D483" s="31"/>
    </row>
    <row r="484" spans="4:4" x14ac:dyDescent="0.25">
      <c r="D484" s="31"/>
    </row>
    <row r="485" spans="4:4" x14ac:dyDescent="0.25">
      <c r="D485" s="31"/>
    </row>
    <row r="486" spans="4:4" x14ac:dyDescent="0.25">
      <c r="D486" s="31"/>
    </row>
    <row r="487" spans="4:4" x14ac:dyDescent="0.25">
      <c r="D487" s="31"/>
    </row>
    <row r="488" spans="4:4" x14ac:dyDescent="0.25">
      <c r="D488" s="31"/>
    </row>
    <row r="489" spans="4:4" x14ac:dyDescent="0.25">
      <c r="D489" s="31"/>
    </row>
    <row r="490" spans="4:4" x14ac:dyDescent="0.25">
      <c r="D490" s="31"/>
    </row>
    <row r="491" spans="4:4" x14ac:dyDescent="0.25">
      <c r="D491" s="31"/>
    </row>
    <row r="492" spans="4:4" x14ac:dyDescent="0.25">
      <c r="D492" s="31"/>
    </row>
    <row r="493" spans="4:4" x14ac:dyDescent="0.25">
      <c r="D493" s="31"/>
    </row>
    <row r="494" spans="4:4" x14ac:dyDescent="0.25">
      <c r="D494" s="31"/>
    </row>
    <row r="495" spans="4:4" x14ac:dyDescent="0.25">
      <c r="D495" s="31"/>
    </row>
    <row r="496" spans="4:4" x14ac:dyDescent="0.25">
      <c r="D496" s="31"/>
    </row>
    <row r="497" spans="4:4" x14ac:dyDescent="0.25">
      <c r="D497" s="31"/>
    </row>
    <row r="498" spans="4:4" x14ac:dyDescent="0.25">
      <c r="D498" s="31"/>
    </row>
    <row r="499" spans="4:4" x14ac:dyDescent="0.25">
      <c r="D499" s="31"/>
    </row>
    <row r="500" spans="4:4" x14ac:dyDescent="0.25">
      <c r="D500" s="31"/>
    </row>
    <row r="501" spans="4:4" x14ac:dyDescent="0.25">
      <c r="D501" s="31"/>
    </row>
    <row r="502" spans="4:4" x14ac:dyDescent="0.25">
      <c r="D502" s="31"/>
    </row>
    <row r="503" spans="4:4" x14ac:dyDescent="0.25">
      <c r="D503" s="31"/>
    </row>
    <row r="504" spans="4:4" x14ac:dyDescent="0.25">
      <c r="D504" s="31"/>
    </row>
    <row r="505" spans="4:4" x14ac:dyDescent="0.25">
      <c r="D505" s="31"/>
    </row>
    <row r="506" spans="4:4" x14ac:dyDescent="0.25">
      <c r="D506" s="31"/>
    </row>
    <row r="507" spans="4:4" x14ac:dyDescent="0.25">
      <c r="D507" s="31"/>
    </row>
    <row r="508" spans="4:4" x14ac:dyDescent="0.25">
      <c r="D508" s="31"/>
    </row>
    <row r="509" spans="4:4" x14ac:dyDescent="0.25">
      <c r="D509" s="31"/>
    </row>
    <row r="510" spans="4:4" x14ac:dyDescent="0.25">
      <c r="D510" s="31"/>
    </row>
    <row r="511" spans="4:4" x14ac:dyDescent="0.25">
      <c r="D511" s="31"/>
    </row>
    <row r="512" spans="4:4" x14ac:dyDescent="0.25">
      <c r="D512" s="31"/>
    </row>
    <row r="513" spans="4:4" x14ac:dyDescent="0.25">
      <c r="D513" s="31"/>
    </row>
    <row r="514" spans="4:4" x14ac:dyDescent="0.25">
      <c r="D514" s="31"/>
    </row>
    <row r="515" spans="4:4" x14ac:dyDescent="0.25">
      <c r="D515" s="31"/>
    </row>
    <row r="516" spans="4:4" x14ac:dyDescent="0.25">
      <c r="D516" s="31"/>
    </row>
    <row r="517" spans="4:4" x14ac:dyDescent="0.25">
      <c r="D517" s="31"/>
    </row>
    <row r="518" spans="4:4" x14ac:dyDescent="0.25">
      <c r="D518" s="31"/>
    </row>
    <row r="519" spans="4:4" x14ac:dyDescent="0.25">
      <c r="D519" s="31"/>
    </row>
    <row r="520" spans="4:4" x14ac:dyDescent="0.25">
      <c r="D520" s="31"/>
    </row>
    <row r="521" spans="4:4" x14ac:dyDescent="0.25">
      <c r="D521" s="31"/>
    </row>
    <row r="522" spans="4:4" x14ac:dyDescent="0.25">
      <c r="D522" s="31"/>
    </row>
    <row r="523" spans="4:4" x14ac:dyDescent="0.25">
      <c r="D523" s="31"/>
    </row>
    <row r="524" spans="4:4" x14ac:dyDescent="0.25">
      <c r="D524" s="31"/>
    </row>
    <row r="525" spans="4:4" x14ac:dyDescent="0.25">
      <c r="D525" s="31"/>
    </row>
    <row r="526" spans="4:4" x14ac:dyDescent="0.25">
      <c r="D526" s="31"/>
    </row>
    <row r="527" spans="4:4" x14ac:dyDescent="0.25">
      <c r="D527" s="31"/>
    </row>
    <row r="528" spans="4:4" x14ac:dyDescent="0.25">
      <c r="D528" s="31"/>
    </row>
    <row r="529" spans="4:4" x14ac:dyDescent="0.25">
      <c r="D529" s="31"/>
    </row>
    <row r="530" spans="4:4" x14ac:dyDescent="0.25">
      <c r="D530" s="31"/>
    </row>
    <row r="531" spans="4:4" x14ac:dyDescent="0.25">
      <c r="D531" s="31"/>
    </row>
    <row r="532" spans="4:4" x14ac:dyDescent="0.25">
      <c r="D532" s="31"/>
    </row>
    <row r="533" spans="4:4" x14ac:dyDescent="0.25">
      <c r="D533" s="31"/>
    </row>
    <row r="534" spans="4:4" x14ac:dyDescent="0.25">
      <c r="D534" s="31"/>
    </row>
    <row r="535" spans="4:4" x14ac:dyDescent="0.25">
      <c r="D535" s="31"/>
    </row>
    <row r="536" spans="4:4" x14ac:dyDescent="0.25">
      <c r="D536" s="31"/>
    </row>
    <row r="537" spans="4:4" x14ac:dyDescent="0.25">
      <c r="D537" s="31"/>
    </row>
    <row r="538" spans="4:4" x14ac:dyDescent="0.25">
      <c r="D538" s="31"/>
    </row>
    <row r="539" spans="4:4" x14ac:dyDescent="0.25">
      <c r="D539" s="31"/>
    </row>
    <row r="540" spans="4:4" x14ac:dyDescent="0.25">
      <c r="D540" s="31"/>
    </row>
    <row r="541" spans="4:4" x14ac:dyDescent="0.25">
      <c r="D541" s="31"/>
    </row>
    <row r="542" spans="4:4" x14ac:dyDescent="0.25">
      <c r="D542" s="31"/>
    </row>
    <row r="543" spans="4:4" x14ac:dyDescent="0.25">
      <c r="D543" s="31"/>
    </row>
    <row r="544" spans="4:4" x14ac:dyDescent="0.25">
      <c r="D544" s="31"/>
    </row>
    <row r="545" spans="4:4" x14ac:dyDescent="0.25">
      <c r="D545" s="31"/>
    </row>
    <row r="546" spans="4:4" x14ac:dyDescent="0.25">
      <c r="D546" s="31"/>
    </row>
    <row r="547" spans="4:4" x14ac:dyDescent="0.25">
      <c r="D547" s="31"/>
    </row>
    <row r="548" spans="4:4" x14ac:dyDescent="0.25">
      <c r="D548" s="31"/>
    </row>
    <row r="549" spans="4:4" x14ac:dyDescent="0.25">
      <c r="D549" s="31"/>
    </row>
    <row r="550" spans="4:4" x14ac:dyDescent="0.25">
      <c r="D550" s="31"/>
    </row>
  </sheetData>
  <sheetProtection formatCells="0" formatColumns="0" formatRows="0"/>
  <conditionalFormatting sqref="G20">
    <cfRule type="cellIs" dxfId="8" priority="16" stopIfTrue="1" operator="notEqual">
      <formula>0</formula>
    </cfRule>
  </conditionalFormatting>
  <conditionalFormatting sqref="G31">
    <cfRule type="cellIs" dxfId="7" priority="15" stopIfTrue="1" operator="notEqual">
      <formula>0</formula>
    </cfRule>
  </conditionalFormatting>
  <conditionalFormatting sqref="G32:G34">
    <cfRule type="cellIs" dxfId="6" priority="14" stopIfTrue="1" operator="notEqual">
      <formula>0</formula>
    </cfRule>
  </conditionalFormatting>
  <conditionalFormatting sqref="G46">
    <cfRule type="cellIs" dxfId="5" priority="13" stopIfTrue="1" operator="notEqual">
      <formula>0</formula>
    </cfRule>
  </conditionalFormatting>
  <conditionalFormatting sqref="G55">
    <cfRule type="cellIs" dxfId="4" priority="12" stopIfTrue="1" operator="notEqual">
      <formula>0</formula>
    </cfRule>
  </conditionalFormatting>
  <conditionalFormatting sqref="G56:G57">
    <cfRule type="cellIs" dxfId="3" priority="11" stopIfTrue="1" operator="notEqual">
      <formula>0</formula>
    </cfRule>
  </conditionalFormatting>
  <conditionalFormatting sqref="L98:L99">
    <cfRule type="cellIs" dxfId="2" priority="4" stopIfTrue="1" operator="notEqual">
      <formula>0</formula>
    </cfRule>
  </conditionalFormatting>
  <conditionalFormatting sqref="J98:J99">
    <cfRule type="cellIs" dxfId="1" priority="2" stopIfTrue="1" operator="greaterThan">
      <formula>0</formula>
    </cfRule>
  </conditionalFormatting>
  <conditionalFormatting sqref="G38">
    <cfRule type="containsText" dxfId="0" priority="1" stopIfTrue="1" operator="containsText" text="included in error count">
      <formula>NOT(ISERROR(SEARCH("included in error count",G38)))</formula>
    </cfRule>
  </conditionalFormatting>
  <pageMargins left="0.7" right="0.7" top="0.75" bottom="0.75" header="0.3" footer="0.3"/>
  <pageSetup scale="69" fitToHeight="0" orientation="landscape" r:id="rId1"/>
  <ignoredErrors>
    <ignoredError sqref="F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3"/>
  <sheetViews>
    <sheetView showGridLines="0" workbookViewId="0">
      <selection activeCell="D23" sqref="D23"/>
    </sheetView>
  </sheetViews>
  <sheetFormatPr defaultRowHeight="15" x14ac:dyDescent="0.25"/>
  <cols>
    <col min="2" max="2" width="10.42578125" bestFit="1" customWidth="1"/>
    <col min="3" max="3" width="29.85546875" customWidth="1"/>
    <col min="4" max="4" width="40.5703125" customWidth="1"/>
    <col min="5" max="5" width="3.7109375" customWidth="1"/>
    <col min="6" max="6" width="13.42578125" customWidth="1"/>
    <col min="7" max="7" width="3.5703125" customWidth="1"/>
    <col min="8" max="8" width="14.140625" customWidth="1"/>
  </cols>
  <sheetData>
    <row r="1" spans="1:8" s="57" customFormat="1" x14ac:dyDescent="0.25"/>
    <row r="2" spans="1:8" ht="54.75" customHeight="1" x14ac:dyDescent="0.25">
      <c r="A2" s="540" t="s">
        <v>61</v>
      </c>
      <c r="B2" s="540"/>
      <c r="C2" s="540"/>
      <c r="D2" s="540"/>
      <c r="E2" s="540"/>
      <c r="F2" s="103"/>
      <c r="G2" s="103"/>
      <c r="H2" s="102"/>
    </row>
    <row r="3" spans="1:8" x14ac:dyDescent="0.25">
      <c r="A3" s="57"/>
      <c r="B3" s="57"/>
      <c r="C3" s="57"/>
      <c r="D3" s="57"/>
      <c r="E3" s="57"/>
      <c r="F3" s="57"/>
      <c r="G3" s="57"/>
      <c r="H3" s="57"/>
    </row>
    <row r="4" spans="1:8" ht="15.75" x14ac:dyDescent="0.25">
      <c r="A4" s="59"/>
      <c r="B4" s="60">
        <f>'Unit Data for Audit Worksheet'!D2</f>
        <v>0</v>
      </c>
      <c r="C4" s="61"/>
      <c r="D4" s="62"/>
      <c r="E4" s="63"/>
      <c r="F4" s="66">
        <f>'Unit Data for Audit Worksheet'!F5</f>
        <v>2020</v>
      </c>
      <c r="G4" s="59"/>
      <c r="H4" s="66">
        <f>'Unit Data for Audit Worksheet'!F5</f>
        <v>2020</v>
      </c>
    </row>
    <row r="5" spans="1:8" ht="38.25" x14ac:dyDescent="0.3">
      <c r="A5" s="64"/>
      <c r="B5" s="65" t="s">
        <v>28</v>
      </c>
      <c r="C5" s="64"/>
      <c r="D5" s="64"/>
      <c r="E5" s="64"/>
      <c r="F5" s="66" t="s">
        <v>29</v>
      </c>
      <c r="G5" s="64"/>
      <c r="H5" s="67" t="s">
        <v>30</v>
      </c>
    </row>
    <row r="6" spans="1:8" x14ac:dyDescent="0.25">
      <c r="A6" s="59"/>
      <c r="B6" s="68" t="s">
        <v>31</v>
      </c>
      <c r="C6" s="59"/>
      <c r="D6" s="69"/>
      <c r="E6" s="69"/>
      <c r="F6" s="69"/>
      <c r="G6" s="69"/>
      <c r="H6" s="69"/>
    </row>
    <row r="7" spans="1:8" x14ac:dyDescent="0.25">
      <c r="A7" s="59"/>
      <c r="B7" s="69" t="s">
        <v>32</v>
      </c>
      <c r="C7" s="59"/>
      <c r="D7" s="69"/>
      <c r="E7" s="69" t="s">
        <v>8</v>
      </c>
      <c r="F7" s="70">
        <f>IMPORT!L35</f>
        <v>0</v>
      </c>
      <c r="G7" s="71"/>
      <c r="H7" s="70">
        <f>F7</f>
        <v>0</v>
      </c>
    </row>
    <row r="8" spans="1:8" ht="44.25" customHeight="1" x14ac:dyDescent="0.25">
      <c r="A8" s="59"/>
      <c r="B8" s="537" t="s">
        <v>33</v>
      </c>
      <c r="C8" s="537"/>
      <c r="D8" s="537"/>
      <c r="E8" s="69" t="s">
        <v>8</v>
      </c>
      <c r="F8" s="72">
        <f>IMPORT!L36</f>
        <v>0</v>
      </c>
      <c r="G8" s="73"/>
      <c r="H8" s="73"/>
    </row>
    <row r="9" spans="1:8" x14ac:dyDescent="0.25">
      <c r="A9" s="59"/>
      <c r="B9" s="59"/>
      <c r="C9" s="69" t="s">
        <v>109</v>
      </c>
      <c r="D9" s="59"/>
      <c r="E9" s="69" t="s">
        <v>8</v>
      </c>
      <c r="F9" s="74">
        <f>IMPORT!L39</f>
        <v>0</v>
      </c>
      <c r="G9" s="73"/>
      <c r="H9" s="74">
        <f>F9</f>
        <v>0</v>
      </c>
    </row>
    <row r="10" spans="1:8" x14ac:dyDescent="0.25">
      <c r="A10" s="59"/>
      <c r="B10" s="59"/>
      <c r="C10" s="69" t="s">
        <v>34</v>
      </c>
      <c r="D10" s="59"/>
      <c r="E10" s="69" t="s">
        <v>8</v>
      </c>
      <c r="F10" s="74">
        <f>IMPORT!L72</f>
        <v>0</v>
      </c>
      <c r="G10" s="73"/>
      <c r="H10" s="74">
        <f>F10</f>
        <v>0</v>
      </c>
    </row>
    <row r="11" spans="1:8" x14ac:dyDescent="0.25">
      <c r="A11" s="59"/>
      <c r="B11" s="59"/>
      <c r="C11" s="69" t="s">
        <v>35</v>
      </c>
      <c r="D11" s="59"/>
      <c r="E11" s="69" t="s">
        <v>8</v>
      </c>
      <c r="F11" s="75">
        <f>IMPORT!L40</f>
        <v>0</v>
      </c>
      <c r="G11" s="76"/>
      <c r="H11" s="75">
        <f>F11</f>
        <v>0</v>
      </c>
    </row>
    <row r="12" spans="1:8" x14ac:dyDescent="0.25">
      <c r="A12" s="59"/>
      <c r="B12" s="77" t="s">
        <v>36</v>
      </c>
      <c r="C12" s="78" t="s">
        <v>37</v>
      </c>
      <c r="D12" s="79"/>
      <c r="E12" s="80" t="s">
        <v>8</v>
      </c>
      <c r="F12" s="81">
        <f>F7+F8-SUM(F9:F11)</f>
        <v>0</v>
      </c>
      <c r="G12" s="82"/>
      <c r="H12" s="81">
        <f>H7+H8-SUM(H9:H11)</f>
        <v>0</v>
      </c>
    </row>
    <row r="13" spans="1:8" x14ac:dyDescent="0.25">
      <c r="A13" s="59"/>
      <c r="B13" s="59"/>
      <c r="C13" s="69"/>
      <c r="D13" s="69"/>
      <c r="E13" s="69" t="s">
        <v>8</v>
      </c>
      <c r="F13" s="69"/>
      <c r="G13" s="69"/>
      <c r="H13" s="69"/>
    </row>
    <row r="14" spans="1:8" x14ac:dyDescent="0.25">
      <c r="A14" s="59"/>
      <c r="B14" s="69" t="s">
        <v>38</v>
      </c>
      <c r="C14" s="59"/>
      <c r="D14" s="69"/>
      <c r="E14" s="69" t="s">
        <v>8</v>
      </c>
      <c r="F14" s="83">
        <f>IMPORT!L46</f>
        <v>0</v>
      </c>
      <c r="G14" s="69"/>
      <c r="H14" s="69"/>
    </row>
    <row r="15" spans="1:8" x14ac:dyDescent="0.25">
      <c r="A15" s="59"/>
      <c r="B15" s="69" t="s">
        <v>39</v>
      </c>
      <c r="C15" s="59"/>
      <c r="D15" s="69"/>
      <c r="E15" s="69" t="s">
        <v>8</v>
      </c>
      <c r="F15" s="84">
        <f>F14-F12</f>
        <v>0</v>
      </c>
      <c r="G15" s="69"/>
      <c r="H15" s="69"/>
    </row>
    <row r="16" spans="1:8" x14ac:dyDescent="0.25">
      <c r="A16" s="59"/>
      <c r="B16" s="85" t="s">
        <v>40</v>
      </c>
      <c r="C16" s="59"/>
      <c r="D16" s="69"/>
      <c r="E16" s="69"/>
      <c r="F16" s="69"/>
      <c r="G16" s="69"/>
      <c r="H16" s="69"/>
    </row>
    <row r="17" spans="1:8" x14ac:dyDescent="0.25">
      <c r="A17" s="57"/>
      <c r="B17" s="86" t="s">
        <v>41</v>
      </c>
      <c r="C17" s="69" t="s">
        <v>42</v>
      </c>
      <c r="D17" s="59"/>
      <c r="E17" s="69" t="s">
        <v>8</v>
      </c>
      <c r="F17" s="87">
        <f>IMPORT!L43</f>
        <v>0</v>
      </c>
      <c r="G17" s="69"/>
      <c r="H17" s="69"/>
    </row>
    <row r="18" spans="1:8" ht="15.75" thickBot="1" x14ac:dyDescent="0.3">
      <c r="A18" s="57"/>
      <c r="B18" s="77" t="s">
        <v>36</v>
      </c>
      <c r="C18" s="78" t="s">
        <v>43</v>
      </c>
      <c r="D18" s="79"/>
      <c r="E18" s="80" t="s">
        <v>8</v>
      </c>
      <c r="F18" s="88">
        <f>(F15-SUM(F17:F17))</f>
        <v>0</v>
      </c>
      <c r="G18" s="69"/>
      <c r="H18" s="69"/>
    </row>
    <row r="19" spans="1:8" ht="15.75" thickTop="1" x14ac:dyDescent="0.25">
      <c r="A19" s="57"/>
      <c r="B19" s="59"/>
      <c r="C19" s="69"/>
      <c r="D19" s="69"/>
      <c r="E19" s="69"/>
      <c r="F19" s="69"/>
      <c r="G19" s="69"/>
      <c r="H19" s="69"/>
    </row>
    <row r="20" spans="1:8" ht="15.75" thickBot="1" x14ac:dyDescent="0.3">
      <c r="A20" s="57"/>
      <c r="B20" s="69" t="s">
        <v>44</v>
      </c>
      <c r="C20" s="59"/>
      <c r="D20" s="69"/>
      <c r="E20" s="69" t="s">
        <v>8</v>
      </c>
      <c r="F20" s="89">
        <f>IMPORT!L42</f>
        <v>0</v>
      </c>
      <c r="G20" s="69"/>
      <c r="H20" s="69"/>
    </row>
    <row r="21" spans="1:8" ht="16.5" thickTop="1" thickBot="1" x14ac:dyDescent="0.3">
      <c r="A21" s="57"/>
      <c r="B21" s="59"/>
      <c r="C21" s="90" t="str">
        <f>IF(F18&gt;F20, "Restricted-Stabilization by State Statute understated by ",IF(F20&gt;F18, "Restricted-Stabilization by State Statute overstated by ","Restricted-Stabilization by State Statutue Reportedly Correctly. "))</f>
        <v xml:space="preserve">Restricted-Stabilization by State Statutue Reportedly Correctly. </v>
      </c>
      <c r="D21" s="59"/>
      <c r="E21" s="69" t="s">
        <v>8</v>
      </c>
      <c r="F21" s="91">
        <f>ABS(F18-F20)</f>
        <v>0</v>
      </c>
      <c r="G21" s="69"/>
      <c r="H21" s="69"/>
    </row>
    <row r="22" spans="1:8" ht="50.25" customHeight="1" thickTop="1" x14ac:dyDescent="0.25">
      <c r="A22" s="57"/>
      <c r="B22" s="59"/>
      <c r="C22" s="538" t="str">
        <f>IF(F18&gt;F20,"Since Restricted-Stabilization by State Statute was understated, verfiy that the unit did not appropriate fund balance in excess of legal amount available in row 13 above.","")</f>
        <v/>
      </c>
      <c r="D22" s="538"/>
      <c r="E22" s="538"/>
      <c r="F22" s="538"/>
      <c r="G22" s="69"/>
      <c r="H22" s="69"/>
    </row>
    <row r="23" spans="1:8" x14ac:dyDescent="0.25">
      <c r="A23" s="57"/>
      <c r="B23" s="59"/>
      <c r="C23" s="539" t="s">
        <v>45</v>
      </c>
      <c r="D23" s="69"/>
      <c r="E23" s="69"/>
      <c r="F23" s="69"/>
      <c r="G23" s="69"/>
      <c r="H23" s="92" t="s">
        <v>46</v>
      </c>
    </row>
    <row r="24" spans="1:8" x14ac:dyDescent="0.25">
      <c r="A24" s="57"/>
      <c r="B24" s="59"/>
      <c r="C24" s="539"/>
      <c r="D24" s="69"/>
      <c r="E24" s="69"/>
      <c r="F24" s="66" t="s">
        <v>47</v>
      </c>
      <c r="G24" s="69"/>
      <c r="H24" s="66" t="s">
        <v>55</v>
      </c>
    </row>
    <row r="25" spans="1:8" x14ac:dyDescent="0.25">
      <c r="A25" s="57"/>
      <c r="B25" s="59"/>
      <c r="C25" s="68" t="s">
        <v>48</v>
      </c>
      <c r="D25" s="69"/>
      <c r="E25" s="69"/>
      <c r="F25" s="69"/>
      <c r="G25" s="69"/>
      <c r="H25" s="69"/>
    </row>
    <row r="26" spans="1:8" ht="25.15" customHeight="1" x14ac:dyDescent="0.25">
      <c r="A26" s="57"/>
      <c r="B26" s="59"/>
      <c r="C26" s="69" t="s">
        <v>49</v>
      </c>
      <c r="D26" s="69"/>
      <c r="E26" s="69" t="s">
        <v>8</v>
      </c>
      <c r="F26" s="70">
        <f>IMPORT!L48</f>
        <v>0</v>
      </c>
      <c r="G26" s="71"/>
      <c r="H26" s="93">
        <f>F26</f>
        <v>0</v>
      </c>
    </row>
    <row r="27" spans="1:8" x14ac:dyDescent="0.25">
      <c r="A27" s="57"/>
      <c r="B27" s="59"/>
      <c r="C27" s="86" t="s">
        <v>50</v>
      </c>
      <c r="D27" s="69"/>
      <c r="E27" s="69"/>
      <c r="F27" s="69"/>
      <c r="G27" s="69"/>
      <c r="H27" s="69"/>
    </row>
    <row r="28" spans="1:8" x14ac:dyDescent="0.25">
      <c r="A28" s="57"/>
      <c r="B28" s="59"/>
      <c r="C28" s="69" t="s">
        <v>51</v>
      </c>
      <c r="D28" s="59"/>
      <c r="E28" s="69" t="s">
        <v>8</v>
      </c>
      <c r="F28" s="99">
        <f>IMPORT!L50</f>
        <v>0</v>
      </c>
      <c r="G28" s="73"/>
      <c r="H28" s="94">
        <f>F28</f>
        <v>0</v>
      </c>
    </row>
    <row r="29" spans="1:8" x14ac:dyDescent="0.25">
      <c r="A29" s="57"/>
      <c r="B29" s="59"/>
      <c r="C29" s="69" t="s">
        <v>52</v>
      </c>
      <c r="D29" s="59"/>
      <c r="E29" s="69" t="s">
        <v>8</v>
      </c>
      <c r="F29" s="100">
        <f>IMPORT!L51+IMPORT!L52</f>
        <v>0</v>
      </c>
      <c r="G29" s="73"/>
      <c r="H29" s="95">
        <f>F29</f>
        <v>0</v>
      </c>
    </row>
    <row r="30" spans="1:8" ht="15.75" thickBot="1" x14ac:dyDescent="0.3">
      <c r="A30" s="57"/>
      <c r="B30" s="59"/>
      <c r="C30" s="69" t="s">
        <v>53</v>
      </c>
      <c r="D30" s="69"/>
      <c r="E30" s="69" t="s">
        <v>8</v>
      </c>
      <c r="F30" s="96">
        <f>SUM(F26:F28)-F29</f>
        <v>0</v>
      </c>
      <c r="G30" s="71"/>
      <c r="H30" s="96">
        <f>SUM(H26:H28)-H29</f>
        <v>0</v>
      </c>
    </row>
    <row r="31" spans="1:8" ht="15.75" thickTop="1" x14ac:dyDescent="0.25">
      <c r="A31" s="57"/>
      <c r="B31" s="59"/>
      <c r="C31" s="69"/>
      <c r="D31" s="69"/>
      <c r="E31" s="69"/>
      <c r="F31" s="69"/>
      <c r="G31" s="69"/>
      <c r="H31" s="69"/>
    </row>
    <row r="32" spans="1:8" ht="15.75" thickBot="1" x14ac:dyDescent="0.3">
      <c r="A32" s="57"/>
      <c r="B32" s="77" t="s">
        <v>36</v>
      </c>
      <c r="C32" s="90" t="s">
        <v>54</v>
      </c>
      <c r="D32" s="97"/>
      <c r="E32" s="90" t="s">
        <v>8</v>
      </c>
      <c r="F32" s="98" t="e">
        <f>F12/F30</f>
        <v>#DIV/0!</v>
      </c>
      <c r="G32" s="69"/>
      <c r="H32" s="98" t="e">
        <f>H12/H30</f>
        <v>#DIV/0!</v>
      </c>
    </row>
    <row r="33" spans="1:8" ht="15.75" thickTop="1" x14ac:dyDescent="0.25">
      <c r="A33" s="57"/>
      <c r="B33" s="57"/>
      <c r="C33" s="69"/>
      <c r="D33" s="69"/>
      <c r="E33" s="69"/>
      <c r="F33" s="69"/>
      <c r="G33" s="69"/>
      <c r="H33" s="69"/>
    </row>
  </sheetData>
  <sheetProtection password="CEAA" sheet="1" formatCells="0" formatColumns="0" formatRows="0"/>
  <mergeCells count="4">
    <mergeCell ref="B8:D8"/>
    <mergeCell ref="C22:F22"/>
    <mergeCell ref="C23:C24"/>
    <mergeCell ref="A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70"/>
  <sheetViews>
    <sheetView workbookViewId="0">
      <selection activeCell="A29" sqref="A1:A29"/>
    </sheetView>
  </sheetViews>
  <sheetFormatPr defaultColWidth="9.140625" defaultRowHeight="15" x14ac:dyDescent="0.25"/>
  <cols>
    <col min="1" max="1" width="52" style="1" customWidth="1"/>
    <col min="2" max="3" width="9.140625" style="1"/>
    <col min="4" max="4" width="12.42578125" style="1" customWidth="1"/>
    <col min="5" max="16384" width="9.140625" style="1"/>
  </cols>
  <sheetData>
    <row r="1" spans="1:10" x14ac:dyDescent="0.25">
      <c r="A1" s="223" t="s">
        <v>285</v>
      </c>
      <c r="B1" s="223">
        <v>541777</v>
      </c>
      <c r="D1" s="1" t="s">
        <v>285</v>
      </c>
      <c r="E1" s="1">
        <v>541777</v>
      </c>
      <c r="G1" s="1" t="s">
        <v>21</v>
      </c>
      <c r="I1" s="1" t="b">
        <f>EXACT(A1,D1)</f>
        <v>1</v>
      </c>
      <c r="J1" s="1" t="b">
        <f>EXACT(B1,E1)</f>
        <v>1</v>
      </c>
    </row>
    <row r="2" spans="1:10" ht="15" customHeight="1" x14ac:dyDescent="0.25">
      <c r="A2" s="223" t="s">
        <v>286</v>
      </c>
      <c r="B2" s="223">
        <v>541000</v>
      </c>
      <c r="D2" s="1" t="s">
        <v>286</v>
      </c>
      <c r="E2" s="1">
        <v>541000</v>
      </c>
      <c r="G2" s="1" t="s">
        <v>22</v>
      </c>
      <c r="I2" s="256" t="b">
        <f t="shared" ref="I2:I29" si="0">EXACT(A2,D2)</f>
        <v>1</v>
      </c>
      <c r="J2" s="256" t="b">
        <f t="shared" ref="J2:J29" si="1">EXACT(B2,E2)</f>
        <v>1</v>
      </c>
    </row>
    <row r="3" spans="1:10" ht="15" customHeight="1" x14ac:dyDescent="0.25">
      <c r="A3" s="223" t="s">
        <v>287</v>
      </c>
      <c r="B3" s="223">
        <v>54949</v>
      </c>
      <c r="D3" s="1" t="s">
        <v>287</v>
      </c>
      <c r="E3" s="1">
        <v>54949</v>
      </c>
      <c r="I3" s="256" t="b">
        <f t="shared" si="0"/>
        <v>1</v>
      </c>
      <c r="J3" s="256" t="b">
        <f t="shared" si="1"/>
        <v>1</v>
      </c>
    </row>
    <row r="4" spans="1:10" x14ac:dyDescent="0.25">
      <c r="A4" s="223" t="s">
        <v>288</v>
      </c>
      <c r="B4" s="223">
        <v>54937</v>
      </c>
      <c r="D4" s="1" t="s">
        <v>288</v>
      </c>
      <c r="E4" s="1">
        <v>54937</v>
      </c>
      <c r="I4" s="256" t="b">
        <f t="shared" si="0"/>
        <v>1</v>
      </c>
      <c r="J4" s="256" t="b">
        <f t="shared" si="1"/>
        <v>1</v>
      </c>
    </row>
    <row r="5" spans="1:10" x14ac:dyDescent="0.25">
      <c r="A5" s="223" t="s">
        <v>289</v>
      </c>
      <c r="B5" s="223">
        <v>541001</v>
      </c>
      <c r="D5" s="1" t="s">
        <v>289</v>
      </c>
      <c r="E5" s="1">
        <v>541001</v>
      </c>
      <c r="I5" s="256" t="b">
        <f t="shared" si="0"/>
        <v>1</v>
      </c>
      <c r="J5" s="256" t="b">
        <f t="shared" si="1"/>
        <v>1</v>
      </c>
    </row>
    <row r="6" spans="1:10" x14ac:dyDescent="0.25">
      <c r="A6" s="223" t="s">
        <v>290</v>
      </c>
      <c r="B6" s="223">
        <v>541002</v>
      </c>
      <c r="D6" s="1" t="s">
        <v>290</v>
      </c>
      <c r="E6" s="1">
        <v>541002</v>
      </c>
      <c r="I6" s="256" t="b">
        <f t="shared" si="0"/>
        <v>1</v>
      </c>
      <c r="J6" s="256" t="b">
        <f t="shared" si="1"/>
        <v>1</v>
      </c>
    </row>
    <row r="7" spans="1:10" x14ac:dyDescent="0.25">
      <c r="A7" s="223" t="s">
        <v>291</v>
      </c>
      <c r="B7" s="223">
        <v>541003</v>
      </c>
      <c r="D7" s="1" t="s">
        <v>291</v>
      </c>
      <c r="E7" s="1">
        <v>541003</v>
      </c>
      <c r="I7" s="256" t="b">
        <f t="shared" si="0"/>
        <v>1</v>
      </c>
      <c r="J7" s="256" t="b">
        <f t="shared" si="1"/>
        <v>1</v>
      </c>
    </row>
    <row r="8" spans="1:10" s="256" customFormat="1" x14ac:dyDescent="0.25">
      <c r="A8" s="31" t="s">
        <v>337</v>
      </c>
      <c r="B8" s="259">
        <v>544178</v>
      </c>
      <c r="D8" s="256" t="s">
        <v>337</v>
      </c>
      <c r="E8" s="256">
        <v>544178</v>
      </c>
      <c r="I8" s="256" t="b">
        <f t="shared" si="0"/>
        <v>1</v>
      </c>
      <c r="J8" s="256" t="b">
        <f t="shared" si="1"/>
        <v>1</v>
      </c>
    </row>
    <row r="9" spans="1:10" x14ac:dyDescent="0.25">
      <c r="A9" s="223" t="s">
        <v>292</v>
      </c>
      <c r="B9" s="223">
        <v>541004</v>
      </c>
      <c r="D9" s="1" t="s">
        <v>292</v>
      </c>
      <c r="E9" s="1">
        <v>541004</v>
      </c>
      <c r="I9" s="256" t="b">
        <f t="shared" si="0"/>
        <v>1</v>
      </c>
      <c r="J9" s="256" t="b">
        <f t="shared" si="1"/>
        <v>1</v>
      </c>
    </row>
    <row r="10" spans="1:10" x14ac:dyDescent="0.25">
      <c r="A10" s="223" t="s">
        <v>293</v>
      </c>
      <c r="B10" s="223">
        <v>541727</v>
      </c>
      <c r="D10" s="1" t="s">
        <v>293</v>
      </c>
      <c r="E10" s="1">
        <v>541727</v>
      </c>
      <c r="I10" s="256" t="b">
        <f t="shared" si="0"/>
        <v>1</v>
      </c>
      <c r="J10" s="256" t="b">
        <f t="shared" si="1"/>
        <v>1</v>
      </c>
    </row>
    <row r="11" spans="1:10" x14ac:dyDescent="0.25">
      <c r="A11" s="223" t="s">
        <v>294</v>
      </c>
      <c r="B11" s="223">
        <v>541010</v>
      </c>
      <c r="D11" s="1" t="s">
        <v>294</v>
      </c>
      <c r="E11" s="1">
        <v>541010</v>
      </c>
      <c r="I11" s="256" t="b">
        <f t="shared" si="0"/>
        <v>1</v>
      </c>
      <c r="J11" s="256" t="b">
        <f t="shared" si="1"/>
        <v>1</v>
      </c>
    </row>
    <row r="12" spans="1:10" x14ac:dyDescent="0.25">
      <c r="A12" s="223" t="s">
        <v>295</v>
      </c>
      <c r="B12" s="223">
        <v>541005</v>
      </c>
      <c r="D12" s="1" t="s">
        <v>295</v>
      </c>
      <c r="E12" s="1">
        <v>541005</v>
      </c>
      <c r="I12" s="256" t="b">
        <f t="shared" si="0"/>
        <v>1</v>
      </c>
      <c r="J12" s="256" t="b">
        <f t="shared" si="1"/>
        <v>1</v>
      </c>
    </row>
    <row r="13" spans="1:10" x14ac:dyDescent="0.25">
      <c r="A13" s="223" t="s">
        <v>296</v>
      </c>
      <c r="B13" s="223">
        <v>541025</v>
      </c>
      <c r="D13" s="1" t="s">
        <v>296</v>
      </c>
      <c r="E13" s="1">
        <v>541025</v>
      </c>
      <c r="I13" s="256" t="b">
        <f t="shared" si="0"/>
        <v>1</v>
      </c>
      <c r="J13" s="256" t="b">
        <f t="shared" si="1"/>
        <v>1</v>
      </c>
    </row>
    <row r="14" spans="1:10" x14ac:dyDescent="0.25">
      <c r="A14" s="223" t="s">
        <v>297</v>
      </c>
      <c r="B14" s="223">
        <v>541007</v>
      </c>
      <c r="D14" s="1" t="s">
        <v>297</v>
      </c>
      <c r="E14" s="1">
        <v>541007</v>
      </c>
      <c r="I14" s="256" t="b">
        <f t="shared" si="0"/>
        <v>1</v>
      </c>
      <c r="J14" s="256" t="b">
        <f t="shared" si="1"/>
        <v>1</v>
      </c>
    </row>
    <row r="15" spans="1:10" x14ac:dyDescent="0.25">
      <c r="A15" s="223" t="s">
        <v>298</v>
      </c>
      <c r="B15" s="223">
        <v>541009</v>
      </c>
      <c r="D15" s="1" t="s">
        <v>298</v>
      </c>
      <c r="E15" s="1">
        <v>541009</v>
      </c>
      <c r="I15" s="256" t="b">
        <f t="shared" si="0"/>
        <v>1</v>
      </c>
      <c r="J15" s="256" t="b">
        <f t="shared" si="1"/>
        <v>1</v>
      </c>
    </row>
    <row r="16" spans="1:10" x14ac:dyDescent="0.25">
      <c r="A16" s="223" t="s">
        <v>299</v>
      </c>
      <c r="B16" s="223">
        <v>541024</v>
      </c>
      <c r="D16" s="1" t="s">
        <v>299</v>
      </c>
      <c r="E16" s="1">
        <v>541024</v>
      </c>
      <c r="I16" s="256" t="b">
        <f t="shared" si="0"/>
        <v>1</v>
      </c>
      <c r="J16" s="256" t="b">
        <f t="shared" si="1"/>
        <v>1</v>
      </c>
    </row>
    <row r="17" spans="1:10" x14ac:dyDescent="0.25">
      <c r="A17" s="223" t="s">
        <v>300</v>
      </c>
      <c r="B17" s="223">
        <v>541027</v>
      </c>
      <c r="D17" s="1" t="s">
        <v>300</v>
      </c>
      <c r="E17" s="1">
        <v>541027</v>
      </c>
      <c r="I17" s="256" t="b">
        <f t="shared" si="0"/>
        <v>1</v>
      </c>
      <c r="J17" s="256" t="b">
        <f t="shared" si="1"/>
        <v>1</v>
      </c>
    </row>
    <row r="18" spans="1:10" x14ac:dyDescent="0.25">
      <c r="A18" s="223" t="s">
        <v>301</v>
      </c>
      <c r="B18" s="223">
        <v>541026</v>
      </c>
      <c r="D18" s="1" t="s">
        <v>301</v>
      </c>
      <c r="E18" s="1">
        <v>541026</v>
      </c>
      <c r="I18" s="256" t="b">
        <f t="shared" si="0"/>
        <v>1</v>
      </c>
      <c r="J18" s="256" t="b">
        <f t="shared" si="1"/>
        <v>1</v>
      </c>
    </row>
    <row r="19" spans="1:10" x14ac:dyDescent="0.25">
      <c r="A19" s="223" t="s">
        <v>302</v>
      </c>
      <c r="B19" s="223">
        <v>541011</v>
      </c>
      <c r="D19" s="1" t="s">
        <v>302</v>
      </c>
      <c r="E19" s="1">
        <v>541011</v>
      </c>
      <c r="I19" s="256" t="b">
        <f t="shared" si="0"/>
        <v>1</v>
      </c>
      <c r="J19" s="256" t="b">
        <f t="shared" si="1"/>
        <v>1</v>
      </c>
    </row>
    <row r="20" spans="1:10" x14ac:dyDescent="0.25">
      <c r="A20" s="223" t="s">
        <v>303</v>
      </c>
      <c r="B20" s="223">
        <v>541012</v>
      </c>
      <c r="D20" s="1" t="s">
        <v>303</v>
      </c>
      <c r="E20" s="1">
        <v>541012</v>
      </c>
      <c r="I20" s="256" t="b">
        <f t="shared" si="0"/>
        <v>1</v>
      </c>
      <c r="J20" s="256" t="b">
        <f t="shared" si="1"/>
        <v>1</v>
      </c>
    </row>
    <row r="21" spans="1:10" x14ac:dyDescent="0.25">
      <c r="A21" s="223" t="s">
        <v>304</v>
      </c>
      <c r="B21" s="223">
        <v>541013</v>
      </c>
      <c r="D21" s="1" t="s">
        <v>304</v>
      </c>
      <c r="E21" s="1">
        <v>541013</v>
      </c>
      <c r="I21" s="256" t="b">
        <f t="shared" si="0"/>
        <v>1</v>
      </c>
      <c r="J21" s="256" t="b">
        <f t="shared" si="1"/>
        <v>1</v>
      </c>
    </row>
    <row r="22" spans="1:10" x14ac:dyDescent="0.25">
      <c r="A22" s="223" t="s">
        <v>305</v>
      </c>
      <c r="B22" s="223">
        <v>541014</v>
      </c>
      <c r="D22" s="1" t="s">
        <v>305</v>
      </c>
      <c r="E22" s="1">
        <v>541014</v>
      </c>
      <c r="I22" s="256" t="b">
        <f t="shared" si="0"/>
        <v>1</v>
      </c>
      <c r="J22" s="256" t="b">
        <f t="shared" si="1"/>
        <v>1</v>
      </c>
    </row>
    <row r="23" spans="1:10" x14ac:dyDescent="0.25">
      <c r="A23" s="223" t="s">
        <v>306</v>
      </c>
      <c r="B23" s="223">
        <v>541015</v>
      </c>
      <c r="D23" s="1" t="s">
        <v>306</v>
      </c>
      <c r="E23" s="1">
        <v>541015</v>
      </c>
      <c r="I23" s="256" t="b">
        <f t="shared" si="0"/>
        <v>1</v>
      </c>
      <c r="J23" s="256" t="b">
        <f t="shared" si="1"/>
        <v>1</v>
      </c>
    </row>
    <row r="24" spans="1:10" x14ac:dyDescent="0.25">
      <c r="A24" s="223" t="s">
        <v>307</v>
      </c>
      <c r="B24" s="223">
        <v>541016</v>
      </c>
      <c r="D24" s="1" t="s">
        <v>307</v>
      </c>
      <c r="E24" s="1">
        <v>541016</v>
      </c>
      <c r="I24" s="256" t="b">
        <f t="shared" si="0"/>
        <v>1</v>
      </c>
      <c r="J24" s="256" t="b">
        <f t="shared" si="1"/>
        <v>1</v>
      </c>
    </row>
    <row r="25" spans="1:10" x14ac:dyDescent="0.25">
      <c r="A25" s="223" t="s">
        <v>308</v>
      </c>
      <c r="B25" s="223">
        <v>541017</v>
      </c>
      <c r="D25" s="1" t="s">
        <v>308</v>
      </c>
      <c r="E25" s="1">
        <v>541017</v>
      </c>
      <c r="I25" s="256" t="b">
        <f t="shared" si="0"/>
        <v>1</v>
      </c>
      <c r="J25" s="256" t="b">
        <f t="shared" si="1"/>
        <v>1</v>
      </c>
    </row>
    <row r="26" spans="1:10" x14ac:dyDescent="0.25">
      <c r="A26" s="223" t="s">
        <v>309</v>
      </c>
      <c r="B26" s="223">
        <v>541018</v>
      </c>
      <c r="D26" s="1" t="s">
        <v>309</v>
      </c>
      <c r="E26" s="1">
        <v>541018</v>
      </c>
      <c r="I26" s="256" t="b">
        <f t="shared" si="0"/>
        <v>1</v>
      </c>
      <c r="J26" s="256" t="b">
        <f t="shared" si="1"/>
        <v>1</v>
      </c>
    </row>
    <row r="27" spans="1:10" x14ac:dyDescent="0.25">
      <c r="A27" s="223" t="s">
        <v>310</v>
      </c>
      <c r="B27" s="223">
        <v>541019</v>
      </c>
      <c r="D27" s="1" t="s">
        <v>310</v>
      </c>
      <c r="E27" s="1">
        <v>541019</v>
      </c>
      <c r="I27" s="256" t="b">
        <f t="shared" si="0"/>
        <v>1</v>
      </c>
      <c r="J27" s="256" t="b">
        <f t="shared" si="1"/>
        <v>1</v>
      </c>
    </row>
    <row r="28" spans="1:10" x14ac:dyDescent="0.25">
      <c r="A28" s="223" t="s">
        <v>311</v>
      </c>
      <c r="B28" s="223">
        <v>541020</v>
      </c>
      <c r="D28" s="1" t="s">
        <v>311</v>
      </c>
      <c r="E28" s="1">
        <v>541020</v>
      </c>
      <c r="I28" s="256" t="b">
        <f t="shared" si="0"/>
        <v>1</v>
      </c>
      <c r="J28" s="256" t="b">
        <f t="shared" si="1"/>
        <v>1</v>
      </c>
    </row>
    <row r="29" spans="1:10" x14ac:dyDescent="0.25">
      <c r="A29" s="223" t="s">
        <v>312</v>
      </c>
      <c r="B29" s="223">
        <v>541022</v>
      </c>
      <c r="D29" s="1" t="s">
        <v>312</v>
      </c>
      <c r="E29" s="1">
        <v>541022</v>
      </c>
      <c r="I29" s="256" t="b">
        <f t="shared" si="0"/>
        <v>1</v>
      </c>
      <c r="J29" s="256" t="b">
        <f t="shared" si="1"/>
        <v>1</v>
      </c>
    </row>
    <row r="30" spans="1:10" x14ac:dyDescent="0.25">
      <c r="A30" s="223"/>
      <c r="B30" s="223"/>
    </row>
    <row r="31" spans="1:10" x14ac:dyDescent="0.25">
      <c r="A31" s="223"/>
      <c r="B31" s="223"/>
    </row>
    <row r="32" spans="1:10" x14ac:dyDescent="0.25">
      <c r="A32" s="223"/>
      <c r="B32" s="223"/>
    </row>
    <row r="33" spans="1:2" x14ac:dyDescent="0.25">
      <c r="A33" s="223"/>
      <c r="B33" s="223"/>
    </row>
    <row r="34" spans="1:2" x14ac:dyDescent="0.25">
      <c r="A34" s="223"/>
      <c r="B34" s="223"/>
    </row>
    <row r="35" spans="1:2" x14ac:dyDescent="0.25">
      <c r="A35" s="223"/>
      <c r="B35" s="223"/>
    </row>
    <row r="36" spans="1:2" x14ac:dyDescent="0.25">
      <c r="A36" s="223"/>
      <c r="B36" s="223"/>
    </row>
    <row r="37" spans="1:2" x14ac:dyDescent="0.25">
      <c r="A37" s="223"/>
      <c r="B37" s="223"/>
    </row>
    <row r="38" spans="1:2" x14ac:dyDescent="0.25">
      <c r="A38" s="223"/>
      <c r="B38" s="223"/>
    </row>
    <row r="39" spans="1:2" x14ac:dyDescent="0.25">
      <c r="A39" s="223"/>
      <c r="B39" s="223"/>
    </row>
    <row r="40" spans="1:2" x14ac:dyDescent="0.25">
      <c r="A40" s="223"/>
      <c r="B40" s="223"/>
    </row>
    <row r="41" spans="1:2" x14ac:dyDescent="0.25">
      <c r="A41" s="223"/>
      <c r="B41" s="223"/>
    </row>
    <row r="42" spans="1:2" x14ac:dyDescent="0.25">
      <c r="A42" s="223"/>
      <c r="B42" s="223"/>
    </row>
    <row r="43" spans="1:2" x14ac:dyDescent="0.25">
      <c r="A43" s="223"/>
      <c r="B43" s="223"/>
    </row>
    <row r="44" spans="1:2" x14ac:dyDescent="0.25">
      <c r="A44" s="223"/>
      <c r="B44" s="223"/>
    </row>
    <row r="45" spans="1:2" x14ac:dyDescent="0.25">
      <c r="A45" s="223"/>
      <c r="B45" s="223"/>
    </row>
    <row r="46" spans="1:2" x14ac:dyDescent="0.25">
      <c r="A46" s="223"/>
      <c r="B46" s="223"/>
    </row>
    <row r="47" spans="1:2" x14ac:dyDescent="0.25">
      <c r="A47" s="223"/>
      <c r="B47" s="223"/>
    </row>
    <row r="48" spans="1:2" x14ac:dyDescent="0.25">
      <c r="A48" s="223"/>
      <c r="B48" s="223"/>
    </row>
    <row r="49" spans="1:2" x14ac:dyDescent="0.25">
      <c r="A49" s="223"/>
      <c r="B49" s="223"/>
    </row>
    <row r="50" spans="1:2" x14ac:dyDescent="0.25">
      <c r="A50" s="223"/>
      <c r="B50" s="223"/>
    </row>
    <row r="51" spans="1:2" x14ac:dyDescent="0.25">
      <c r="A51" s="223"/>
      <c r="B51" s="223"/>
    </row>
    <row r="52" spans="1:2" x14ac:dyDescent="0.25">
      <c r="A52" s="223"/>
      <c r="B52" s="223"/>
    </row>
    <row r="53" spans="1:2" x14ac:dyDescent="0.25">
      <c r="A53" s="223"/>
      <c r="B53" s="223"/>
    </row>
    <row r="54" spans="1:2" x14ac:dyDescent="0.25">
      <c r="A54" s="223"/>
      <c r="B54" s="223"/>
    </row>
    <row r="55" spans="1:2" x14ac:dyDescent="0.25">
      <c r="A55" s="223"/>
      <c r="B55" s="223"/>
    </row>
    <row r="56" spans="1:2" x14ac:dyDescent="0.25">
      <c r="A56" s="223"/>
      <c r="B56" s="223"/>
    </row>
    <row r="57" spans="1:2" x14ac:dyDescent="0.25">
      <c r="A57" s="223"/>
      <c r="B57" s="223"/>
    </row>
    <row r="58" spans="1:2" x14ac:dyDescent="0.25">
      <c r="A58" s="223"/>
      <c r="B58" s="223"/>
    </row>
    <row r="59" spans="1:2" x14ac:dyDescent="0.25">
      <c r="A59" s="223"/>
      <c r="B59" s="223"/>
    </row>
    <row r="60" spans="1:2" x14ac:dyDescent="0.25">
      <c r="A60" s="223"/>
      <c r="B60" s="223"/>
    </row>
    <row r="61" spans="1:2" x14ac:dyDescent="0.25">
      <c r="A61" s="223"/>
      <c r="B61" s="223"/>
    </row>
    <row r="62" spans="1:2" x14ac:dyDescent="0.25">
      <c r="A62" s="223"/>
      <c r="B62" s="223"/>
    </row>
    <row r="63" spans="1:2" x14ac:dyDescent="0.25">
      <c r="A63" s="223"/>
      <c r="B63" s="223"/>
    </row>
    <row r="64" spans="1:2" x14ac:dyDescent="0.25">
      <c r="A64" s="223"/>
      <c r="B64" s="223"/>
    </row>
    <row r="65" spans="1:2" x14ac:dyDescent="0.25">
      <c r="A65" s="223"/>
      <c r="B65" s="223"/>
    </row>
    <row r="66" spans="1:2" x14ac:dyDescent="0.25">
      <c r="A66" s="223"/>
      <c r="B66" s="223"/>
    </row>
    <row r="67" spans="1:2" x14ac:dyDescent="0.25">
      <c r="A67" s="223"/>
      <c r="B67" s="223"/>
    </row>
    <row r="68" spans="1:2" x14ac:dyDescent="0.25">
      <c r="A68" s="223"/>
      <c r="B68" s="223"/>
    </row>
    <row r="69" spans="1:2" x14ac:dyDescent="0.25">
      <c r="A69" s="223"/>
      <c r="B69" s="223"/>
    </row>
    <row r="70" spans="1:2" x14ac:dyDescent="0.25">
      <c r="A70" s="223"/>
      <c r="B70" s="223"/>
    </row>
  </sheetData>
  <sheetProtection password="CEAA" sheet="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69"/>
  <sheetViews>
    <sheetView workbookViewId="0">
      <pane xSplit="3" ySplit="1" topLeftCell="D2" activePane="bottomRight" state="frozen"/>
      <selection pane="topRight" activeCell="D1" sqref="D1"/>
      <selection pane="bottomLeft" activeCell="A2" sqref="A2"/>
      <selection pane="bottomRight" activeCell="D10" sqref="D10"/>
    </sheetView>
  </sheetViews>
  <sheetFormatPr defaultRowHeight="15" x14ac:dyDescent="0.25"/>
  <cols>
    <col min="1" max="1" width="8.7109375" customWidth="1"/>
    <col min="3" max="3" width="27.140625" customWidth="1"/>
    <col min="4" max="4" width="18.7109375" customWidth="1"/>
    <col min="5" max="5" width="17.42578125" customWidth="1"/>
    <col min="6" max="23" width="12.85546875" customWidth="1"/>
    <col min="24" max="24" width="17.28515625" customWidth="1"/>
    <col min="25" max="25" width="16.5703125" customWidth="1"/>
    <col min="26" max="26" width="12.85546875" customWidth="1"/>
    <col min="27" max="27" width="16.28515625" customWidth="1"/>
    <col min="28" max="32" width="12.85546875" customWidth="1"/>
  </cols>
  <sheetData>
    <row r="1" spans="1:32" ht="75" x14ac:dyDescent="0.25">
      <c r="A1" s="262" t="s">
        <v>355</v>
      </c>
      <c r="B1" t="s">
        <v>213</v>
      </c>
      <c r="C1" t="s">
        <v>13</v>
      </c>
      <c r="D1" s="262" t="s">
        <v>285</v>
      </c>
      <c r="E1" s="262" t="s">
        <v>286</v>
      </c>
      <c r="F1" s="262" t="s">
        <v>287</v>
      </c>
      <c r="G1" s="262" t="s">
        <v>288</v>
      </c>
      <c r="H1" s="262" t="s">
        <v>289</v>
      </c>
      <c r="I1" s="262" t="s">
        <v>290</v>
      </c>
      <c r="J1" s="262" t="s">
        <v>291</v>
      </c>
      <c r="K1" s="262" t="s">
        <v>337</v>
      </c>
      <c r="L1" s="262" t="s">
        <v>292</v>
      </c>
      <c r="M1" s="262" t="s">
        <v>293</v>
      </c>
      <c r="N1" s="262" t="s">
        <v>294</v>
      </c>
      <c r="O1" s="262" t="s">
        <v>295</v>
      </c>
      <c r="P1" s="262" t="s">
        <v>296</v>
      </c>
      <c r="Q1" s="262" t="s">
        <v>297</v>
      </c>
      <c r="R1" s="262" t="s">
        <v>298</v>
      </c>
      <c r="S1" s="262" t="s">
        <v>299</v>
      </c>
      <c r="T1" s="262" t="s">
        <v>300</v>
      </c>
      <c r="U1" s="262" t="s">
        <v>301</v>
      </c>
      <c r="V1" s="262" t="s">
        <v>302</v>
      </c>
      <c r="W1" s="262" t="s">
        <v>303</v>
      </c>
      <c r="X1" s="262" t="s">
        <v>304</v>
      </c>
      <c r="Y1" s="262" t="s">
        <v>305</v>
      </c>
      <c r="Z1" s="262" t="s">
        <v>306</v>
      </c>
      <c r="AA1" s="262" t="s">
        <v>307</v>
      </c>
      <c r="AB1" s="262" t="s">
        <v>308</v>
      </c>
      <c r="AC1" s="262" t="s">
        <v>309</v>
      </c>
      <c r="AD1" s="262" t="s">
        <v>310</v>
      </c>
      <c r="AE1" s="262" t="s">
        <v>311</v>
      </c>
      <c r="AF1" s="262" t="s">
        <v>312</v>
      </c>
    </row>
    <row r="2" spans="1:32" x14ac:dyDescent="0.25">
      <c r="D2">
        <v>541777</v>
      </c>
      <c r="E2">
        <v>541000</v>
      </c>
      <c r="F2">
        <v>54949</v>
      </c>
      <c r="G2">
        <v>54937</v>
      </c>
      <c r="H2">
        <v>541001</v>
      </c>
      <c r="I2">
        <v>541002</v>
      </c>
      <c r="J2">
        <v>541003</v>
      </c>
      <c r="K2">
        <v>544178</v>
      </c>
      <c r="L2">
        <v>541004</v>
      </c>
      <c r="M2">
        <v>541727</v>
      </c>
      <c r="N2">
        <v>541010</v>
      </c>
      <c r="O2">
        <v>541005</v>
      </c>
      <c r="P2">
        <v>541025</v>
      </c>
      <c r="Q2">
        <v>541007</v>
      </c>
      <c r="R2">
        <v>541009</v>
      </c>
      <c r="S2">
        <v>541024</v>
      </c>
      <c r="T2">
        <v>541027</v>
      </c>
      <c r="U2">
        <v>541026</v>
      </c>
      <c r="V2">
        <v>541011</v>
      </c>
      <c r="W2">
        <v>541012</v>
      </c>
      <c r="X2">
        <v>541013</v>
      </c>
      <c r="Y2">
        <v>541014</v>
      </c>
      <c r="Z2">
        <v>541015</v>
      </c>
      <c r="AA2">
        <v>541016</v>
      </c>
      <c r="AB2">
        <v>541017</v>
      </c>
      <c r="AC2">
        <v>541018</v>
      </c>
      <c r="AD2">
        <v>541019</v>
      </c>
      <c r="AE2">
        <v>541020</v>
      </c>
      <c r="AF2">
        <v>541022</v>
      </c>
    </row>
    <row r="3" spans="1:32" x14ac:dyDescent="0.25">
      <c r="B3">
        <v>10</v>
      </c>
      <c r="C3" t="s">
        <v>214</v>
      </c>
      <c r="D3">
        <v>0</v>
      </c>
      <c r="E3">
        <v>0</v>
      </c>
      <c r="F3">
        <v>0</v>
      </c>
      <c r="G3">
        <v>0</v>
      </c>
      <c r="H3">
        <v>0</v>
      </c>
      <c r="I3">
        <v>0</v>
      </c>
      <c r="J3">
        <v>0</v>
      </c>
      <c r="K3">
        <v>0</v>
      </c>
      <c r="L3">
        <v>0</v>
      </c>
      <c r="M3">
        <v>0</v>
      </c>
      <c r="N3">
        <v>0</v>
      </c>
      <c r="O3">
        <v>0</v>
      </c>
      <c r="P3">
        <v>0</v>
      </c>
      <c r="Q3">
        <v>0</v>
      </c>
      <c r="R3">
        <v>0</v>
      </c>
      <c r="S3">
        <v>0</v>
      </c>
      <c r="T3">
        <v>0</v>
      </c>
      <c r="U3">
        <v>0</v>
      </c>
      <c r="V3">
        <v>0</v>
      </c>
      <c r="W3">
        <v>0</v>
      </c>
      <c r="X3">
        <v>0</v>
      </c>
      <c r="Y3">
        <v>0</v>
      </c>
      <c r="Z3">
        <v>0</v>
      </c>
      <c r="AA3">
        <v>0</v>
      </c>
      <c r="AB3">
        <v>0</v>
      </c>
      <c r="AC3">
        <v>0</v>
      </c>
      <c r="AD3">
        <v>0</v>
      </c>
      <c r="AE3">
        <v>0</v>
      </c>
      <c r="AF3">
        <v>0</v>
      </c>
    </row>
    <row r="4" spans="1:32" x14ac:dyDescent="0.25">
      <c r="A4">
        <v>4</v>
      </c>
      <c r="B4">
        <v>4</v>
      </c>
      <c r="C4" t="s">
        <v>66</v>
      </c>
      <c r="D4" s="275">
        <v>8462</v>
      </c>
      <c r="E4">
        <v>0</v>
      </c>
      <c r="F4">
        <v>0</v>
      </c>
      <c r="G4" s="275">
        <v>14614</v>
      </c>
      <c r="H4">
        <v>0</v>
      </c>
      <c r="I4">
        <v>0</v>
      </c>
      <c r="J4">
        <v>0</v>
      </c>
      <c r="K4">
        <v>0</v>
      </c>
      <c r="L4">
        <v>0</v>
      </c>
      <c r="M4" s="275">
        <v>5111</v>
      </c>
      <c r="N4">
        <v>0</v>
      </c>
      <c r="O4">
        <v>0</v>
      </c>
      <c r="P4">
        <v>0</v>
      </c>
      <c r="Q4">
        <v>0</v>
      </c>
      <c r="R4">
        <v>0</v>
      </c>
      <c r="S4">
        <v>0</v>
      </c>
      <c r="T4">
        <v>0</v>
      </c>
      <c r="U4">
        <v>0</v>
      </c>
      <c r="V4">
        <v>0</v>
      </c>
      <c r="W4">
        <v>0</v>
      </c>
      <c r="X4">
        <v>0</v>
      </c>
      <c r="Y4">
        <v>0</v>
      </c>
      <c r="Z4">
        <v>0</v>
      </c>
      <c r="AA4">
        <v>0</v>
      </c>
      <c r="AB4">
        <v>0</v>
      </c>
      <c r="AC4">
        <v>0</v>
      </c>
      <c r="AD4">
        <v>0</v>
      </c>
      <c r="AE4">
        <v>159</v>
      </c>
      <c r="AF4">
        <v>0</v>
      </c>
    </row>
    <row r="5" spans="1:32" x14ac:dyDescent="0.25">
      <c r="A5">
        <v>5</v>
      </c>
      <c r="B5">
        <v>5</v>
      </c>
      <c r="C5" t="s">
        <v>67</v>
      </c>
      <c r="D5">
        <v>0</v>
      </c>
      <c r="E5">
        <v>0</v>
      </c>
      <c r="F5">
        <v>0</v>
      </c>
      <c r="G5" s="275">
        <v>17785</v>
      </c>
      <c r="H5">
        <v>0</v>
      </c>
      <c r="I5">
        <v>0</v>
      </c>
      <c r="J5">
        <v>0</v>
      </c>
      <c r="K5">
        <v>0</v>
      </c>
      <c r="L5">
        <v>0</v>
      </c>
      <c r="M5">
        <v>0</v>
      </c>
      <c r="N5">
        <v>0</v>
      </c>
      <c r="O5">
        <v>0</v>
      </c>
      <c r="P5">
        <v>0</v>
      </c>
      <c r="Q5">
        <v>0</v>
      </c>
      <c r="R5">
        <v>0</v>
      </c>
      <c r="S5">
        <v>0</v>
      </c>
      <c r="T5">
        <v>0</v>
      </c>
      <c r="U5">
        <v>0</v>
      </c>
      <c r="V5">
        <v>0</v>
      </c>
      <c r="W5">
        <v>0</v>
      </c>
      <c r="X5">
        <v>0</v>
      </c>
      <c r="Y5">
        <v>0</v>
      </c>
      <c r="Z5">
        <v>0</v>
      </c>
      <c r="AA5">
        <v>0</v>
      </c>
      <c r="AB5">
        <v>0</v>
      </c>
      <c r="AC5">
        <v>0</v>
      </c>
      <c r="AD5">
        <v>0</v>
      </c>
      <c r="AE5">
        <v>0</v>
      </c>
      <c r="AF5">
        <v>0</v>
      </c>
    </row>
    <row r="6" spans="1:32" x14ac:dyDescent="0.25">
      <c r="A6">
        <v>6</v>
      </c>
      <c r="B6">
        <v>6</v>
      </c>
      <c r="C6" t="s">
        <v>147</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row>
    <row r="7" spans="1:32" x14ac:dyDescent="0.25">
      <c r="A7">
        <v>7</v>
      </c>
      <c r="B7">
        <v>7</v>
      </c>
      <c r="C7" t="s">
        <v>128</v>
      </c>
      <c r="D7" s="275">
        <v>9293</v>
      </c>
      <c r="E7">
        <v>0</v>
      </c>
      <c r="F7">
        <v>0</v>
      </c>
      <c r="G7" s="275">
        <v>1108</v>
      </c>
      <c r="H7">
        <v>0</v>
      </c>
      <c r="I7">
        <v>0</v>
      </c>
      <c r="J7">
        <v>0</v>
      </c>
      <c r="K7">
        <v>0</v>
      </c>
      <c r="L7">
        <v>0</v>
      </c>
      <c r="M7">
        <v>980</v>
      </c>
      <c r="N7">
        <v>0</v>
      </c>
      <c r="O7">
        <v>0</v>
      </c>
      <c r="P7">
        <v>0</v>
      </c>
      <c r="Q7">
        <v>0</v>
      </c>
      <c r="R7">
        <v>0</v>
      </c>
      <c r="S7">
        <v>0</v>
      </c>
      <c r="T7">
        <v>0</v>
      </c>
      <c r="U7">
        <v>0</v>
      </c>
      <c r="V7">
        <v>0</v>
      </c>
      <c r="W7">
        <v>0</v>
      </c>
      <c r="X7">
        <v>0</v>
      </c>
      <c r="Y7">
        <v>0</v>
      </c>
      <c r="Z7">
        <v>0</v>
      </c>
      <c r="AA7">
        <v>0</v>
      </c>
      <c r="AB7">
        <v>0</v>
      </c>
      <c r="AC7">
        <v>0</v>
      </c>
      <c r="AD7">
        <v>0</v>
      </c>
      <c r="AE7" s="275">
        <v>5029</v>
      </c>
      <c r="AF7">
        <v>0</v>
      </c>
    </row>
    <row r="8" spans="1:32" x14ac:dyDescent="0.25">
      <c r="A8">
        <v>9</v>
      </c>
      <c r="B8">
        <v>9</v>
      </c>
      <c r="C8" t="s">
        <v>129</v>
      </c>
      <c r="D8" s="275">
        <v>377791</v>
      </c>
      <c r="E8">
        <v>0</v>
      </c>
      <c r="F8">
        <v>0</v>
      </c>
      <c r="G8" s="275">
        <v>232472</v>
      </c>
      <c r="H8">
        <v>0</v>
      </c>
      <c r="I8">
        <v>0</v>
      </c>
      <c r="J8">
        <v>0</v>
      </c>
      <c r="K8">
        <v>0</v>
      </c>
      <c r="L8">
        <v>0</v>
      </c>
      <c r="M8" s="275">
        <v>188525</v>
      </c>
      <c r="N8">
        <v>0</v>
      </c>
      <c r="O8">
        <v>0</v>
      </c>
      <c r="P8">
        <v>0</v>
      </c>
      <c r="Q8">
        <v>0</v>
      </c>
      <c r="R8">
        <v>0</v>
      </c>
      <c r="S8">
        <v>0</v>
      </c>
      <c r="T8">
        <v>0</v>
      </c>
      <c r="U8">
        <v>0</v>
      </c>
      <c r="V8">
        <v>0</v>
      </c>
      <c r="W8">
        <v>0</v>
      </c>
      <c r="X8">
        <v>0</v>
      </c>
      <c r="Y8">
        <v>0</v>
      </c>
      <c r="Z8">
        <v>0</v>
      </c>
      <c r="AA8">
        <v>0</v>
      </c>
      <c r="AB8">
        <v>0</v>
      </c>
      <c r="AC8">
        <v>0</v>
      </c>
      <c r="AD8">
        <v>0</v>
      </c>
      <c r="AE8" s="275">
        <v>24686</v>
      </c>
      <c r="AF8">
        <v>0</v>
      </c>
    </row>
    <row r="9" spans="1:32" x14ac:dyDescent="0.25">
      <c r="B9">
        <v>12</v>
      </c>
      <c r="C9" t="s">
        <v>215</v>
      </c>
      <c r="D9">
        <v>0</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row>
    <row r="10" spans="1:32" x14ac:dyDescent="0.25">
      <c r="A10">
        <v>13</v>
      </c>
      <c r="B10">
        <v>13</v>
      </c>
      <c r="C10" t="s">
        <v>216</v>
      </c>
      <c r="D10">
        <v>0</v>
      </c>
      <c r="E10" s="275">
        <v>24232591</v>
      </c>
      <c r="F10" s="275">
        <v>151135</v>
      </c>
      <c r="G10">
        <v>0</v>
      </c>
      <c r="H10" s="275">
        <v>650517</v>
      </c>
      <c r="I10" s="275">
        <v>1124454</v>
      </c>
      <c r="J10" s="275">
        <v>4324596</v>
      </c>
      <c r="K10" s="275">
        <v>492995</v>
      </c>
      <c r="L10" s="275">
        <v>344944</v>
      </c>
      <c r="M10">
        <v>0</v>
      </c>
      <c r="N10" s="275">
        <v>1102888</v>
      </c>
      <c r="O10" s="275">
        <v>696062</v>
      </c>
      <c r="P10" s="275">
        <v>200816</v>
      </c>
      <c r="Q10" s="275">
        <v>864450</v>
      </c>
      <c r="R10" s="275">
        <v>3572100</v>
      </c>
      <c r="S10" s="275">
        <v>578552</v>
      </c>
      <c r="T10" s="275">
        <v>429174</v>
      </c>
      <c r="U10" s="275">
        <v>81832</v>
      </c>
      <c r="V10" s="275">
        <v>2482734</v>
      </c>
      <c r="W10" s="275">
        <v>859164</v>
      </c>
      <c r="X10" s="275">
        <v>26338689</v>
      </c>
      <c r="Y10" s="275">
        <v>70368590</v>
      </c>
      <c r="Z10" s="275">
        <v>1638340</v>
      </c>
      <c r="AA10" s="275">
        <v>308827235</v>
      </c>
      <c r="AB10" s="275">
        <v>278629</v>
      </c>
      <c r="AC10">
        <v>0</v>
      </c>
      <c r="AD10" s="275">
        <v>1454293</v>
      </c>
      <c r="AE10">
        <v>0</v>
      </c>
      <c r="AF10" s="275">
        <v>94578</v>
      </c>
    </row>
    <row r="11" spans="1:32" x14ac:dyDescent="0.25">
      <c r="A11">
        <v>14</v>
      </c>
      <c r="B11">
        <v>14</v>
      </c>
      <c r="C11" t="s">
        <v>217</v>
      </c>
      <c r="D11">
        <v>0</v>
      </c>
      <c r="E11" s="275">
        <v>4291842</v>
      </c>
      <c r="F11" s="275">
        <v>12558</v>
      </c>
      <c r="G11">
        <v>0</v>
      </c>
      <c r="H11" s="275">
        <v>77866</v>
      </c>
      <c r="I11" s="275">
        <v>337773</v>
      </c>
      <c r="J11" s="275">
        <v>147812</v>
      </c>
      <c r="K11" s="275">
        <v>227783</v>
      </c>
      <c r="L11" s="275">
        <v>86863</v>
      </c>
      <c r="M11">
        <v>0</v>
      </c>
      <c r="N11" s="275">
        <v>34962</v>
      </c>
      <c r="O11" s="275">
        <v>64781</v>
      </c>
      <c r="P11" s="275">
        <v>9192</v>
      </c>
      <c r="Q11" s="275">
        <v>53647</v>
      </c>
      <c r="R11" s="275">
        <v>1382698</v>
      </c>
      <c r="S11" s="275">
        <v>79278</v>
      </c>
      <c r="T11" s="275">
        <v>58578</v>
      </c>
      <c r="U11" s="275">
        <v>1265</v>
      </c>
      <c r="V11" s="275">
        <v>128125</v>
      </c>
      <c r="W11" s="275">
        <v>19889</v>
      </c>
      <c r="X11" s="275">
        <v>4226015</v>
      </c>
      <c r="Y11" s="275">
        <v>17647991</v>
      </c>
      <c r="Z11" s="275">
        <v>137457</v>
      </c>
      <c r="AA11" s="275">
        <v>60495436</v>
      </c>
      <c r="AB11" s="275">
        <v>205221</v>
      </c>
      <c r="AC11">
        <v>0</v>
      </c>
      <c r="AD11" s="275">
        <v>1247214</v>
      </c>
      <c r="AE11">
        <v>0</v>
      </c>
      <c r="AF11">
        <v>156</v>
      </c>
    </row>
    <row r="12" spans="1:32" x14ac:dyDescent="0.25">
      <c r="A12">
        <v>16</v>
      </c>
      <c r="B12">
        <v>16</v>
      </c>
      <c r="C12" t="s">
        <v>218</v>
      </c>
      <c r="D12" s="275">
        <v>200937</v>
      </c>
      <c r="E12">
        <v>0</v>
      </c>
      <c r="F12">
        <v>0</v>
      </c>
      <c r="G12" s="275">
        <v>297580</v>
      </c>
      <c r="H12">
        <v>0</v>
      </c>
      <c r="I12">
        <v>0</v>
      </c>
      <c r="J12">
        <v>0</v>
      </c>
      <c r="K12">
        <v>0</v>
      </c>
      <c r="L12">
        <v>0</v>
      </c>
      <c r="M12" s="275">
        <v>155329</v>
      </c>
      <c r="N12">
        <v>0</v>
      </c>
      <c r="O12">
        <v>0</v>
      </c>
      <c r="P12">
        <v>0</v>
      </c>
      <c r="Q12">
        <v>0</v>
      </c>
      <c r="R12">
        <v>0</v>
      </c>
      <c r="S12">
        <v>0</v>
      </c>
      <c r="T12">
        <v>0</v>
      </c>
      <c r="U12">
        <v>0</v>
      </c>
      <c r="V12">
        <v>0</v>
      </c>
      <c r="W12">
        <v>0</v>
      </c>
      <c r="X12">
        <v>0</v>
      </c>
      <c r="Y12">
        <v>0</v>
      </c>
      <c r="Z12">
        <v>0</v>
      </c>
      <c r="AA12">
        <v>0</v>
      </c>
      <c r="AB12">
        <v>0</v>
      </c>
      <c r="AC12">
        <v>0</v>
      </c>
      <c r="AD12">
        <v>0</v>
      </c>
      <c r="AE12" s="275">
        <v>13730</v>
      </c>
      <c r="AF12">
        <v>0</v>
      </c>
    </row>
    <row r="13" spans="1:32" x14ac:dyDescent="0.25">
      <c r="A13">
        <v>17</v>
      </c>
      <c r="B13">
        <v>17</v>
      </c>
      <c r="C13" t="s">
        <v>219</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c r="AD13">
        <v>0</v>
      </c>
      <c r="AE13">
        <v>0</v>
      </c>
      <c r="AF13">
        <v>0</v>
      </c>
    </row>
    <row r="14" spans="1:32" x14ac:dyDescent="0.25">
      <c r="B14">
        <v>19</v>
      </c>
      <c r="C14" t="s">
        <v>220</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0</v>
      </c>
      <c r="AF14">
        <v>0</v>
      </c>
    </row>
    <row r="15" spans="1:32" x14ac:dyDescent="0.25">
      <c r="A15">
        <v>193</v>
      </c>
      <c r="B15">
        <v>193</v>
      </c>
      <c r="C15" t="s">
        <v>221</v>
      </c>
      <c r="D15">
        <v>0</v>
      </c>
      <c r="E15" s="275">
        <v>7036684</v>
      </c>
      <c r="F15" s="275">
        <v>1399310</v>
      </c>
      <c r="G15">
        <v>0</v>
      </c>
      <c r="H15" s="275">
        <v>37267</v>
      </c>
      <c r="I15" s="275">
        <v>1621202</v>
      </c>
      <c r="J15" s="275">
        <v>257840</v>
      </c>
      <c r="K15">
        <v>0</v>
      </c>
      <c r="L15" s="275">
        <v>40696</v>
      </c>
      <c r="M15">
        <v>0</v>
      </c>
      <c r="N15" s="275">
        <v>255636</v>
      </c>
      <c r="O15" s="275">
        <v>3391660</v>
      </c>
      <c r="P15">
        <v>0</v>
      </c>
      <c r="Q15" s="275">
        <v>1023147</v>
      </c>
      <c r="R15" s="275">
        <v>1720407</v>
      </c>
      <c r="S15">
        <v>0</v>
      </c>
      <c r="T15" s="275">
        <v>264155</v>
      </c>
      <c r="U15" s="275">
        <v>995387</v>
      </c>
      <c r="V15" s="275">
        <v>75189</v>
      </c>
      <c r="W15" s="275">
        <v>4270532</v>
      </c>
      <c r="X15" s="275">
        <v>8891667</v>
      </c>
      <c r="Y15" s="275">
        <v>13326422</v>
      </c>
      <c r="Z15" s="275">
        <v>13776672</v>
      </c>
      <c r="AA15" s="275">
        <v>53820449</v>
      </c>
      <c r="AB15" s="275">
        <v>1295682</v>
      </c>
      <c r="AC15">
        <v>0</v>
      </c>
      <c r="AD15">
        <v>0</v>
      </c>
      <c r="AE15">
        <v>0</v>
      </c>
      <c r="AF15" s="275">
        <v>101958</v>
      </c>
    </row>
    <row r="16" spans="1:32" x14ac:dyDescent="0.25">
      <c r="A16">
        <v>20</v>
      </c>
      <c r="B16">
        <v>20</v>
      </c>
      <c r="C16" t="s">
        <v>222</v>
      </c>
      <c r="D16" s="275">
        <v>13574</v>
      </c>
      <c r="E16">
        <v>0</v>
      </c>
      <c r="F16">
        <v>0</v>
      </c>
      <c r="G16" s="275">
        <v>840042</v>
      </c>
      <c r="H16">
        <v>0</v>
      </c>
      <c r="I16">
        <v>0</v>
      </c>
      <c r="J16">
        <v>0</v>
      </c>
      <c r="K16">
        <v>0</v>
      </c>
      <c r="L16">
        <v>0</v>
      </c>
      <c r="M16">
        <v>0</v>
      </c>
      <c r="N16">
        <v>0</v>
      </c>
      <c r="O16">
        <v>0</v>
      </c>
      <c r="P16">
        <v>0</v>
      </c>
      <c r="Q16">
        <v>0</v>
      </c>
      <c r="R16">
        <v>0</v>
      </c>
      <c r="S16">
        <v>0</v>
      </c>
      <c r="T16">
        <v>0</v>
      </c>
      <c r="U16">
        <v>0</v>
      </c>
      <c r="V16">
        <v>0</v>
      </c>
      <c r="W16">
        <v>0</v>
      </c>
      <c r="X16">
        <v>0</v>
      </c>
      <c r="Y16">
        <v>0</v>
      </c>
      <c r="Z16">
        <v>0</v>
      </c>
      <c r="AA16">
        <v>0</v>
      </c>
      <c r="AB16">
        <v>0</v>
      </c>
      <c r="AC16">
        <v>0</v>
      </c>
      <c r="AD16">
        <v>0</v>
      </c>
      <c r="AE16">
        <v>0</v>
      </c>
      <c r="AF16">
        <v>0</v>
      </c>
    </row>
    <row r="17" spans="1:32" x14ac:dyDescent="0.25">
      <c r="B17">
        <v>21</v>
      </c>
      <c r="C17" t="s">
        <v>223</v>
      </c>
      <c r="D17">
        <v>0</v>
      </c>
      <c r="E17">
        <v>0</v>
      </c>
      <c r="F17">
        <v>0</v>
      </c>
      <c r="G17">
        <v>0</v>
      </c>
      <c r="H17">
        <v>0</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0</v>
      </c>
      <c r="AE17">
        <v>0</v>
      </c>
      <c r="AF17">
        <v>0</v>
      </c>
    </row>
    <row r="18" spans="1:32" x14ac:dyDescent="0.25">
      <c r="A18">
        <v>22</v>
      </c>
      <c r="B18">
        <v>22</v>
      </c>
      <c r="C18" t="s">
        <v>224</v>
      </c>
      <c r="D18" s="275">
        <v>50813</v>
      </c>
      <c r="E18">
        <v>0</v>
      </c>
      <c r="F18">
        <v>0</v>
      </c>
      <c r="G18">
        <v>0</v>
      </c>
      <c r="H18">
        <v>0</v>
      </c>
      <c r="I18">
        <v>0</v>
      </c>
      <c r="J18">
        <v>0</v>
      </c>
      <c r="K18">
        <v>0</v>
      </c>
      <c r="L18">
        <v>0</v>
      </c>
      <c r="M18">
        <v>0</v>
      </c>
      <c r="N18">
        <v>0</v>
      </c>
      <c r="O18">
        <v>0</v>
      </c>
      <c r="P18">
        <v>0</v>
      </c>
      <c r="Q18">
        <v>0</v>
      </c>
      <c r="R18">
        <v>0</v>
      </c>
      <c r="S18">
        <v>0</v>
      </c>
      <c r="T18">
        <v>0</v>
      </c>
      <c r="U18">
        <v>0</v>
      </c>
      <c r="V18">
        <v>0</v>
      </c>
      <c r="W18">
        <v>0</v>
      </c>
      <c r="X18">
        <v>0</v>
      </c>
      <c r="Y18">
        <v>0</v>
      </c>
      <c r="Z18">
        <v>0</v>
      </c>
      <c r="AA18">
        <v>0</v>
      </c>
      <c r="AB18">
        <v>0</v>
      </c>
      <c r="AC18">
        <v>0</v>
      </c>
      <c r="AD18">
        <v>0</v>
      </c>
      <c r="AE18">
        <v>0</v>
      </c>
      <c r="AF18">
        <v>0</v>
      </c>
    </row>
    <row r="19" spans="1:32" x14ac:dyDescent="0.25">
      <c r="A19">
        <v>23</v>
      </c>
      <c r="B19">
        <v>23</v>
      </c>
      <c r="C19" t="s">
        <v>225</v>
      </c>
      <c r="D19" s="275">
        <v>85633</v>
      </c>
      <c r="E19">
        <v>0</v>
      </c>
      <c r="F19">
        <v>0</v>
      </c>
      <c r="G19" s="275">
        <v>-770839</v>
      </c>
      <c r="H19">
        <v>0</v>
      </c>
      <c r="I19">
        <v>0</v>
      </c>
      <c r="J19">
        <v>0</v>
      </c>
      <c r="K19">
        <v>0</v>
      </c>
      <c r="L19">
        <v>0</v>
      </c>
      <c r="M19" s="275">
        <v>1759</v>
      </c>
      <c r="N19">
        <v>0</v>
      </c>
      <c r="O19">
        <v>0</v>
      </c>
      <c r="P19">
        <v>0</v>
      </c>
      <c r="Q19">
        <v>0</v>
      </c>
      <c r="R19">
        <v>0</v>
      </c>
      <c r="S19">
        <v>0</v>
      </c>
      <c r="T19">
        <v>0</v>
      </c>
      <c r="U19">
        <v>0</v>
      </c>
      <c r="V19">
        <v>0</v>
      </c>
      <c r="W19">
        <v>0</v>
      </c>
      <c r="X19">
        <v>0</v>
      </c>
      <c r="Y19">
        <v>0</v>
      </c>
      <c r="Z19">
        <v>0</v>
      </c>
      <c r="AA19">
        <v>0</v>
      </c>
      <c r="AB19">
        <v>0</v>
      </c>
      <c r="AC19">
        <v>0</v>
      </c>
      <c r="AD19">
        <v>0</v>
      </c>
      <c r="AE19" s="275">
        <v>4568</v>
      </c>
      <c r="AF19">
        <v>0</v>
      </c>
    </row>
    <row r="20" spans="1:32" x14ac:dyDescent="0.25">
      <c r="B20">
        <v>231</v>
      </c>
      <c r="C20" t="s">
        <v>226</v>
      </c>
      <c r="D20">
        <v>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row>
    <row r="21" spans="1:32" x14ac:dyDescent="0.25">
      <c r="B21">
        <v>251</v>
      </c>
      <c r="C21" t="s">
        <v>227</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row>
    <row r="22" spans="1:32" x14ac:dyDescent="0.25">
      <c r="A22">
        <v>252</v>
      </c>
      <c r="B22">
        <v>252</v>
      </c>
      <c r="C22" t="s">
        <v>228</v>
      </c>
      <c r="D22" s="275">
        <v>5339235</v>
      </c>
      <c r="E22">
        <v>0</v>
      </c>
      <c r="F22">
        <v>0</v>
      </c>
      <c r="G22" s="275">
        <v>12410498</v>
      </c>
      <c r="H22">
        <v>0</v>
      </c>
      <c r="I22">
        <v>0</v>
      </c>
      <c r="J22">
        <v>0</v>
      </c>
      <c r="K22">
        <v>0</v>
      </c>
      <c r="L22">
        <v>0</v>
      </c>
      <c r="M22" s="275">
        <v>12793</v>
      </c>
      <c r="N22">
        <v>0</v>
      </c>
      <c r="O22">
        <v>0</v>
      </c>
      <c r="P22">
        <v>0</v>
      </c>
      <c r="Q22">
        <v>0</v>
      </c>
      <c r="R22">
        <v>0</v>
      </c>
      <c r="S22">
        <v>0</v>
      </c>
      <c r="T22">
        <v>0</v>
      </c>
      <c r="U22">
        <v>0</v>
      </c>
      <c r="V22">
        <v>0</v>
      </c>
      <c r="W22">
        <v>0</v>
      </c>
      <c r="X22">
        <v>0</v>
      </c>
      <c r="Y22">
        <v>0</v>
      </c>
      <c r="Z22">
        <v>0</v>
      </c>
      <c r="AA22">
        <v>0</v>
      </c>
      <c r="AB22">
        <v>0</v>
      </c>
      <c r="AC22">
        <v>0</v>
      </c>
      <c r="AD22">
        <v>0</v>
      </c>
      <c r="AE22" s="275">
        <v>2524284</v>
      </c>
      <c r="AF22">
        <v>0</v>
      </c>
    </row>
    <row r="23" spans="1:32" x14ac:dyDescent="0.25">
      <c r="A23">
        <v>253</v>
      </c>
      <c r="B23">
        <v>253</v>
      </c>
      <c r="C23" t="s">
        <v>229</v>
      </c>
      <c r="D23" s="275">
        <v>3876</v>
      </c>
      <c r="E23">
        <v>0</v>
      </c>
      <c r="F23">
        <v>0</v>
      </c>
      <c r="G23" s="275">
        <v>17988</v>
      </c>
      <c r="H23">
        <v>0</v>
      </c>
      <c r="I23">
        <v>0</v>
      </c>
      <c r="J23">
        <v>0</v>
      </c>
      <c r="K23">
        <v>0</v>
      </c>
      <c r="L23">
        <v>0</v>
      </c>
      <c r="M23" s="275">
        <v>63213</v>
      </c>
      <c r="N23">
        <v>0</v>
      </c>
      <c r="O23">
        <v>0</v>
      </c>
      <c r="P23">
        <v>0</v>
      </c>
      <c r="Q23">
        <v>0</v>
      </c>
      <c r="R23">
        <v>0</v>
      </c>
      <c r="S23">
        <v>0</v>
      </c>
      <c r="T23">
        <v>0</v>
      </c>
      <c r="U23">
        <v>0</v>
      </c>
      <c r="V23">
        <v>0</v>
      </c>
      <c r="W23">
        <v>0</v>
      </c>
      <c r="X23">
        <v>0</v>
      </c>
      <c r="Y23">
        <v>0</v>
      </c>
      <c r="Z23">
        <v>0</v>
      </c>
      <c r="AA23">
        <v>0</v>
      </c>
      <c r="AB23">
        <v>0</v>
      </c>
      <c r="AC23">
        <v>0</v>
      </c>
      <c r="AD23">
        <v>0</v>
      </c>
      <c r="AE23" s="275">
        <v>17842</v>
      </c>
      <c r="AF23">
        <v>0</v>
      </c>
    </row>
    <row r="24" spans="1:32" x14ac:dyDescent="0.25">
      <c r="A24">
        <v>254</v>
      </c>
      <c r="B24">
        <v>254</v>
      </c>
      <c r="C24" t="s">
        <v>230</v>
      </c>
      <c r="D24" s="275">
        <v>373915</v>
      </c>
      <c r="E24">
        <v>0</v>
      </c>
      <c r="F24">
        <v>0</v>
      </c>
      <c r="G24" s="275">
        <v>999625</v>
      </c>
      <c r="H24">
        <v>0</v>
      </c>
      <c r="I24">
        <v>0</v>
      </c>
      <c r="J24">
        <v>0</v>
      </c>
      <c r="K24">
        <v>0</v>
      </c>
      <c r="L24">
        <v>0</v>
      </c>
      <c r="M24" s="275">
        <v>125312</v>
      </c>
      <c r="N24">
        <v>0</v>
      </c>
      <c r="O24">
        <v>0</v>
      </c>
      <c r="P24">
        <v>0</v>
      </c>
      <c r="Q24">
        <v>0</v>
      </c>
      <c r="R24">
        <v>0</v>
      </c>
      <c r="S24">
        <v>0</v>
      </c>
      <c r="T24">
        <v>0</v>
      </c>
      <c r="U24">
        <v>0</v>
      </c>
      <c r="V24">
        <v>0</v>
      </c>
      <c r="W24">
        <v>0</v>
      </c>
      <c r="X24">
        <v>0</v>
      </c>
      <c r="Y24">
        <v>0</v>
      </c>
      <c r="Z24">
        <v>0</v>
      </c>
      <c r="AA24">
        <v>0</v>
      </c>
      <c r="AB24">
        <v>0</v>
      </c>
      <c r="AC24">
        <v>0</v>
      </c>
      <c r="AD24">
        <v>0</v>
      </c>
      <c r="AE24" s="275">
        <v>19107</v>
      </c>
      <c r="AF24">
        <v>0</v>
      </c>
    </row>
    <row r="25" spans="1:32" x14ac:dyDescent="0.25">
      <c r="A25">
        <v>255</v>
      </c>
      <c r="B25">
        <v>255</v>
      </c>
      <c r="C25" t="s">
        <v>231</v>
      </c>
      <c r="D25" s="275">
        <v>82214</v>
      </c>
      <c r="E25">
        <v>0</v>
      </c>
      <c r="F25">
        <v>0</v>
      </c>
      <c r="G25" s="275">
        <v>662340</v>
      </c>
      <c r="H25">
        <v>0</v>
      </c>
      <c r="I25">
        <v>0</v>
      </c>
      <c r="J25">
        <v>0</v>
      </c>
      <c r="K25">
        <v>0</v>
      </c>
      <c r="L25">
        <v>0</v>
      </c>
      <c r="M25" s="275">
        <v>10850</v>
      </c>
      <c r="N25">
        <v>0</v>
      </c>
      <c r="O25">
        <v>0</v>
      </c>
      <c r="P25">
        <v>0</v>
      </c>
      <c r="Q25">
        <v>0</v>
      </c>
      <c r="R25">
        <v>0</v>
      </c>
      <c r="S25">
        <v>0</v>
      </c>
      <c r="T25">
        <v>0</v>
      </c>
      <c r="U25">
        <v>0</v>
      </c>
      <c r="V25">
        <v>0</v>
      </c>
      <c r="W25">
        <v>0</v>
      </c>
      <c r="X25">
        <v>0</v>
      </c>
      <c r="Y25">
        <v>0</v>
      </c>
      <c r="Z25">
        <v>0</v>
      </c>
      <c r="AA25">
        <v>0</v>
      </c>
      <c r="AB25">
        <v>0</v>
      </c>
      <c r="AC25">
        <v>0</v>
      </c>
      <c r="AD25">
        <v>0</v>
      </c>
      <c r="AE25" s="275">
        <v>303685</v>
      </c>
      <c r="AF25">
        <v>0</v>
      </c>
    </row>
    <row r="26" spans="1:32" x14ac:dyDescent="0.25">
      <c r="B26">
        <v>256</v>
      </c>
      <c r="C26" t="s">
        <v>232</v>
      </c>
      <c r="D26">
        <v>0</v>
      </c>
      <c r="E26">
        <v>0</v>
      </c>
      <c r="F26">
        <v>0</v>
      </c>
      <c r="G26">
        <v>0</v>
      </c>
      <c r="H26">
        <v>0</v>
      </c>
      <c r="I26">
        <v>0</v>
      </c>
      <c r="J26">
        <v>0</v>
      </c>
      <c r="K26">
        <v>0</v>
      </c>
      <c r="L26">
        <v>0</v>
      </c>
      <c r="M26">
        <v>0</v>
      </c>
      <c r="N26">
        <v>0</v>
      </c>
      <c r="O26">
        <v>0</v>
      </c>
      <c r="P26">
        <v>0</v>
      </c>
      <c r="Q26">
        <v>0</v>
      </c>
      <c r="R26">
        <v>0</v>
      </c>
      <c r="S26">
        <v>0</v>
      </c>
      <c r="T26">
        <v>0</v>
      </c>
      <c r="U26">
        <v>0</v>
      </c>
      <c r="V26">
        <v>0</v>
      </c>
      <c r="W26">
        <v>0</v>
      </c>
      <c r="X26">
        <v>0</v>
      </c>
      <c r="Y26">
        <v>0</v>
      </c>
      <c r="Z26">
        <v>0</v>
      </c>
      <c r="AA26">
        <v>0</v>
      </c>
      <c r="AB26">
        <v>0</v>
      </c>
      <c r="AC26">
        <v>0</v>
      </c>
      <c r="AD26">
        <v>0</v>
      </c>
      <c r="AE26">
        <v>0</v>
      </c>
      <c r="AF26">
        <v>0</v>
      </c>
    </row>
    <row r="27" spans="1:32" x14ac:dyDescent="0.25">
      <c r="B27">
        <v>257</v>
      </c>
      <c r="C27" t="s">
        <v>233</v>
      </c>
      <c r="D27">
        <v>0</v>
      </c>
      <c r="E27">
        <v>0</v>
      </c>
      <c r="F27">
        <v>0</v>
      </c>
      <c r="G27">
        <v>0</v>
      </c>
      <c r="H27">
        <v>0</v>
      </c>
      <c r="I27">
        <v>0</v>
      </c>
      <c r="J27">
        <v>0</v>
      </c>
      <c r="K27">
        <v>0</v>
      </c>
      <c r="L27">
        <v>0</v>
      </c>
      <c r="M27">
        <v>0</v>
      </c>
      <c r="N27">
        <v>0</v>
      </c>
      <c r="O27">
        <v>0</v>
      </c>
      <c r="P27">
        <v>0</v>
      </c>
      <c r="Q27">
        <v>0</v>
      </c>
      <c r="R27">
        <v>0</v>
      </c>
      <c r="S27">
        <v>0</v>
      </c>
      <c r="T27">
        <v>0</v>
      </c>
      <c r="U27">
        <v>0</v>
      </c>
      <c r="V27">
        <v>0</v>
      </c>
      <c r="W27">
        <v>0</v>
      </c>
      <c r="X27">
        <v>0</v>
      </c>
      <c r="Y27">
        <v>0</v>
      </c>
      <c r="Z27">
        <v>0</v>
      </c>
      <c r="AA27">
        <v>0</v>
      </c>
      <c r="AB27">
        <v>0</v>
      </c>
      <c r="AC27">
        <v>0</v>
      </c>
      <c r="AD27">
        <v>0</v>
      </c>
      <c r="AE27">
        <v>0</v>
      </c>
      <c r="AF27">
        <v>0</v>
      </c>
    </row>
    <row r="28" spans="1:32" x14ac:dyDescent="0.25">
      <c r="B28">
        <v>258</v>
      </c>
      <c r="C28" t="s">
        <v>234</v>
      </c>
      <c r="D28">
        <v>0</v>
      </c>
      <c r="E28">
        <v>0</v>
      </c>
      <c r="F28">
        <v>0</v>
      </c>
      <c r="G28">
        <v>0</v>
      </c>
      <c r="H28">
        <v>0</v>
      </c>
      <c r="I28">
        <v>0</v>
      </c>
      <c r="J28">
        <v>0</v>
      </c>
      <c r="K28">
        <v>0</v>
      </c>
      <c r="L28">
        <v>0</v>
      </c>
      <c r="M28">
        <v>0</v>
      </c>
      <c r="N28">
        <v>0</v>
      </c>
      <c r="O28">
        <v>0</v>
      </c>
      <c r="P28">
        <v>0</v>
      </c>
      <c r="Q28">
        <v>0</v>
      </c>
      <c r="R28">
        <v>0</v>
      </c>
      <c r="S28">
        <v>0</v>
      </c>
      <c r="T28">
        <v>0</v>
      </c>
      <c r="U28">
        <v>0</v>
      </c>
      <c r="V28">
        <v>0</v>
      </c>
      <c r="W28">
        <v>0</v>
      </c>
      <c r="X28">
        <v>0</v>
      </c>
      <c r="Y28">
        <v>0</v>
      </c>
      <c r="Z28">
        <v>0</v>
      </c>
      <c r="AA28">
        <v>0</v>
      </c>
      <c r="AB28">
        <v>0</v>
      </c>
      <c r="AC28">
        <v>0</v>
      </c>
      <c r="AD28">
        <v>0</v>
      </c>
      <c r="AE28">
        <v>0</v>
      </c>
      <c r="AF28">
        <v>0</v>
      </c>
    </row>
    <row r="29" spans="1:32" x14ac:dyDescent="0.25">
      <c r="B29">
        <v>259</v>
      </c>
      <c r="C29" t="s">
        <v>235</v>
      </c>
      <c r="D29">
        <v>0</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row>
    <row r="30" spans="1:32" x14ac:dyDescent="0.25">
      <c r="B30">
        <v>260</v>
      </c>
      <c r="C30" t="s">
        <v>236</v>
      </c>
      <c r="D30">
        <v>0</v>
      </c>
      <c r="E30">
        <v>0</v>
      </c>
      <c r="F30">
        <v>0</v>
      </c>
      <c r="G30">
        <v>0</v>
      </c>
      <c r="H30">
        <v>0</v>
      </c>
      <c r="I30">
        <v>0</v>
      </c>
      <c r="J30">
        <v>0</v>
      </c>
      <c r="K30">
        <v>0</v>
      </c>
      <c r="L30">
        <v>0</v>
      </c>
      <c r="M30">
        <v>0</v>
      </c>
      <c r="N30">
        <v>0</v>
      </c>
      <c r="O30">
        <v>0</v>
      </c>
      <c r="P30">
        <v>0</v>
      </c>
      <c r="Q30">
        <v>0</v>
      </c>
      <c r="R30">
        <v>0</v>
      </c>
      <c r="S30">
        <v>0</v>
      </c>
      <c r="T30">
        <v>0</v>
      </c>
      <c r="U30">
        <v>0</v>
      </c>
      <c r="V30">
        <v>0</v>
      </c>
      <c r="W30">
        <v>0</v>
      </c>
      <c r="X30">
        <v>0</v>
      </c>
      <c r="Y30">
        <v>0</v>
      </c>
      <c r="Z30">
        <v>0</v>
      </c>
      <c r="AA30">
        <v>0</v>
      </c>
      <c r="AB30">
        <v>0</v>
      </c>
      <c r="AC30">
        <v>0</v>
      </c>
      <c r="AD30">
        <v>0</v>
      </c>
      <c r="AE30">
        <v>0</v>
      </c>
      <c r="AF30">
        <v>0</v>
      </c>
    </row>
    <row r="31" spans="1:32" x14ac:dyDescent="0.25">
      <c r="B31">
        <v>261</v>
      </c>
      <c r="C31" t="s">
        <v>237</v>
      </c>
      <c r="D31">
        <v>0</v>
      </c>
      <c r="E31">
        <v>0</v>
      </c>
      <c r="F31">
        <v>0</v>
      </c>
      <c r="G31">
        <v>0</v>
      </c>
      <c r="H31">
        <v>0</v>
      </c>
      <c r="I31">
        <v>0</v>
      </c>
      <c r="J31">
        <v>0</v>
      </c>
      <c r="K31">
        <v>0</v>
      </c>
      <c r="L31">
        <v>0</v>
      </c>
      <c r="M31">
        <v>0</v>
      </c>
      <c r="N31">
        <v>0</v>
      </c>
      <c r="O31">
        <v>0</v>
      </c>
      <c r="P31">
        <v>0</v>
      </c>
      <c r="Q31">
        <v>0</v>
      </c>
      <c r="R31">
        <v>0</v>
      </c>
      <c r="S31">
        <v>0</v>
      </c>
      <c r="T31">
        <v>0</v>
      </c>
      <c r="U31">
        <v>0</v>
      </c>
      <c r="V31">
        <v>0</v>
      </c>
      <c r="W31">
        <v>0</v>
      </c>
      <c r="X31">
        <v>0</v>
      </c>
      <c r="Y31">
        <v>0</v>
      </c>
      <c r="Z31">
        <v>0</v>
      </c>
      <c r="AA31">
        <v>0</v>
      </c>
      <c r="AB31">
        <v>0</v>
      </c>
      <c r="AC31">
        <v>0</v>
      </c>
      <c r="AD31">
        <v>0</v>
      </c>
      <c r="AE31">
        <v>0</v>
      </c>
      <c r="AF31">
        <v>0</v>
      </c>
    </row>
    <row r="32" spans="1:32" x14ac:dyDescent="0.25">
      <c r="B32">
        <v>262</v>
      </c>
      <c r="C32" t="s">
        <v>238</v>
      </c>
      <c r="D32">
        <v>0</v>
      </c>
      <c r="E32">
        <v>0</v>
      </c>
      <c r="F32">
        <v>0</v>
      </c>
      <c r="G32">
        <v>0</v>
      </c>
      <c r="H32">
        <v>0</v>
      </c>
      <c r="I32">
        <v>0</v>
      </c>
      <c r="J32">
        <v>0</v>
      </c>
      <c r="K32">
        <v>0</v>
      </c>
      <c r="L32">
        <v>0</v>
      </c>
      <c r="M32">
        <v>0</v>
      </c>
      <c r="N32">
        <v>0</v>
      </c>
      <c r="O32">
        <v>0</v>
      </c>
      <c r="P32">
        <v>0</v>
      </c>
      <c r="Q32">
        <v>0</v>
      </c>
      <c r="R32">
        <v>0</v>
      </c>
      <c r="S32">
        <v>0</v>
      </c>
      <c r="T32">
        <v>0</v>
      </c>
      <c r="U32">
        <v>0</v>
      </c>
      <c r="V32">
        <v>0</v>
      </c>
      <c r="W32">
        <v>0</v>
      </c>
      <c r="X32">
        <v>0</v>
      </c>
      <c r="Y32">
        <v>0</v>
      </c>
      <c r="Z32">
        <v>0</v>
      </c>
      <c r="AA32">
        <v>0</v>
      </c>
      <c r="AB32">
        <v>0</v>
      </c>
      <c r="AC32">
        <v>0</v>
      </c>
      <c r="AD32">
        <v>0</v>
      </c>
      <c r="AE32">
        <v>0</v>
      </c>
      <c r="AF32">
        <v>0</v>
      </c>
    </row>
    <row r="33" spans="1:32" x14ac:dyDescent="0.25">
      <c r="B33">
        <v>263</v>
      </c>
      <c r="C33" t="s">
        <v>239</v>
      </c>
      <c r="D33">
        <v>0</v>
      </c>
      <c r="E33">
        <v>0</v>
      </c>
      <c r="F33">
        <v>0</v>
      </c>
      <c r="G33">
        <v>0</v>
      </c>
      <c r="H33">
        <v>0</v>
      </c>
      <c r="I33">
        <v>0</v>
      </c>
      <c r="J33">
        <v>0</v>
      </c>
      <c r="K33">
        <v>0</v>
      </c>
      <c r="L33">
        <v>0</v>
      </c>
      <c r="M33">
        <v>0</v>
      </c>
      <c r="N33">
        <v>0</v>
      </c>
      <c r="O33">
        <v>0</v>
      </c>
      <c r="P33">
        <v>0</v>
      </c>
      <c r="Q33">
        <v>0</v>
      </c>
      <c r="R33">
        <v>0</v>
      </c>
      <c r="S33">
        <v>0</v>
      </c>
      <c r="T33">
        <v>0</v>
      </c>
      <c r="U33">
        <v>0</v>
      </c>
      <c r="V33">
        <v>0</v>
      </c>
      <c r="W33">
        <v>0</v>
      </c>
      <c r="X33">
        <v>0</v>
      </c>
      <c r="Y33">
        <v>0</v>
      </c>
      <c r="Z33">
        <v>0</v>
      </c>
      <c r="AA33">
        <v>0</v>
      </c>
      <c r="AB33">
        <v>0</v>
      </c>
      <c r="AC33">
        <v>0</v>
      </c>
      <c r="AD33">
        <v>0</v>
      </c>
      <c r="AE33">
        <v>0</v>
      </c>
      <c r="AF33">
        <v>0</v>
      </c>
    </row>
    <row r="34" spans="1:32" x14ac:dyDescent="0.25">
      <c r="A34">
        <v>31</v>
      </c>
      <c r="B34">
        <v>31</v>
      </c>
      <c r="C34" t="s">
        <v>240</v>
      </c>
      <c r="D34">
        <v>0</v>
      </c>
      <c r="E34" s="275">
        <v>10094535</v>
      </c>
      <c r="F34" s="275">
        <v>1204810</v>
      </c>
      <c r="G34">
        <v>0</v>
      </c>
      <c r="H34" s="275">
        <v>-180053</v>
      </c>
      <c r="I34" s="275">
        <v>1807565</v>
      </c>
      <c r="J34" s="275">
        <v>140457</v>
      </c>
      <c r="K34" s="275">
        <v>265275</v>
      </c>
      <c r="L34" s="275">
        <v>-368283</v>
      </c>
      <c r="M34">
        <v>0</v>
      </c>
      <c r="N34" s="275">
        <v>-292493</v>
      </c>
      <c r="O34" s="275">
        <v>1713213</v>
      </c>
      <c r="P34" s="275">
        <v>101752</v>
      </c>
      <c r="Q34" s="275">
        <v>442027</v>
      </c>
      <c r="R34" s="275">
        <v>1851313</v>
      </c>
      <c r="S34" s="275">
        <v>-538064</v>
      </c>
      <c r="T34" s="275">
        <v>57869</v>
      </c>
      <c r="U34" s="275">
        <v>337842</v>
      </c>
      <c r="V34" s="275">
        <v>105021</v>
      </c>
      <c r="W34" s="275">
        <v>4034720</v>
      </c>
      <c r="X34" s="275">
        <v>8115874</v>
      </c>
      <c r="Y34" s="275">
        <v>12783793</v>
      </c>
      <c r="Z34" s="275">
        <v>12336104</v>
      </c>
      <c r="AA34" s="275">
        <v>128220869</v>
      </c>
      <c r="AB34" s="275">
        <v>1147447</v>
      </c>
      <c r="AC34">
        <v>0</v>
      </c>
      <c r="AD34" s="275">
        <v>4857415</v>
      </c>
      <c r="AE34">
        <v>0</v>
      </c>
      <c r="AF34" s="275">
        <v>-61168</v>
      </c>
    </row>
    <row r="35" spans="1:32" x14ac:dyDescent="0.25">
      <c r="B35">
        <v>317</v>
      </c>
      <c r="C35" t="s">
        <v>241</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Z35">
        <v>0</v>
      </c>
      <c r="AA35">
        <v>0</v>
      </c>
      <c r="AB35">
        <v>0</v>
      </c>
      <c r="AC35">
        <v>0</v>
      </c>
      <c r="AD35">
        <v>0</v>
      </c>
      <c r="AE35">
        <v>0</v>
      </c>
      <c r="AF35">
        <v>0</v>
      </c>
    </row>
    <row r="36" spans="1:32" x14ac:dyDescent="0.25">
      <c r="A36">
        <v>32</v>
      </c>
      <c r="B36">
        <v>32</v>
      </c>
      <c r="C36" t="s">
        <v>242</v>
      </c>
      <c r="D36">
        <v>0</v>
      </c>
      <c r="E36" s="275">
        <v>4712113</v>
      </c>
      <c r="F36" s="275">
        <v>209400</v>
      </c>
      <c r="G36">
        <v>0</v>
      </c>
      <c r="H36" s="275">
        <v>313332</v>
      </c>
      <c r="I36" s="275">
        <v>840303</v>
      </c>
      <c r="J36" s="275">
        <v>563402</v>
      </c>
      <c r="K36" s="275">
        <v>753381</v>
      </c>
      <c r="L36" s="275">
        <v>409771</v>
      </c>
      <c r="M36">
        <v>0</v>
      </c>
      <c r="N36" s="275">
        <v>494810</v>
      </c>
      <c r="O36" s="275">
        <v>1459622</v>
      </c>
      <c r="P36" s="275">
        <v>680933</v>
      </c>
      <c r="Q36" s="275">
        <v>590800</v>
      </c>
      <c r="R36" s="275">
        <v>670200</v>
      </c>
      <c r="S36" s="275">
        <v>577290</v>
      </c>
      <c r="T36" s="275">
        <v>380540</v>
      </c>
      <c r="U36" s="275">
        <v>672904</v>
      </c>
      <c r="V36" s="275">
        <v>124964</v>
      </c>
      <c r="W36" s="275">
        <v>223195</v>
      </c>
      <c r="X36" s="275">
        <v>6780834</v>
      </c>
      <c r="Y36" s="275">
        <v>17998091</v>
      </c>
      <c r="Z36" s="275">
        <v>1249631</v>
      </c>
      <c r="AA36" s="275">
        <v>47889122</v>
      </c>
      <c r="AB36" s="275">
        <v>230316</v>
      </c>
      <c r="AC36">
        <v>0</v>
      </c>
      <c r="AD36" s="275">
        <v>442978</v>
      </c>
      <c r="AE36">
        <v>0</v>
      </c>
      <c r="AF36" s="275">
        <v>125411</v>
      </c>
    </row>
    <row r="37" spans="1:32" x14ac:dyDescent="0.25">
      <c r="B37">
        <v>320</v>
      </c>
      <c r="C37" t="s">
        <v>243</v>
      </c>
      <c r="D37">
        <v>0</v>
      </c>
      <c r="E37">
        <v>0</v>
      </c>
      <c r="F37">
        <v>0</v>
      </c>
      <c r="G37">
        <v>0</v>
      </c>
      <c r="H37">
        <v>0</v>
      </c>
      <c r="I37">
        <v>0</v>
      </c>
      <c r="J37">
        <v>0</v>
      </c>
      <c r="K37">
        <v>0</v>
      </c>
      <c r="L37">
        <v>0</v>
      </c>
      <c r="M37">
        <v>0</v>
      </c>
      <c r="N37">
        <v>0</v>
      </c>
      <c r="O37">
        <v>0</v>
      </c>
      <c r="P37">
        <v>0</v>
      </c>
      <c r="Q37">
        <v>0</v>
      </c>
      <c r="R37">
        <v>0</v>
      </c>
      <c r="S37">
        <v>0</v>
      </c>
      <c r="T37">
        <v>0</v>
      </c>
      <c r="U37">
        <v>0</v>
      </c>
      <c r="V37">
        <v>0</v>
      </c>
      <c r="W37">
        <v>0</v>
      </c>
      <c r="X37">
        <v>0</v>
      </c>
      <c r="Y37">
        <v>0</v>
      </c>
      <c r="Z37">
        <v>0</v>
      </c>
      <c r="AA37">
        <v>0</v>
      </c>
      <c r="AB37">
        <v>0</v>
      </c>
      <c r="AC37">
        <v>0</v>
      </c>
      <c r="AD37">
        <v>0</v>
      </c>
      <c r="AE37">
        <v>0</v>
      </c>
      <c r="AF37">
        <v>0</v>
      </c>
    </row>
    <row r="38" spans="1:32" x14ac:dyDescent="0.25">
      <c r="B38">
        <v>321</v>
      </c>
      <c r="C38" t="s">
        <v>244</v>
      </c>
      <c r="D38">
        <v>0</v>
      </c>
      <c r="E38">
        <v>0</v>
      </c>
      <c r="F38">
        <v>0</v>
      </c>
      <c r="G38">
        <v>0</v>
      </c>
      <c r="H38">
        <v>0</v>
      </c>
      <c r="I38">
        <v>0</v>
      </c>
      <c r="J38">
        <v>0</v>
      </c>
      <c r="K38">
        <v>0</v>
      </c>
      <c r="L38">
        <v>0</v>
      </c>
      <c r="M38">
        <v>0</v>
      </c>
      <c r="N38">
        <v>0</v>
      </c>
      <c r="O38">
        <v>0</v>
      </c>
      <c r="P38">
        <v>0</v>
      </c>
      <c r="Q38">
        <v>0</v>
      </c>
      <c r="R38">
        <v>0</v>
      </c>
      <c r="S38">
        <v>0</v>
      </c>
      <c r="T38">
        <v>0</v>
      </c>
      <c r="U38">
        <v>0</v>
      </c>
      <c r="V38">
        <v>0</v>
      </c>
      <c r="W38">
        <v>0</v>
      </c>
      <c r="X38">
        <v>0</v>
      </c>
      <c r="Y38">
        <v>0</v>
      </c>
      <c r="Z38">
        <v>0</v>
      </c>
      <c r="AA38">
        <v>0</v>
      </c>
      <c r="AB38">
        <v>0</v>
      </c>
      <c r="AC38">
        <v>0</v>
      </c>
      <c r="AD38">
        <v>0</v>
      </c>
      <c r="AE38">
        <v>0</v>
      </c>
      <c r="AF38">
        <v>0</v>
      </c>
    </row>
    <row r="39" spans="1:32" x14ac:dyDescent="0.25">
      <c r="B39">
        <v>322</v>
      </c>
      <c r="C39" t="s">
        <v>245</v>
      </c>
      <c r="D39">
        <v>0</v>
      </c>
      <c r="E39">
        <v>0</v>
      </c>
      <c r="F39">
        <v>0</v>
      </c>
      <c r="G39">
        <v>0</v>
      </c>
      <c r="H39">
        <v>0</v>
      </c>
      <c r="I39">
        <v>0</v>
      </c>
      <c r="J39">
        <v>0</v>
      </c>
      <c r="K39">
        <v>0</v>
      </c>
      <c r="L39">
        <v>0</v>
      </c>
      <c r="M39">
        <v>0</v>
      </c>
      <c r="N39">
        <v>0</v>
      </c>
      <c r="O39">
        <v>0</v>
      </c>
      <c r="P39">
        <v>0</v>
      </c>
      <c r="Q39">
        <v>0</v>
      </c>
      <c r="R39">
        <v>0</v>
      </c>
      <c r="S39">
        <v>0</v>
      </c>
      <c r="T39">
        <v>0</v>
      </c>
      <c r="U39">
        <v>0</v>
      </c>
      <c r="V39">
        <v>0</v>
      </c>
      <c r="W39">
        <v>0</v>
      </c>
      <c r="X39">
        <v>0</v>
      </c>
      <c r="Y39">
        <v>0</v>
      </c>
      <c r="Z39">
        <v>0</v>
      </c>
      <c r="AA39">
        <v>0</v>
      </c>
      <c r="AB39">
        <v>0</v>
      </c>
      <c r="AC39">
        <v>0</v>
      </c>
      <c r="AD39">
        <v>0</v>
      </c>
      <c r="AE39">
        <v>0</v>
      </c>
      <c r="AF39">
        <v>0</v>
      </c>
    </row>
    <row r="40" spans="1:32" x14ac:dyDescent="0.25">
      <c r="B40">
        <v>323</v>
      </c>
      <c r="C40" t="s">
        <v>144</v>
      </c>
      <c r="D40">
        <v>0</v>
      </c>
      <c r="E40">
        <v>0</v>
      </c>
      <c r="F40">
        <v>0</v>
      </c>
      <c r="G40">
        <v>0</v>
      </c>
      <c r="H40">
        <v>0</v>
      </c>
      <c r="I40">
        <v>0</v>
      </c>
      <c r="J40">
        <v>0</v>
      </c>
      <c r="K40">
        <v>0</v>
      </c>
      <c r="L40">
        <v>0</v>
      </c>
      <c r="M40">
        <v>0</v>
      </c>
      <c r="N40">
        <v>0</v>
      </c>
      <c r="O40">
        <v>0</v>
      </c>
      <c r="P40">
        <v>0</v>
      </c>
      <c r="Q40">
        <v>0</v>
      </c>
      <c r="R40">
        <v>0</v>
      </c>
      <c r="S40">
        <v>0</v>
      </c>
      <c r="T40">
        <v>0</v>
      </c>
      <c r="U40">
        <v>0</v>
      </c>
      <c r="V40">
        <v>0</v>
      </c>
      <c r="W40">
        <v>0</v>
      </c>
      <c r="X40">
        <v>0</v>
      </c>
      <c r="Y40">
        <v>0</v>
      </c>
      <c r="Z40">
        <v>0</v>
      </c>
      <c r="AA40">
        <v>0</v>
      </c>
      <c r="AB40">
        <v>0</v>
      </c>
      <c r="AC40">
        <v>0</v>
      </c>
      <c r="AD40">
        <v>0</v>
      </c>
      <c r="AE40">
        <v>0</v>
      </c>
      <c r="AF40">
        <v>0</v>
      </c>
    </row>
    <row r="41" spans="1:32" x14ac:dyDescent="0.25">
      <c r="B41">
        <v>324</v>
      </c>
      <c r="C41" t="s">
        <v>246</v>
      </c>
      <c r="D41">
        <v>0</v>
      </c>
      <c r="E41">
        <v>0</v>
      </c>
      <c r="F41">
        <v>0</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row>
    <row r="42" spans="1:32" x14ac:dyDescent="0.25">
      <c r="B42">
        <v>325</v>
      </c>
      <c r="C42" t="s">
        <v>247</v>
      </c>
      <c r="D42">
        <v>0</v>
      </c>
      <c r="E42">
        <v>0</v>
      </c>
      <c r="F42">
        <v>0</v>
      </c>
      <c r="G42">
        <v>0</v>
      </c>
      <c r="H42">
        <v>0</v>
      </c>
      <c r="I42">
        <v>0</v>
      </c>
      <c r="J42">
        <v>0</v>
      </c>
      <c r="K42">
        <v>0</v>
      </c>
      <c r="L42">
        <v>0</v>
      </c>
      <c r="M42">
        <v>0</v>
      </c>
      <c r="N42">
        <v>0</v>
      </c>
      <c r="O42">
        <v>0</v>
      </c>
      <c r="P42">
        <v>0</v>
      </c>
      <c r="Q42">
        <v>0</v>
      </c>
      <c r="R42">
        <v>0</v>
      </c>
      <c r="S42">
        <v>0</v>
      </c>
      <c r="T42">
        <v>0</v>
      </c>
      <c r="U42">
        <v>0</v>
      </c>
      <c r="V42">
        <v>0</v>
      </c>
      <c r="W42">
        <v>0</v>
      </c>
      <c r="X42">
        <v>0</v>
      </c>
      <c r="Y42">
        <v>0</v>
      </c>
      <c r="Z42">
        <v>0</v>
      </c>
      <c r="AA42">
        <v>0</v>
      </c>
      <c r="AB42">
        <v>0</v>
      </c>
      <c r="AC42">
        <v>0</v>
      </c>
      <c r="AD42">
        <v>0</v>
      </c>
      <c r="AE42">
        <v>0</v>
      </c>
      <c r="AF42">
        <v>0</v>
      </c>
    </row>
    <row r="43" spans="1:32" x14ac:dyDescent="0.25">
      <c r="A43">
        <v>33</v>
      </c>
      <c r="B43">
        <v>33</v>
      </c>
      <c r="C43" t="s">
        <v>248</v>
      </c>
      <c r="D43">
        <v>0</v>
      </c>
      <c r="E43" s="275">
        <v>4309212</v>
      </c>
      <c r="F43" s="275">
        <v>35681</v>
      </c>
      <c r="G43">
        <v>0</v>
      </c>
      <c r="H43" s="275">
        <v>98429</v>
      </c>
      <c r="I43" s="275">
        <v>347526</v>
      </c>
      <c r="J43" s="275">
        <v>-246978</v>
      </c>
      <c r="K43" s="275">
        <v>1034998</v>
      </c>
      <c r="L43" s="275">
        <v>-54064</v>
      </c>
      <c r="M43">
        <v>0</v>
      </c>
      <c r="N43" s="275">
        <v>-247299</v>
      </c>
      <c r="O43" s="275">
        <v>-331474</v>
      </c>
      <c r="P43" s="275">
        <v>-53599</v>
      </c>
      <c r="Q43" s="275">
        <v>-47328</v>
      </c>
      <c r="R43" s="275">
        <v>1562139</v>
      </c>
      <c r="S43" s="275">
        <v>-166110</v>
      </c>
      <c r="T43" s="275">
        <v>-216858</v>
      </c>
      <c r="U43" s="275">
        <v>14073</v>
      </c>
      <c r="V43" s="275">
        <v>187547</v>
      </c>
      <c r="W43" s="275">
        <v>-198839</v>
      </c>
      <c r="X43" s="275">
        <v>4087409</v>
      </c>
      <c r="Y43" s="275">
        <v>15955225</v>
      </c>
      <c r="Z43" s="275">
        <v>-461951</v>
      </c>
      <c r="AA43" s="275">
        <v>100078782</v>
      </c>
      <c r="AB43" s="275">
        <v>31716</v>
      </c>
      <c r="AC43">
        <v>0</v>
      </c>
      <c r="AD43" s="275">
        <v>473023</v>
      </c>
      <c r="AE43">
        <v>0</v>
      </c>
      <c r="AF43" s="275">
        <v>-36000</v>
      </c>
    </row>
    <row r="44" spans="1:32" x14ac:dyDescent="0.25">
      <c r="A44">
        <v>333</v>
      </c>
      <c r="B44">
        <v>333</v>
      </c>
      <c r="C44" t="s">
        <v>249</v>
      </c>
      <c r="D44" s="275">
        <v>373084</v>
      </c>
      <c r="E44">
        <v>0</v>
      </c>
      <c r="F44">
        <v>0</v>
      </c>
      <c r="G44" s="275">
        <v>1022398</v>
      </c>
      <c r="H44">
        <v>0</v>
      </c>
      <c r="I44">
        <v>0</v>
      </c>
      <c r="J44">
        <v>0</v>
      </c>
      <c r="K44">
        <v>0</v>
      </c>
      <c r="L44">
        <v>0</v>
      </c>
      <c r="M44" s="275">
        <v>128464</v>
      </c>
      <c r="N44">
        <v>0</v>
      </c>
      <c r="O44">
        <v>0</v>
      </c>
      <c r="P44">
        <v>0</v>
      </c>
      <c r="Q44">
        <v>0</v>
      </c>
      <c r="R44">
        <v>0</v>
      </c>
      <c r="S44">
        <v>0</v>
      </c>
      <c r="T44">
        <v>0</v>
      </c>
      <c r="U44">
        <v>0</v>
      </c>
      <c r="V44">
        <v>0</v>
      </c>
      <c r="W44">
        <v>0</v>
      </c>
      <c r="X44">
        <v>0</v>
      </c>
      <c r="Y44">
        <v>0</v>
      </c>
      <c r="Z44">
        <v>0</v>
      </c>
      <c r="AA44">
        <v>0</v>
      </c>
      <c r="AB44">
        <v>0</v>
      </c>
      <c r="AC44">
        <v>0</v>
      </c>
      <c r="AD44">
        <v>0</v>
      </c>
      <c r="AE44" s="275">
        <v>1974</v>
      </c>
      <c r="AF44">
        <v>0</v>
      </c>
    </row>
    <row r="45" spans="1:32" x14ac:dyDescent="0.25">
      <c r="B45">
        <v>334</v>
      </c>
      <c r="C45" t="s">
        <v>250</v>
      </c>
      <c r="D45">
        <v>0</v>
      </c>
      <c r="E45">
        <v>0</v>
      </c>
      <c r="F45">
        <v>0</v>
      </c>
      <c r="G45">
        <v>0</v>
      </c>
      <c r="H45">
        <v>0</v>
      </c>
      <c r="I45">
        <v>0</v>
      </c>
      <c r="J45">
        <v>0</v>
      </c>
      <c r="K45">
        <v>0</v>
      </c>
      <c r="L45">
        <v>0</v>
      </c>
      <c r="M45">
        <v>0</v>
      </c>
      <c r="N45">
        <v>0</v>
      </c>
      <c r="O45">
        <v>0</v>
      </c>
      <c r="P45">
        <v>0</v>
      </c>
      <c r="Q45">
        <v>0</v>
      </c>
      <c r="R45">
        <v>0</v>
      </c>
      <c r="S45">
        <v>0</v>
      </c>
      <c r="T45">
        <v>0</v>
      </c>
      <c r="U45">
        <v>0</v>
      </c>
      <c r="V45">
        <v>0</v>
      </c>
      <c r="W45">
        <v>0</v>
      </c>
      <c r="X45">
        <v>0</v>
      </c>
      <c r="Y45">
        <v>0</v>
      </c>
      <c r="Z45">
        <v>0</v>
      </c>
      <c r="AA45">
        <v>0</v>
      </c>
      <c r="AB45">
        <v>0</v>
      </c>
      <c r="AC45">
        <v>0</v>
      </c>
      <c r="AD45">
        <v>0</v>
      </c>
      <c r="AE45">
        <v>0</v>
      </c>
      <c r="AF45">
        <v>0</v>
      </c>
    </row>
    <row r="46" spans="1:32" x14ac:dyDescent="0.25">
      <c r="A46">
        <v>335</v>
      </c>
      <c r="B46">
        <v>335</v>
      </c>
      <c r="C46" t="s">
        <v>251</v>
      </c>
      <c r="D46" s="275">
        <v>2881</v>
      </c>
      <c r="E46">
        <v>0</v>
      </c>
      <c r="F46">
        <v>0</v>
      </c>
      <c r="G46">
        <v>0</v>
      </c>
      <c r="H46">
        <v>0</v>
      </c>
      <c r="I46">
        <v>0</v>
      </c>
      <c r="J46">
        <v>0</v>
      </c>
      <c r="K46">
        <v>0</v>
      </c>
      <c r="L46">
        <v>0</v>
      </c>
      <c r="M46" s="275">
        <v>2825</v>
      </c>
      <c r="N46">
        <v>0</v>
      </c>
      <c r="O46">
        <v>0</v>
      </c>
      <c r="P46">
        <v>0</v>
      </c>
      <c r="Q46">
        <v>0</v>
      </c>
      <c r="R46">
        <v>0</v>
      </c>
      <c r="S46">
        <v>0</v>
      </c>
      <c r="T46">
        <v>0</v>
      </c>
      <c r="U46">
        <v>0</v>
      </c>
      <c r="V46">
        <v>0</v>
      </c>
      <c r="W46">
        <v>0</v>
      </c>
      <c r="X46">
        <v>0</v>
      </c>
      <c r="Y46">
        <v>0</v>
      </c>
      <c r="Z46">
        <v>0</v>
      </c>
      <c r="AA46">
        <v>0</v>
      </c>
      <c r="AB46">
        <v>0</v>
      </c>
      <c r="AC46">
        <v>0</v>
      </c>
      <c r="AD46">
        <v>0</v>
      </c>
      <c r="AE46">
        <v>0</v>
      </c>
      <c r="AF46">
        <v>0</v>
      </c>
    </row>
    <row r="47" spans="1:32" x14ac:dyDescent="0.25">
      <c r="A47">
        <v>336</v>
      </c>
      <c r="B47">
        <v>336</v>
      </c>
      <c r="C47" t="s">
        <v>252</v>
      </c>
      <c r="D47" s="275">
        <v>8462</v>
      </c>
      <c r="E47">
        <v>0</v>
      </c>
      <c r="F47">
        <v>0</v>
      </c>
      <c r="G47" s="275">
        <v>47735</v>
      </c>
      <c r="H47">
        <v>0</v>
      </c>
      <c r="I47">
        <v>0</v>
      </c>
      <c r="J47">
        <v>0</v>
      </c>
      <c r="K47">
        <v>0</v>
      </c>
      <c r="L47">
        <v>0</v>
      </c>
      <c r="M47" s="275">
        <v>4131</v>
      </c>
      <c r="N47">
        <v>0</v>
      </c>
      <c r="O47">
        <v>0</v>
      </c>
      <c r="P47">
        <v>0</v>
      </c>
      <c r="Q47">
        <v>0</v>
      </c>
      <c r="R47">
        <v>0</v>
      </c>
      <c r="S47">
        <v>0</v>
      </c>
      <c r="T47">
        <v>0</v>
      </c>
      <c r="U47">
        <v>0</v>
      </c>
      <c r="V47">
        <v>0</v>
      </c>
      <c r="W47">
        <v>0</v>
      </c>
      <c r="X47">
        <v>0</v>
      </c>
      <c r="Y47">
        <v>0</v>
      </c>
      <c r="Z47">
        <v>0</v>
      </c>
      <c r="AA47">
        <v>0</v>
      </c>
      <c r="AB47">
        <v>0</v>
      </c>
      <c r="AC47">
        <v>0</v>
      </c>
      <c r="AD47">
        <v>0</v>
      </c>
      <c r="AE47" s="275">
        <v>49738</v>
      </c>
      <c r="AF47">
        <v>0</v>
      </c>
    </row>
    <row r="48" spans="1:32" x14ac:dyDescent="0.25">
      <c r="B48">
        <v>337</v>
      </c>
      <c r="C48" t="s">
        <v>253</v>
      </c>
      <c r="D48">
        <v>0</v>
      </c>
      <c r="E48">
        <v>0</v>
      </c>
      <c r="F48">
        <v>0</v>
      </c>
      <c r="G48">
        <v>0</v>
      </c>
      <c r="H48">
        <v>0</v>
      </c>
      <c r="I48">
        <v>0</v>
      </c>
      <c r="J48">
        <v>0</v>
      </c>
      <c r="K48">
        <v>0</v>
      </c>
      <c r="L48">
        <v>0</v>
      </c>
      <c r="M48">
        <v>0</v>
      </c>
      <c r="N48">
        <v>0</v>
      </c>
      <c r="O48">
        <v>0</v>
      </c>
      <c r="P48">
        <v>0</v>
      </c>
      <c r="Q48">
        <v>0</v>
      </c>
      <c r="R48">
        <v>0</v>
      </c>
      <c r="S48">
        <v>0</v>
      </c>
      <c r="T48">
        <v>0</v>
      </c>
      <c r="U48">
        <v>0</v>
      </c>
      <c r="V48">
        <v>0</v>
      </c>
      <c r="W48">
        <v>0</v>
      </c>
      <c r="X48">
        <v>0</v>
      </c>
      <c r="Y48">
        <v>0</v>
      </c>
      <c r="Z48">
        <v>0</v>
      </c>
      <c r="AA48">
        <v>0</v>
      </c>
      <c r="AB48">
        <v>0</v>
      </c>
      <c r="AC48">
        <v>0</v>
      </c>
      <c r="AD48">
        <v>0</v>
      </c>
      <c r="AE48">
        <v>0</v>
      </c>
      <c r="AF48">
        <v>0</v>
      </c>
    </row>
    <row r="49" spans="1:32" x14ac:dyDescent="0.25">
      <c r="A49">
        <v>338</v>
      </c>
      <c r="B49">
        <v>338</v>
      </c>
      <c r="C49" t="s">
        <v>254</v>
      </c>
      <c r="D49" s="275">
        <v>8462</v>
      </c>
      <c r="E49">
        <v>0</v>
      </c>
      <c r="F49">
        <v>0</v>
      </c>
      <c r="G49" s="275">
        <v>120951</v>
      </c>
      <c r="H49">
        <v>0</v>
      </c>
      <c r="I49">
        <v>0</v>
      </c>
      <c r="J49">
        <v>0</v>
      </c>
      <c r="K49">
        <v>0</v>
      </c>
      <c r="L49">
        <v>0</v>
      </c>
      <c r="M49" s="275">
        <v>5111</v>
      </c>
      <c r="N49">
        <v>0</v>
      </c>
      <c r="O49">
        <v>0</v>
      </c>
      <c r="P49">
        <v>0</v>
      </c>
      <c r="Q49">
        <v>0</v>
      </c>
      <c r="R49">
        <v>0</v>
      </c>
      <c r="S49">
        <v>0</v>
      </c>
      <c r="T49">
        <v>0</v>
      </c>
      <c r="U49">
        <v>0</v>
      </c>
      <c r="V49">
        <v>0</v>
      </c>
      <c r="W49">
        <v>0</v>
      </c>
      <c r="X49">
        <v>0</v>
      </c>
      <c r="Y49">
        <v>0</v>
      </c>
      <c r="Z49">
        <v>0</v>
      </c>
      <c r="AA49">
        <v>0</v>
      </c>
      <c r="AB49">
        <v>0</v>
      </c>
      <c r="AC49">
        <v>0</v>
      </c>
      <c r="AD49">
        <v>0</v>
      </c>
      <c r="AE49" s="275">
        <v>49738</v>
      </c>
      <c r="AF49">
        <v>0</v>
      </c>
    </row>
    <row r="50" spans="1:32" x14ac:dyDescent="0.25">
      <c r="A50">
        <v>339</v>
      </c>
      <c r="B50">
        <v>339</v>
      </c>
      <c r="C50" t="s">
        <v>255</v>
      </c>
      <c r="D50" s="275">
        <v>85899</v>
      </c>
      <c r="E50">
        <v>0</v>
      </c>
      <c r="F50">
        <v>0</v>
      </c>
      <c r="G50" s="275">
        <v>174957</v>
      </c>
      <c r="H50">
        <v>0</v>
      </c>
      <c r="I50">
        <v>0</v>
      </c>
      <c r="J50">
        <v>0</v>
      </c>
      <c r="K50">
        <v>0</v>
      </c>
      <c r="L50">
        <v>0</v>
      </c>
      <c r="M50" s="275">
        <v>63871</v>
      </c>
      <c r="N50">
        <v>0</v>
      </c>
      <c r="O50">
        <v>0</v>
      </c>
      <c r="P50">
        <v>0</v>
      </c>
      <c r="Q50">
        <v>0</v>
      </c>
      <c r="R50">
        <v>0</v>
      </c>
      <c r="S50">
        <v>0</v>
      </c>
      <c r="T50">
        <v>0</v>
      </c>
      <c r="U50">
        <v>0</v>
      </c>
      <c r="V50">
        <v>0</v>
      </c>
      <c r="W50">
        <v>0</v>
      </c>
      <c r="X50">
        <v>0</v>
      </c>
      <c r="Y50">
        <v>0</v>
      </c>
      <c r="Z50">
        <v>0</v>
      </c>
      <c r="AA50">
        <v>0</v>
      </c>
      <c r="AB50">
        <v>0</v>
      </c>
      <c r="AC50">
        <v>0</v>
      </c>
      <c r="AD50">
        <v>0</v>
      </c>
      <c r="AE50" s="275">
        <v>1980</v>
      </c>
      <c r="AF50">
        <v>0</v>
      </c>
    </row>
    <row r="51" spans="1:32" x14ac:dyDescent="0.25">
      <c r="B51">
        <v>340</v>
      </c>
      <c r="C51" t="s">
        <v>256</v>
      </c>
      <c r="D51">
        <v>0</v>
      </c>
      <c r="E51">
        <v>0</v>
      </c>
      <c r="F51">
        <v>0</v>
      </c>
      <c r="G51">
        <v>0</v>
      </c>
      <c r="H51">
        <v>0</v>
      </c>
      <c r="I51">
        <v>0</v>
      </c>
      <c r="J51">
        <v>0</v>
      </c>
      <c r="K51">
        <v>0</v>
      </c>
      <c r="L51">
        <v>0</v>
      </c>
      <c r="M51">
        <v>0</v>
      </c>
      <c r="N51">
        <v>0</v>
      </c>
      <c r="O51">
        <v>0</v>
      </c>
      <c r="P51">
        <v>0</v>
      </c>
      <c r="Q51">
        <v>0</v>
      </c>
      <c r="R51">
        <v>0</v>
      </c>
      <c r="S51">
        <v>0</v>
      </c>
      <c r="T51">
        <v>0</v>
      </c>
      <c r="U51">
        <v>0</v>
      </c>
      <c r="V51">
        <v>0</v>
      </c>
      <c r="W51">
        <v>0</v>
      </c>
      <c r="X51">
        <v>0</v>
      </c>
      <c r="Y51">
        <v>0</v>
      </c>
      <c r="Z51">
        <v>0</v>
      </c>
      <c r="AA51">
        <v>0</v>
      </c>
      <c r="AB51">
        <v>0</v>
      </c>
      <c r="AC51">
        <v>0</v>
      </c>
      <c r="AD51">
        <v>0</v>
      </c>
      <c r="AE51">
        <v>0</v>
      </c>
      <c r="AF51">
        <v>0</v>
      </c>
    </row>
    <row r="52" spans="1:32" x14ac:dyDescent="0.25">
      <c r="A52">
        <v>341</v>
      </c>
      <c r="B52">
        <v>341</v>
      </c>
      <c r="C52" t="s">
        <v>257</v>
      </c>
      <c r="D52" s="275">
        <v>165850</v>
      </c>
      <c r="E52">
        <v>0</v>
      </c>
      <c r="F52">
        <v>0</v>
      </c>
      <c r="G52" s="275">
        <v>7397</v>
      </c>
      <c r="H52">
        <v>0</v>
      </c>
      <c r="I52">
        <v>0</v>
      </c>
      <c r="J52">
        <v>0</v>
      </c>
      <c r="K52">
        <v>0</v>
      </c>
      <c r="L52">
        <v>0</v>
      </c>
      <c r="M52" s="275">
        <v>11458</v>
      </c>
      <c r="N52">
        <v>0</v>
      </c>
      <c r="O52">
        <v>0</v>
      </c>
      <c r="P52">
        <v>0</v>
      </c>
      <c r="Q52">
        <v>0</v>
      </c>
      <c r="R52">
        <v>0</v>
      </c>
      <c r="S52">
        <v>0</v>
      </c>
      <c r="T52">
        <v>0</v>
      </c>
      <c r="U52">
        <v>0</v>
      </c>
      <c r="V52">
        <v>0</v>
      </c>
      <c r="W52">
        <v>0</v>
      </c>
      <c r="X52">
        <v>0</v>
      </c>
      <c r="Y52">
        <v>0</v>
      </c>
      <c r="Z52">
        <v>0</v>
      </c>
      <c r="AA52">
        <v>0</v>
      </c>
      <c r="AB52">
        <v>0</v>
      </c>
      <c r="AC52">
        <v>0</v>
      </c>
      <c r="AD52">
        <v>0</v>
      </c>
      <c r="AE52">
        <v>0</v>
      </c>
      <c r="AF52">
        <v>0</v>
      </c>
    </row>
    <row r="53" spans="1:32" x14ac:dyDescent="0.25">
      <c r="B53">
        <v>342</v>
      </c>
      <c r="C53" t="s">
        <v>258</v>
      </c>
      <c r="D53">
        <v>0</v>
      </c>
      <c r="E53">
        <v>0</v>
      </c>
      <c r="F53">
        <v>0</v>
      </c>
      <c r="G53">
        <v>0</v>
      </c>
      <c r="H53">
        <v>0</v>
      </c>
      <c r="I53">
        <v>0</v>
      </c>
      <c r="J53">
        <v>0</v>
      </c>
      <c r="K53">
        <v>0</v>
      </c>
      <c r="L53">
        <v>0</v>
      </c>
      <c r="M53">
        <v>0</v>
      </c>
      <c r="N53">
        <v>0</v>
      </c>
      <c r="O53">
        <v>0</v>
      </c>
      <c r="P53">
        <v>0</v>
      </c>
      <c r="Q53">
        <v>0</v>
      </c>
      <c r="R53">
        <v>0</v>
      </c>
      <c r="S53">
        <v>0</v>
      </c>
      <c r="T53">
        <v>0</v>
      </c>
      <c r="U53">
        <v>0</v>
      </c>
      <c r="V53">
        <v>0</v>
      </c>
      <c r="W53">
        <v>0</v>
      </c>
      <c r="X53">
        <v>0</v>
      </c>
      <c r="Y53">
        <v>0</v>
      </c>
      <c r="Z53">
        <v>0</v>
      </c>
      <c r="AA53">
        <v>0</v>
      </c>
      <c r="AB53">
        <v>0</v>
      </c>
      <c r="AC53">
        <v>0</v>
      </c>
      <c r="AD53">
        <v>0</v>
      </c>
      <c r="AE53">
        <v>0</v>
      </c>
      <c r="AF53">
        <v>0</v>
      </c>
    </row>
    <row r="54" spans="1:32" x14ac:dyDescent="0.25">
      <c r="B54">
        <v>343</v>
      </c>
      <c r="C54" t="s">
        <v>259</v>
      </c>
      <c r="D54">
        <v>0</v>
      </c>
      <c r="E54">
        <v>0</v>
      </c>
      <c r="F54">
        <v>0</v>
      </c>
      <c r="G54">
        <v>0</v>
      </c>
      <c r="H54">
        <v>0</v>
      </c>
      <c r="I54">
        <v>0</v>
      </c>
      <c r="J54">
        <v>0</v>
      </c>
      <c r="K54">
        <v>0</v>
      </c>
      <c r="L54">
        <v>0</v>
      </c>
      <c r="M54">
        <v>0</v>
      </c>
      <c r="N54">
        <v>0</v>
      </c>
      <c r="O54">
        <v>0</v>
      </c>
      <c r="P54">
        <v>0</v>
      </c>
      <c r="Q54">
        <v>0</v>
      </c>
      <c r="R54">
        <v>0</v>
      </c>
      <c r="S54">
        <v>0</v>
      </c>
      <c r="T54">
        <v>0</v>
      </c>
      <c r="U54">
        <v>0</v>
      </c>
      <c r="V54">
        <v>0</v>
      </c>
      <c r="W54">
        <v>0</v>
      </c>
      <c r="X54">
        <v>0</v>
      </c>
      <c r="Y54">
        <v>0</v>
      </c>
      <c r="Z54">
        <v>0</v>
      </c>
      <c r="AA54">
        <v>0</v>
      </c>
      <c r="AB54">
        <v>0</v>
      </c>
      <c r="AC54">
        <v>0</v>
      </c>
      <c r="AD54">
        <v>0</v>
      </c>
      <c r="AE54">
        <v>0</v>
      </c>
      <c r="AF54">
        <v>0</v>
      </c>
    </row>
    <row r="55" spans="1:32" x14ac:dyDescent="0.25">
      <c r="B55">
        <v>344</v>
      </c>
      <c r="C55" t="s">
        <v>260</v>
      </c>
      <c r="D55">
        <v>0</v>
      </c>
      <c r="E55">
        <v>0</v>
      </c>
      <c r="F55">
        <v>0</v>
      </c>
      <c r="G55">
        <v>0</v>
      </c>
      <c r="H55">
        <v>0</v>
      </c>
      <c r="I55">
        <v>0</v>
      </c>
      <c r="J55">
        <v>0</v>
      </c>
      <c r="K55">
        <v>0</v>
      </c>
      <c r="L55">
        <v>0</v>
      </c>
      <c r="M55">
        <v>0</v>
      </c>
      <c r="N55">
        <v>0</v>
      </c>
      <c r="O55">
        <v>0</v>
      </c>
      <c r="P55">
        <v>0</v>
      </c>
      <c r="Q55">
        <v>0</v>
      </c>
      <c r="R55">
        <v>0</v>
      </c>
      <c r="S55">
        <v>0</v>
      </c>
      <c r="T55">
        <v>0</v>
      </c>
      <c r="U55">
        <v>0</v>
      </c>
      <c r="V55">
        <v>0</v>
      </c>
      <c r="W55">
        <v>0</v>
      </c>
      <c r="X55">
        <v>0</v>
      </c>
      <c r="Y55">
        <v>0</v>
      </c>
      <c r="Z55">
        <v>0</v>
      </c>
      <c r="AA55">
        <v>0</v>
      </c>
      <c r="AB55">
        <v>0</v>
      </c>
      <c r="AC55">
        <v>0</v>
      </c>
      <c r="AD55">
        <v>0</v>
      </c>
      <c r="AE55">
        <v>0</v>
      </c>
      <c r="AF55">
        <v>0</v>
      </c>
    </row>
    <row r="56" spans="1:32" x14ac:dyDescent="0.25">
      <c r="B56">
        <v>367</v>
      </c>
      <c r="C56" t="s">
        <v>171</v>
      </c>
      <c r="D56">
        <v>0</v>
      </c>
      <c r="E56">
        <v>0</v>
      </c>
      <c r="F56">
        <v>0</v>
      </c>
      <c r="G56">
        <v>0</v>
      </c>
      <c r="H56">
        <v>0</v>
      </c>
      <c r="I56">
        <v>0</v>
      </c>
      <c r="J56">
        <v>0</v>
      </c>
      <c r="K56">
        <v>0</v>
      </c>
      <c r="L56">
        <v>0</v>
      </c>
      <c r="M56">
        <v>0</v>
      </c>
      <c r="N56">
        <v>0</v>
      </c>
      <c r="O56">
        <v>0</v>
      </c>
      <c r="P56">
        <v>0</v>
      </c>
      <c r="Q56">
        <v>0</v>
      </c>
      <c r="R56">
        <v>0</v>
      </c>
      <c r="S56">
        <v>0</v>
      </c>
      <c r="T56">
        <v>0</v>
      </c>
      <c r="U56">
        <v>0</v>
      </c>
      <c r="V56">
        <v>0</v>
      </c>
      <c r="W56">
        <v>0</v>
      </c>
      <c r="X56">
        <v>0</v>
      </c>
      <c r="Y56">
        <v>0</v>
      </c>
      <c r="Z56">
        <v>0</v>
      </c>
      <c r="AA56">
        <v>0</v>
      </c>
      <c r="AB56">
        <v>0</v>
      </c>
      <c r="AC56">
        <v>0</v>
      </c>
      <c r="AD56">
        <v>0</v>
      </c>
      <c r="AE56">
        <v>0</v>
      </c>
      <c r="AF56">
        <v>0</v>
      </c>
    </row>
    <row r="57" spans="1:32" x14ac:dyDescent="0.25">
      <c r="B57">
        <v>368</v>
      </c>
      <c r="C57" t="s">
        <v>261</v>
      </c>
      <c r="D57">
        <v>0</v>
      </c>
      <c r="E57">
        <v>0</v>
      </c>
      <c r="F57">
        <v>0</v>
      </c>
      <c r="G57">
        <v>0</v>
      </c>
      <c r="H57">
        <v>0</v>
      </c>
      <c r="I57">
        <v>0</v>
      </c>
      <c r="J57">
        <v>0</v>
      </c>
      <c r="K57">
        <v>0</v>
      </c>
      <c r="L57">
        <v>0</v>
      </c>
      <c r="M57">
        <v>0</v>
      </c>
      <c r="N57">
        <v>0</v>
      </c>
      <c r="O57">
        <v>0</v>
      </c>
      <c r="P57">
        <v>0</v>
      </c>
      <c r="Q57">
        <v>0</v>
      </c>
      <c r="R57">
        <v>0</v>
      </c>
      <c r="S57">
        <v>0</v>
      </c>
      <c r="T57">
        <v>0</v>
      </c>
      <c r="U57">
        <v>0</v>
      </c>
      <c r="V57">
        <v>0</v>
      </c>
      <c r="W57">
        <v>0</v>
      </c>
      <c r="X57">
        <v>0</v>
      </c>
      <c r="Y57">
        <v>0</v>
      </c>
      <c r="Z57">
        <v>0</v>
      </c>
      <c r="AA57">
        <v>0</v>
      </c>
      <c r="AB57">
        <v>0</v>
      </c>
      <c r="AC57">
        <v>0</v>
      </c>
      <c r="AD57">
        <v>0</v>
      </c>
      <c r="AE57">
        <v>0</v>
      </c>
      <c r="AF57">
        <v>0</v>
      </c>
    </row>
    <row r="58" spans="1:32" x14ac:dyDescent="0.25">
      <c r="B58">
        <v>369</v>
      </c>
      <c r="C58" t="s">
        <v>172</v>
      </c>
      <c r="D58">
        <v>0</v>
      </c>
      <c r="E58">
        <v>0</v>
      </c>
      <c r="F58">
        <v>0</v>
      </c>
      <c r="G58">
        <v>0</v>
      </c>
      <c r="H58">
        <v>0</v>
      </c>
      <c r="I58">
        <v>0</v>
      </c>
      <c r="J58">
        <v>0</v>
      </c>
      <c r="K58">
        <v>0</v>
      </c>
      <c r="L58">
        <v>0</v>
      </c>
      <c r="M58">
        <v>0</v>
      </c>
      <c r="N58">
        <v>0</v>
      </c>
      <c r="O58">
        <v>0</v>
      </c>
      <c r="P58">
        <v>0</v>
      </c>
      <c r="Q58">
        <v>0</v>
      </c>
      <c r="R58">
        <v>0</v>
      </c>
      <c r="S58">
        <v>0</v>
      </c>
      <c r="T58">
        <v>0</v>
      </c>
      <c r="U58">
        <v>0</v>
      </c>
      <c r="V58">
        <v>0</v>
      </c>
      <c r="W58">
        <v>0</v>
      </c>
      <c r="X58">
        <v>0</v>
      </c>
      <c r="Y58">
        <v>0</v>
      </c>
      <c r="Z58">
        <v>0</v>
      </c>
      <c r="AA58">
        <v>0</v>
      </c>
      <c r="AB58">
        <v>0</v>
      </c>
      <c r="AC58">
        <v>0</v>
      </c>
      <c r="AD58">
        <v>0</v>
      </c>
      <c r="AE58">
        <v>0</v>
      </c>
      <c r="AF58">
        <v>0</v>
      </c>
    </row>
    <row r="59" spans="1:32" x14ac:dyDescent="0.25">
      <c r="B59">
        <v>370</v>
      </c>
      <c r="C59" t="s">
        <v>262</v>
      </c>
      <c r="D59">
        <v>0</v>
      </c>
      <c r="E59">
        <v>0</v>
      </c>
      <c r="F59">
        <v>0</v>
      </c>
      <c r="G59">
        <v>0</v>
      </c>
      <c r="H59">
        <v>0</v>
      </c>
      <c r="I59">
        <v>0</v>
      </c>
      <c r="J59">
        <v>0</v>
      </c>
      <c r="K59">
        <v>0</v>
      </c>
      <c r="L59">
        <v>0</v>
      </c>
      <c r="M59">
        <v>0</v>
      </c>
      <c r="N59">
        <v>0</v>
      </c>
      <c r="O59">
        <v>0</v>
      </c>
      <c r="P59">
        <v>0</v>
      </c>
      <c r="Q59">
        <v>0</v>
      </c>
      <c r="R59">
        <v>0</v>
      </c>
      <c r="S59">
        <v>0</v>
      </c>
      <c r="T59">
        <v>0</v>
      </c>
      <c r="U59">
        <v>0</v>
      </c>
      <c r="V59">
        <v>0</v>
      </c>
      <c r="W59">
        <v>0</v>
      </c>
      <c r="X59">
        <v>0</v>
      </c>
      <c r="Y59">
        <v>0</v>
      </c>
      <c r="Z59">
        <v>0</v>
      </c>
      <c r="AA59">
        <v>0</v>
      </c>
      <c r="AB59">
        <v>0</v>
      </c>
      <c r="AC59">
        <v>0</v>
      </c>
      <c r="AD59">
        <v>0</v>
      </c>
      <c r="AE59">
        <v>0</v>
      </c>
      <c r="AF59">
        <v>0</v>
      </c>
    </row>
    <row r="60" spans="1:32" x14ac:dyDescent="0.25">
      <c r="B60">
        <v>371</v>
      </c>
      <c r="C60" t="s">
        <v>263</v>
      </c>
      <c r="D60">
        <v>0</v>
      </c>
      <c r="E60">
        <v>0</v>
      </c>
      <c r="F60">
        <v>0</v>
      </c>
      <c r="G60">
        <v>0</v>
      </c>
      <c r="H60">
        <v>0</v>
      </c>
      <c r="I60">
        <v>0</v>
      </c>
      <c r="J60">
        <v>0</v>
      </c>
      <c r="K60">
        <v>0</v>
      </c>
      <c r="L60">
        <v>0</v>
      </c>
      <c r="M60">
        <v>0</v>
      </c>
      <c r="N60">
        <v>0</v>
      </c>
      <c r="O60">
        <v>0</v>
      </c>
      <c r="P60">
        <v>0</v>
      </c>
      <c r="Q60">
        <v>0</v>
      </c>
      <c r="R60">
        <v>0</v>
      </c>
      <c r="S60">
        <v>0</v>
      </c>
      <c r="T60">
        <v>0</v>
      </c>
      <c r="U60">
        <v>0</v>
      </c>
      <c r="V60">
        <v>0</v>
      </c>
      <c r="W60">
        <v>0</v>
      </c>
      <c r="X60">
        <v>0</v>
      </c>
      <c r="Y60">
        <v>0</v>
      </c>
      <c r="Z60">
        <v>0</v>
      </c>
      <c r="AA60">
        <v>0</v>
      </c>
      <c r="AB60">
        <v>0</v>
      </c>
      <c r="AC60">
        <v>0</v>
      </c>
      <c r="AD60">
        <v>0</v>
      </c>
      <c r="AE60">
        <v>0</v>
      </c>
      <c r="AF60">
        <v>0</v>
      </c>
    </row>
    <row r="61" spans="1:32" x14ac:dyDescent="0.25">
      <c r="B61">
        <v>372</v>
      </c>
      <c r="C61" t="s">
        <v>264</v>
      </c>
      <c r="D61">
        <v>0</v>
      </c>
      <c r="E61">
        <v>0</v>
      </c>
      <c r="F61">
        <v>0</v>
      </c>
      <c r="G61">
        <v>0</v>
      </c>
      <c r="H61">
        <v>0</v>
      </c>
      <c r="I61">
        <v>0</v>
      </c>
      <c r="J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row>
    <row r="62" spans="1:32" x14ac:dyDescent="0.25">
      <c r="B62">
        <v>373</v>
      </c>
      <c r="C62" t="s">
        <v>173</v>
      </c>
      <c r="D62">
        <v>0</v>
      </c>
      <c r="E62">
        <v>0</v>
      </c>
      <c r="F62">
        <v>0</v>
      </c>
      <c r="G62">
        <v>0</v>
      </c>
      <c r="H62">
        <v>0</v>
      </c>
      <c r="I62">
        <v>0</v>
      </c>
      <c r="J62">
        <v>0</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row>
    <row r="63" spans="1:32" x14ac:dyDescent="0.25">
      <c r="A63">
        <v>376</v>
      </c>
      <c r="B63">
        <v>376</v>
      </c>
      <c r="C63" t="s">
        <v>265</v>
      </c>
      <c r="D63">
        <v>0</v>
      </c>
      <c r="E63">
        <v>0</v>
      </c>
      <c r="F63">
        <v>0</v>
      </c>
      <c r="G63">
        <v>0</v>
      </c>
      <c r="H63">
        <v>0</v>
      </c>
      <c r="I63">
        <v>0</v>
      </c>
      <c r="J63">
        <v>0</v>
      </c>
      <c r="K63">
        <v>0</v>
      </c>
      <c r="L63">
        <v>0</v>
      </c>
      <c r="M63">
        <v>0</v>
      </c>
      <c r="N63">
        <v>0</v>
      </c>
      <c r="O63">
        <v>0</v>
      </c>
      <c r="P63">
        <v>0</v>
      </c>
      <c r="Q63">
        <v>0</v>
      </c>
      <c r="R63">
        <v>0</v>
      </c>
      <c r="S63">
        <v>0</v>
      </c>
      <c r="T63">
        <v>0</v>
      </c>
      <c r="U63">
        <v>0</v>
      </c>
      <c r="V63">
        <v>0</v>
      </c>
      <c r="W63">
        <v>0</v>
      </c>
      <c r="X63">
        <v>0</v>
      </c>
      <c r="Y63">
        <v>0</v>
      </c>
      <c r="Z63">
        <v>0</v>
      </c>
      <c r="AA63">
        <v>0</v>
      </c>
      <c r="AB63">
        <v>0</v>
      </c>
      <c r="AC63">
        <v>0</v>
      </c>
      <c r="AD63">
        <v>0</v>
      </c>
      <c r="AE63">
        <v>0</v>
      </c>
      <c r="AF63">
        <v>0</v>
      </c>
    </row>
    <row r="64" spans="1:32" x14ac:dyDescent="0.25">
      <c r="A64">
        <v>379</v>
      </c>
      <c r="B64">
        <v>379</v>
      </c>
      <c r="C64" t="s">
        <v>266</v>
      </c>
      <c r="D64" s="275">
        <v>386253</v>
      </c>
      <c r="E64">
        <v>0</v>
      </c>
      <c r="F64">
        <v>0</v>
      </c>
      <c r="G64" s="275">
        <v>264871</v>
      </c>
      <c r="H64">
        <v>0</v>
      </c>
      <c r="I64">
        <v>0</v>
      </c>
      <c r="J64">
        <v>0</v>
      </c>
      <c r="K64">
        <v>0</v>
      </c>
      <c r="L64">
        <v>0</v>
      </c>
      <c r="M64" s="275">
        <v>193636</v>
      </c>
      <c r="N64">
        <v>0</v>
      </c>
      <c r="O64">
        <v>0</v>
      </c>
      <c r="P64">
        <v>0</v>
      </c>
      <c r="Q64">
        <v>0</v>
      </c>
      <c r="R64">
        <v>0</v>
      </c>
      <c r="S64">
        <v>0</v>
      </c>
      <c r="T64">
        <v>0</v>
      </c>
      <c r="U64">
        <v>0</v>
      </c>
      <c r="V64">
        <v>0</v>
      </c>
      <c r="W64">
        <v>0</v>
      </c>
      <c r="X64">
        <v>0</v>
      </c>
      <c r="Y64">
        <v>0</v>
      </c>
      <c r="Z64">
        <v>0</v>
      </c>
      <c r="AA64">
        <v>0</v>
      </c>
      <c r="AB64">
        <v>0</v>
      </c>
      <c r="AC64">
        <v>0</v>
      </c>
      <c r="AD64">
        <v>0</v>
      </c>
      <c r="AE64" s="275">
        <v>24845</v>
      </c>
      <c r="AF64">
        <v>0</v>
      </c>
    </row>
    <row r="65" spans="1:32" x14ac:dyDescent="0.25">
      <c r="A65">
        <v>380</v>
      </c>
      <c r="B65">
        <v>380</v>
      </c>
      <c r="C65" t="s">
        <v>267</v>
      </c>
      <c r="D65">
        <v>0</v>
      </c>
      <c r="E65">
        <v>0</v>
      </c>
      <c r="F65">
        <v>0</v>
      </c>
      <c r="G65">
        <v>0</v>
      </c>
      <c r="H65">
        <v>0</v>
      </c>
      <c r="I65">
        <v>0</v>
      </c>
      <c r="J65">
        <v>0</v>
      </c>
      <c r="K65">
        <v>0</v>
      </c>
      <c r="L65">
        <v>0</v>
      </c>
      <c r="M65">
        <v>0</v>
      </c>
      <c r="N65">
        <v>0</v>
      </c>
      <c r="O65">
        <v>0</v>
      </c>
      <c r="P65">
        <v>0</v>
      </c>
      <c r="Q65">
        <v>0</v>
      </c>
      <c r="R65">
        <v>0</v>
      </c>
      <c r="S65">
        <v>0</v>
      </c>
      <c r="T65">
        <v>0</v>
      </c>
      <c r="U65">
        <v>0</v>
      </c>
      <c r="V65">
        <v>0</v>
      </c>
      <c r="W65">
        <v>0</v>
      </c>
      <c r="X65">
        <v>0</v>
      </c>
      <c r="Y65">
        <v>0</v>
      </c>
      <c r="Z65">
        <v>0</v>
      </c>
      <c r="AA65">
        <v>0</v>
      </c>
      <c r="AB65">
        <v>0</v>
      </c>
      <c r="AC65">
        <v>0</v>
      </c>
      <c r="AD65">
        <v>0</v>
      </c>
      <c r="AE65">
        <v>0</v>
      </c>
      <c r="AF65">
        <v>0</v>
      </c>
    </row>
    <row r="66" spans="1:32" x14ac:dyDescent="0.25">
      <c r="A66">
        <v>385</v>
      </c>
      <c r="B66">
        <v>385</v>
      </c>
      <c r="C66" t="s">
        <v>268</v>
      </c>
      <c r="D66" s="275">
        <v>5725488</v>
      </c>
      <c r="E66">
        <v>0</v>
      </c>
      <c r="F66">
        <v>0</v>
      </c>
      <c r="G66" s="275">
        <v>13549062</v>
      </c>
      <c r="H66">
        <v>0</v>
      </c>
      <c r="I66">
        <v>0</v>
      </c>
      <c r="J66">
        <v>0</v>
      </c>
      <c r="K66">
        <v>0</v>
      </c>
      <c r="L66">
        <v>0</v>
      </c>
      <c r="M66" s="275">
        <v>206429</v>
      </c>
      <c r="N66">
        <v>0</v>
      </c>
      <c r="O66">
        <v>0</v>
      </c>
      <c r="P66">
        <v>0</v>
      </c>
      <c r="Q66">
        <v>0</v>
      </c>
      <c r="R66">
        <v>0</v>
      </c>
      <c r="S66">
        <v>0</v>
      </c>
      <c r="T66">
        <v>0</v>
      </c>
      <c r="U66">
        <v>0</v>
      </c>
      <c r="V66">
        <v>0</v>
      </c>
      <c r="W66">
        <v>0</v>
      </c>
      <c r="X66">
        <v>0</v>
      </c>
      <c r="Y66">
        <v>0</v>
      </c>
      <c r="Z66">
        <v>0</v>
      </c>
      <c r="AA66">
        <v>0</v>
      </c>
      <c r="AB66">
        <v>0</v>
      </c>
      <c r="AC66">
        <v>0</v>
      </c>
      <c r="AD66">
        <v>0</v>
      </c>
      <c r="AE66" s="275">
        <v>2610971</v>
      </c>
      <c r="AF66">
        <v>0</v>
      </c>
    </row>
    <row r="67" spans="1:32" x14ac:dyDescent="0.25">
      <c r="A67">
        <v>386</v>
      </c>
      <c r="B67">
        <v>386</v>
      </c>
      <c r="C67" t="s">
        <v>174</v>
      </c>
      <c r="D67">
        <v>0</v>
      </c>
      <c r="E67">
        <v>0</v>
      </c>
      <c r="F67">
        <v>0</v>
      </c>
      <c r="G67">
        <v>0</v>
      </c>
      <c r="H67">
        <v>0</v>
      </c>
      <c r="I67">
        <v>0</v>
      </c>
      <c r="J67">
        <v>0</v>
      </c>
      <c r="K67">
        <v>0</v>
      </c>
      <c r="L67">
        <v>0</v>
      </c>
      <c r="M67">
        <v>0</v>
      </c>
      <c r="N67">
        <v>0</v>
      </c>
      <c r="O67">
        <v>0</v>
      </c>
      <c r="P67">
        <v>0</v>
      </c>
      <c r="Q67">
        <v>0</v>
      </c>
      <c r="R67">
        <v>0</v>
      </c>
      <c r="S67">
        <v>0</v>
      </c>
      <c r="T67">
        <v>0</v>
      </c>
      <c r="U67">
        <v>0</v>
      </c>
      <c r="V67">
        <v>0</v>
      </c>
      <c r="W67">
        <v>0</v>
      </c>
      <c r="X67">
        <v>0</v>
      </c>
      <c r="Y67">
        <v>0</v>
      </c>
      <c r="Z67">
        <v>0</v>
      </c>
      <c r="AA67">
        <v>0</v>
      </c>
      <c r="AB67">
        <v>0</v>
      </c>
      <c r="AC67">
        <v>0</v>
      </c>
      <c r="AD67">
        <v>0</v>
      </c>
      <c r="AE67">
        <v>0</v>
      </c>
      <c r="AF67">
        <v>0</v>
      </c>
    </row>
    <row r="68" spans="1:32" x14ac:dyDescent="0.25">
      <c r="A68">
        <v>387</v>
      </c>
      <c r="B68">
        <v>387</v>
      </c>
      <c r="C68" t="s">
        <v>269</v>
      </c>
      <c r="D68">
        <v>0</v>
      </c>
      <c r="E68">
        <v>0</v>
      </c>
      <c r="F68">
        <v>0</v>
      </c>
      <c r="G68">
        <v>0</v>
      </c>
      <c r="H68">
        <v>0</v>
      </c>
      <c r="I68">
        <v>0</v>
      </c>
      <c r="J68">
        <v>0</v>
      </c>
      <c r="K68">
        <v>0</v>
      </c>
      <c r="L68">
        <v>0</v>
      </c>
      <c r="M68">
        <v>0</v>
      </c>
      <c r="N68">
        <v>0</v>
      </c>
      <c r="O68">
        <v>0</v>
      </c>
      <c r="P68">
        <v>0</v>
      </c>
      <c r="Q68">
        <v>0</v>
      </c>
      <c r="R68">
        <v>0</v>
      </c>
      <c r="S68">
        <v>0</v>
      </c>
      <c r="T68">
        <v>0</v>
      </c>
      <c r="U68">
        <v>0</v>
      </c>
      <c r="V68">
        <v>0</v>
      </c>
      <c r="W68">
        <v>0</v>
      </c>
      <c r="X68">
        <v>0</v>
      </c>
      <c r="Y68">
        <v>0</v>
      </c>
      <c r="Z68">
        <v>0</v>
      </c>
      <c r="AA68">
        <v>0</v>
      </c>
      <c r="AB68">
        <v>0</v>
      </c>
      <c r="AC68">
        <v>0</v>
      </c>
      <c r="AD68">
        <v>0</v>
      </c>
      <c r="AE68">
        <v>0</v>
      </c>
      <c r="AF68">
        <v>0</v>
      </c>
    </row>
    <row r="69" spans="1:32" x14ac:dyDescent="0.25">
      <c r="A69">
        <v>388</v>
      </c>
      <c r="B69">
        <v>388</v>
      </c>
      <c r="C69" t="s">
        <v>270</v>
      </c>
      <c r="D69" s="275">
        <v>291763</v>
      </c>
      <c r="E69">
        <v>0</v>
      </c>
      <c r="F69">
        <v>0</v>
      </c>
      <c r="G69" s="275">
        <v>521540</v>
      </c>
      <c r="H69">
        <v>0</v>
      </c>
      <c r="I69">
        <v>0</v>
      </c>
      <c r="J69">
        <v>0</v>
      </c>
      <c r="K69">
        <v>0</v>
      </c>
      <c r="L69">
        <v>0</v>
      </c>
      <c r="M69" s="275">
        <v>144479</v>
      </c>
      <c r="N69">
        <v>0</v>
      </c>
      <c r="O69">
        <v>0</v>
      </c>
      <c r="P69">
        <v>0</v>
      </c>
      <c r="Q69">
        <v>0</v>
      </c>
      <c r="R69">
        <v>0</v>
      </c>
      <c r="S69">
        <v>0</v>
      </c>
      <c r="T69">
        <v>0</v>
      </c>
      <c r="U69">
        <v>0</v>
      </c>
      <c r="V69">
        <v>0</v>
      </c>
      <c r="W69">
        <v>0</v>
      </c>
      <c r="X69">
        <v>0</v>
      </c>
      <c r="Y69">
        <v>0</v>
      </c>
      <c r="Z69">
        <v>0</v>
      </c>
      <c r="AA69">
        <v>0</v>
      </c>
      <c r="AB69">
        <v>0</v>
      </c>
      <c r="AC69">
        <v>0</v>
      </c>
      <c r="AD69">
        <v>0</v>
      </c>
      <c r="AE69" s="275">
        <v>55481</v>
      </c>
      <c r="AF69">
        <v>0</v>
      </c>
    </row>
    <row r="70" spans="1:32" x14ac:dyDescent="0.25">
      <c r="A70">
        <v>389</v>
      </c>
      <c r="B70">
        <v>389</v>
      </c>
      <c r="C70" t="s">
        <v>175</v>
      </c>
      <c r="D70">
        <v>0</v>
      </c>
      <c r="E70">
        <v>0</v>
      </c>
      <c r="F70">
        <v>0</v>
      </c>
      <c r="G70">
        <v>0</v>
      </c>
      <c r="H70">
        <v>0</v>
      </c>
      <c r="I70">
        <v>0</v>
      </c>
      <c r="J70">
        <v>0</v>
      </c>
      <c r="K70">
        <v>0</v>
      </c>
      <c r="L70">
        <v>0</v>
      </c>
      <c r="M70">
        <v>0</v>
      </c>
      <c r="N70">
        <v>0</v>
      </c>
      <c r="O70">
        <v>0</v>
      </c>
      <c r="P70">
        <v>0</v>
      </c>
      <c r="Q70">
        <v>0</v>
      </c>
      <c r="R70">
        <v>0</v>
      </c>
      <c r="S70">
        <v>0</v>
      </c>
      <c r="T70">
        <v>0</v>
      </c>
      <c r="U70">
        <v>0</v>
      </c>
      <c r="V70">
        <v>0</v>
      </c>
      <c r="W70">
        <v>0</v>
      </c>
      <c r="X70">
        <v>0</v>
      </c>
      <c r="Y70">
        <v>0</v>
      </c>
      <c r="Z70">
        <v>0</v>
      </c>
      <c r="AA70">
        <v>0</v>
      </c>
      <c r="AB70">
        <v>0</v>
      </c>
      <c r="AC70">
        <v>0</v>
      </c>
      <c r="AD70">
        <v>0</v>
      </c>
      <c r="AE70">
        <v>0</v>
      </c>
      <c r="AF70">
        <v>0</v>
      </c>
    </row>
    <row r="71" spans="1:32" x14ac:dyDescent="0.25">
      <c r="B71">
        <v>390</v>
      </c>
      <c r="C71" t="s">
        <v>271</v>
      </c>
      <c r="D71">
        <v>0</v>
      </c>
      <c r="E71">
        <v>0</v>
      </c>
      <c r="F71">
        <v>0</v>
      </c>
      <c r="G71">
        <v>0</v>
      </c>
      <c r="H71">
        <v>0</v>
      </c>
      <c r="I71">
        <v>0</v>
      </c>
      <c r="J71">
        <v>0</v>
      </c>
      <c r="K71">
        <v>0</v>
      </c>
      <c r="L71">
        <v>0</v>
      </c>
      <c r="M71">
        <v>0</v>
      </c>
      <c r="N71">
        <v>0</v>
      </c>
      <c r="O71">
        <v>0</v>
      </c>
      <c r="P71">
        <v>0</v>
      </c>
      <c r="Q71">
        <v>0</v>
      </c>
      <c r="R71">
        <v>0</v>
      </c>
      <c r="S71">
        <v>0</v>
      </c>
      <c r="T71">
        <v>0</v>
      </c>
      <c r="U71">
        <v>0</v>
      </c>
      <c r="V71">
        <v>0</v>
      </c>
      <c r="W71">
        <v>0</v>
      </c>
      <c r="X71">
        <v>0</v>
      </c>
      <c r="Y71">
        <v>0</v>
      </c>
      <c r="Z71">
        <v>0</v>
      </c>
      <c r="AA71">
        <v>0</v>
      </c>
      <c r="AB71">
        <v>0</v>
      </c>
      <c r="AC71">
        <v>0</v>
      </c>
      <c r="AD71">
        <v>0</v>
      </c>
      <c r="AE71">
        <v>0</v>
      </c>
      <c r="AF71">
        <v>0</v>
      </c>
    </row>
    <row r="72" spans="1:32" x14ac:dyDescent="0.25">
      <c r="A72">
        <v>391</v>
      </c>
      <c r="B72">
        <v>391</v>
      </c>
      <c r="C72" t="s">
        <v>176</v>
      </c>
      <c r="D72" s="275">
        <v>3876</v>
      </c>
      <c r="E72">
        <v>0</v>
      </c>
      <c r="F72">
        <v>0</v>
      </c>
      <c r="G72" s="275">
        <v>3022</v>
      </c>
      <c r="H72">
        <v>0</v>
      </c>
      <c r="I72">
        <v>0</v>
      </c>
      <c r="J72">
        <v>0</v>
      </c>
      <c r="K72">
        <v>0</v>
      </c>
      <c r="L72">
        <v>0</v>
      </c>
      <c r="M72" s="275">
        <v>63213</v>
      </c>
      <c r="N72">
        <v>0</v>
      </c>
      <c r="O72">
        <v>0</v>
      </c>
      <c r="P72">
        <v>0</v>
      </c>
      <c r="Q72">
        <v>0</v>
      </c>
      <c r="R72">
        <v>0</v>
      </c>
      <c r="S72">
        <v>0</v>
      </c>
      <c r="T72">
        <v>0</v>
      </c>
      <c r="U72">
        <v>0</v>
      </c>
      <c r="V72">
        <v>0</v>
      </c>
      <c r="W72">
        <v>0</v>
      </c>
      <c r="X72">
        <v>0</v>
      </c>
      <c r="Y72">
        <v>0</v>
      </c>
      <c r="Z72">
        <v>0</v>
      </c>
      <c r="AA72">
        <v>0</v>
      </c>
      <c r="AB72">
        <v>0</v>
      </c>
      <c r="AC72">
        <v>0</v>
      </c>
      <c r="AD72">
        <v>0</v>
      </c>
      <c r="AE72" s="275">
        <v>17842</v>
      </c>
      <c r="AF72">
        <v>0</v>
      </c>
    </row>
    <row r="73" spans="1:32" x14ac:dyDescent="0.25">
      <c r="B73">
        <v>4</v>
      </c>
      <c r="C73" t="s">
        <v>272</v>
      </c>
    </row>
    <row r="74" spans="1:32" x14ac:dyDescent="0.25">
      <c r="B74">
        <v>5</v>
      </c>
      <c r="C74" t="s">
        <v>273</v>
      </c>
    </row>
    <row r="75" spans="1:32" x14ac:dyDescent="0.25">
      <c r="A75">
        <v>500</v>
      </c>
      <c r="B75">
        <v>500</v>
      </c>
      <c r="C75" t="s">
        <v>112</v>
      </c>
      <c r="D75">
        <v>0</v>
      </c>
      <c r="E75">
        <v>0</v>
      </c>
      <c r="F75">
        <v>0</v>
      </c>
      <c r="G75" s="275">
        <v>23062</v>
      </c>
      <c r="H75">
        <v>0</v>
      </c>
      <c r="I75">
        <v>0</v>
      </c>
      <c r="J75">
        <v>0</v>
      </c>
      <c r="K75">
        <v>0</v>
      </c>
      <c r="L75">
        <v>0</v>
      </c>
      <c r="M75">
        <v>980</v>
      </c>
      <c r="N75">
        <v>0</v>
      </c>
      <c r="O75">
        <v>0</v>
      </c>
      <c r="P75">
        <v>0</v>
      </c>
      <c r="Q75">
        <v>0</v>
      </c>
      <c r="R75">
        <v>0</v>
      </c>
      <c r="S75">
        <v>0</v>
      </c>
      <c r="T75">
        <v>0</v>
      </c>
      <c r="U75">
        <v>0</v>
      </c>
      <c r="V75">
        <v>0</v>
      </c>
      <c r="W75">
        <v>0</v>
      </c>
      <c r="X75">
        <v>0</v>
      </c>
      <c r="Y75">
        <v>0</v>
      </c>
      <c r="Z75">
        <v>0</v>
      </c>
      <c r="AA75">
        <v>0</v>
      </c>
      <c r="AB75">
        <v>0</v>
      </c>
      <c r="AC75">
        <v>0</v>
      </c>
      <c r="AD75">
        <v>0</v>
      </c>
      <c r="AE75">
        <v>0</v>
      </c>
      <c r="AF75">
        <v>0</v>
      </c>
    </row>
    <row r="76" spans="1:32" x14ac:dyDescent="0.25">
      <c r="B76">
        <v>501</v>
      </c>
      <c r="C76" t="s">
        <v>113</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row>
    <row r="77" spans="1:32" x14ac:dyDescent="0.25">
      <c r="A77">
        <v>502</v>
      </c>
      <c r="B77">
        <v>502</v>
      </c>
      <c r="C77" t="s">
        <v>114</v>
      </c>
      <c r="D77">
        <v>0</v>
      </c>
      <c r="E77" s="275">
        <v>20510976</v>
      </c>
      <c r="F77" s="275">
        <v>114395</v>
      </c>
      <c r="G77">
        <v>0</v>
      </c>
      <c r="H77" s="275">
        <v>557494</v>
      </c>
      <c r="I77" s="275">
        <v>847526</v>
      </c>
      <c r="J77" s="275">
        <v>4184850</v>
      </c>
      <c r="K77" s="275">
        <v>349007</v>
      </c>
      <c r="L77" s="275">
        <v>145770</v>
      </c>
      <c r="M77">
        <v>0</v>
      </c>
      <c r="N77" s="275">
        <v>964820</v>
      </c>
      <c r="O77" s="275">
        <v>597347</v>
      </c>
      <c r="P77" s="275">
        <v>158683</v>
      </c>
      <c r="Q77" s="275">
        <v>709082</v>
      </c>
      <c r="R77" s="275">
        <v>3369577</v>
      </c>
      <c r="S77" s="275">
        <v>488106</v>
      </c>
      <c r="T77" s="275">
        <v>341213</v>
      </c>
      <c r="U77" s="275">
        <v>81832</v>
      </c>
      <c r="V77" s="275">
        <v>2315671</v>
      </c>
      <c r="W77" s="275">
        <v>312978</v>
      </c>
      <c r="X77" s="275">
        <v>26784299</v>
      </c>
      <c r="Y77" s="275">
        <v>64520084</v>
      </c>
      <c r="Z77" s="275">
        <v>1285331</v>
      </c>
      <c r="AA77" s="275">
        <v>293466074</v>
      </c>
      <c r="AB77" s="275">
        <v>256392</v>
      </c>
      <c r="AC77">
        <v>0</v>
      </c>
      <c r="AD77" s="275">
        <v>485977</v>
      </c>
      <c r="AE77">
        <v>0</v>
      </c>
      <c r="AF77" s="275">
        <v>87862</v>
      </c>
    </row>
    <row r="78" spans="1:32" x14ac:dyDescent="0.25">
      <c r="A78">
        <v>503</v>
      </c>
      <c r="B78">
        <v>503</v>
      </c>
      <c r="C78" t="s">
        <v>115</v>
      </c>
      <c r="D78">
        <v>0</v>
      </c>
      <c r="E78" s="275">
        <v>11906218</v>
      </c>
      <c r="F78">
        <v>0</v>
      </c>
      <c r="G78">
        <v>0</v>
      </c>
      <c r="H78" s="275">
        <v>13401</v>
      </c>
      <c r="I78">
        <v>0</v>
      </c>
      <c r="J78">
        <v>0</v>
      </c>
      <c r="K78">
        <v>0</v>
      </c>
      <c r="L78">
        <v>0</v>
      </c>
      <c r="M78">
        <v>0</v>
      </c>
      <c r="N78">
        <v>0</v>
      </c>
      <c r="O78" s="275">
        <v>98941</v>
      </c>
      <c r="P78">
        <v>0</v>
      </c>
      <c r="Q78">
        <v>0</v>
      </c>
      <c r="R78">
        <v>0</v>
      </c>
      <c r="S78">
        <v>0</v>
      </c>
      <c r="T78" s="275">
        <v>126445</v>
      </c>
      <c r="U78">
        <v>0</v>
      </c>
      <c r="V78">
        <v>0</v>
      </c>
      <c r="W78" s="275">
        <v>6850</v>
      </c>
      <c r="X78" s="275">
        <v>8958534</v>
      </c>
      <c r="Y78" s="275">
        <v>13043761</v>
      </c>
      <c r="Z78" s="275">
        <v>1676664</v>
      </c>
      <c r="AA78" s="275">
        <v>126851356</v>
      </c>
      <c r="AB78">
        <v>0</v>
      </c>
      <c r="AC78">
        <v>0</v>
      </c>
      <c r="AD78" s="275">
        <v>55962</v>
      </c>
      <c r="AE78">
        <v>0</v>
      </c>
      <c r="AF78" s="275">
        <v>14201</v>
      </c>
    </row>
    <row r="79" spans="1:32" x14ac:dyDescent="0.25">
      <c r="A79">
        <v>504</v>
      </c>
      <c r="B79">
        <v>504</v>
      </c>
      <c r="C79" t="s">
        <v>118</v>
      </c>
      <c r="D79">
        <v>0</v>
      </c>
      <c r="E79">
        <v>0</v>
      </c>
      <c r="F79">
        <v>0</v>
      </c>
      <c r="G79" s="275">
        <v>117290</v>
      </c>
      <c r="H79">
        <v>0</v>
      </c>
      <c r="I79">
        <v>0</v>
      </c>
      <c r="J79">
        <v>0</v>
      </c>
      <c r="K79">
        <v>0</v>
      </c>
      <c r="L79">
        <v>0</v>
      </c>
      <c r="M79" s="275">
        <v>80000</v>
      </c>
      <c r="N79">
        <v>0</v>
      </c>
      <c r="O79">
        <v>0</v>
      </c>
      <c r="P79">
        <v>0</v>
      </c>
      <c r="Q79">
        <v>0</v>
      </c>
      <c r="R79">
        <v>0</v>
      </c>
      <c r="S79">
        <v>0</v>
      </c>
      <c r="T79">
        <v>0</v>
      </c>
      <c r="U79">
        <v>0</v>
      </c>
      <c r="V79">
        <v>0</v>
      </c>
      <c r="W79">
        <v>0</v>
      </c>
      <c r="X79">
        <v>0</v>
      </c>
      <c r="Y79">
        <v>0</v>
      </c>
      <c r="Z79">
        <v>0</v>
      </c>
      <c r="AA79">
        <v>0</v>
      </c>
      <c r="AB79">
        <v>0</v>
      </c>
      <c r="AC79">
        <v>0</v>
      </c>
      <c r="AD79">
        <v>0</v>
      </c>
      <c r="AE79" s="275">
        <v>11750</v>
      </c>
      <c r="AF79">
        <v>0</v>
      </c>
    </row>
    <row r="80" spans="1:32" x14ac:dyDescent="0.25">
      <c r="A80">
        <v>505</v>
      </c>
      <c r="B80">
        <v>505</v>
      </c>
      <c r="C80" t="s">
        <v>119</v>
      </c>
      <c r="D80" s="275">
        <v>122228</v>
      </c>
      <c r="E80">
        <v>0</v>
      </c>
      <c r="F80">
        <v>0</v>
      </c>
      <c r="G80" s="275">
        <v>884236</v>
      </c>
      <c r="H80">
        <v>0</v>
      </c>
      <c r="I80">
        <v>0</v>
      </c>
      <c r="J80">
        <v>0</v>
      </c>
      <c r="K80">
        <v>0</v>
      </c>
      <c r="L80">
        <v>0</v>
      </c>
      <c r="M80">
        <v>0</v>
      </c>
      <c r="N80">
        <v>0</v>
      </c>
      <c r="O80">
        <v>0</v>
      </c>
      <c r="P80">
        <v>0</v>
      </c>
      <c r="Q80">
        <v>0</v>
      </c>
      <c r="R80">
        <v>0</v>
      </c>
      <c r="S80">
        <v>0</v>
      </c>
      <c r="T80">
        <v>0</v>
      </c>
      <c r="U80">
        <v>0</v>
      </c>
      <c r="V80">
        <v>0</v>
      </c>
      <c r="W80">
        <v>0</v>
      </c>
      <c r="X80">
        <v>0</v>
      </c>
      <c r="Y80">
        <v>0</v>
      </c>
      <c r="Z80">
        <v>0</v>
      </c>
      <c r="AA80">
        <v>0</v>
      </c>
      <c r="AB80">
        <v>0</v>
      </c>
      <c r="AC80">
        <v>0</v>
      </c>
      <c r="AD80">
        <v>0</v>
      </c>
      <c r="AE80" s="275">
        <v>345436</v>
      </c>
      <c r="AF80">
        <v>0</v>
      </c>
    </row>
    <row r="81" spans="1:32" x14ac:dyDescent="0.25">
      <c r="A81">
        <v>506</v>
      </c>
      <c r="B81">
        <v>506</v>
      </c>
      <c r="C81" t="s">
        <v>125</v>
      </c>
      <c r="D81" s="275">
        <v>373084</v>
      </c>
      <c r="E81">
        <v>0</v>
      </c>
      <c r="F81">
        <v>0</v>
      </c>
      <c r="G81" s="275">
        <v>260741</v>
      </c>
      <c r="H81">
        <v>0</v>
      </c>
      <c r="I81">
        <v>0</v>
      </c>
      <c r="J81">
        <v>0</v>
      </c>
      <c r="K81">
        <v>0</v>
      </c>
      <c r="L81">
        <v>0</v>
      </c>
      <c r="M81" s="275">
        <v>128464</v>
      </c>
      <c r="N81">
        <v>0</v>
      </c>
      <c r="O81">
        <v>0</v>
      </c>
      <c r="P81">
        <v>0</v>
      </c>
      <c r="Q81">
        <v>0</v>
      </c>
      <c r="R81">
        <v>0</v>
      </c>
      <c r="S81">
        <v>0</v>
      </c>
      <c r="T81">
        <v>0</v>
      </c>
      <c r="U81">
        <v>0</v>
      </c>
      <c r="V81">
        <v>0</v>
      </c>
      <c r="W81">
        <v>0</v>
      </c>
      <c r="X81">
        <v>0</v>
      </c>
      <c r="Y81">
        <v>0</v>
      </c>
      <c r="Z81">
        <v>0</v>
      </c>
      <c r="AA81">
        <v>0</v>
      </c>
      <c r="AB81">
        <v>0</v>
      </c>
      <c r="AC81">
        <v>0</v>
      </c>
      <c r="AD81">
        <v>0</v>
      </c>
      <c r="AE81" s="275">
        <v>1974</v>
      </c>
      <c r="AF81">
        <v>0</v>
      </c>
    </row>
    <row r="82" spans="1:32" x14ac:dyDescent="0.25">
      <c r="A82">
        <v>507</v>
      </c>
      <c r="B82">
        <v>507</v>
      </c>
      <c r="C82" t="s">
        <v>140</v>
      </c>
      <c r="D82" s="275">
        <v>-5769</v>
      </c>
      <c r="E82">
        <v>0</v>
      </c>
      <c r="F82">
        <v>0</v>
      </c>
      <c r="G82">
        <v>0</v>
      </c>
      <c r="H82">
        <v>0</v>
      </c>
      <c r="I82">
        <v>0</v>
      </c>
      <c r="J82">
        <v>0</v>
      </c>
      <c r="K82">
        <v>0</v>
      </c>
      <c r="L82">
        <v>0</v>
      </c>
      <c r="M82">
        <v>0</v>
      </c>
      <c r="N82">
        <v>0</v>
      </c>
      <c r="O82">
        <v>0</v>
      </c>
      <c r="P82">
        <v>0</v>
      </c>
      <c r="Q82">
        <v>0</v>
      </c>
      <c r="R82">
        <v>0</v>
      </c>
      <c r="S82">
        <v>0</v>
      </c>
      <c r="T82">
        <v>0</v>
      </c>
      <c r="U82">
        <v>0</v>
      </c>
      <c r="V82">
        <v>0</v>
      </c>
      <c r="W82">
        <v>0</v>
      </c>
      <c r="X82">
        <v>0</v>
      </c>
      <c r="Y82">
        <v>0</v>
      </c>
      <c r="Z82">
        <v>0</v>
      </c>
      <c r="AA82">
        <v>0</v>
      </c>
      <c r="AB82">
        <v>0</v>
      </c>
      <c r="AC82">
        <v>0</v>
      </c>
      <c r="AD82">
        <v>0</v>
      </c>
      <c r="AE82">
        <v>0</v>
      </c>
      <c r="AF82">
        <v>0</v>
      </c>
    </row>
    <row r="83" spans="1:32" x14ac:dyDescent="0.25">
      <c r="A83">
        <v>508</v>
      </c>
      <c r="B83">
        <v>508</v>
      </c>
      <c r="C83" t="s">
        <v>137</v>
      </c>
      <c r="D83">
        <v>0</v>
      </c>
      <c r="E83">
        <v>0</v>
      </c>
      <c r="F83">
        <v>0</v>
      </c>
      <c r="G83">
        <v>0</v>
      </c>
      <c r="H83">
        <v>0</v>
      </c>
      <c r="I83">
        <v>0</v>
      </c>
      <c r="J83">
        <v>0</v>
      </c>
      <c r="K83">
        <v>0</v>
      </c>
      <c r="L83">
        <v>0</v>
      </c>
      <c r="M83">
        <v>0</v>
      </c>
      <c r="N83">
        <v>0</v>
      </c>
      <c r="O83">
        <v>0</v>
      </c>
      <c r="P83">
        <v>0</v>
      </c>
      <c r="Q83">
        <v>0</v>
      </c>
      <c r="R83">
        <v>0</v>
      </c>
      <c r="S83">
        <v>0</v>
      </c>
      <c r="T83">
        <v>0</v>
      </c>
      <c r="U83">
        <v>0</v>
      </c>
      <c r="V83">
        <v>0</v>
      </c>
      <c r="W83">
        <v>0</v>
      </c>
      <c r="X83">
        <v>0</v>
      </c>
      <c r="Y83">
        <v>0</v>
      </c>
      <c r="Z83">
        <v>0</v>
      </c>
      <c r="AA83">
        <v>0</v>
      </c>
      <c r="AB83">
        <v>0</v>
      </c>
      <c r="AC83">
        <v>0</v>
      </c>
      <c r="AD83">
        <v>0</v>
      </c>
      <c r="AE83">
        <v>0</v>
      </c>
      <c r="AF83">
        <v>0</v>
      </c>
    </row>
    <row r="84" spans="1:32" x14ac:dyDescent="0.25">
      <c r="A84">
        <v>509</v>
      </c>
      <c r="B84">
        <v>509</v>
      </c>
      <c r="C84" t="s">
        <v>138</v>
      </c>
      <c r="D84">
        <v>0</v>
      </c>
      <c r="E84">
        <v>0</v>
      </c>
      <c r="F84">
        <v>0</v>
      </c>
      <c r="G84">
        <v>0</v>
      </c>
      <c r="H84">
        <v>0</v>
      </c>
      <c r="I84">
        <v>0</v>
      </c>
      <c r="J84">
        <v>0</v>
      </c>
      <c r="K84">
        <v>0</v>
      </c>
      <c r="L84">
        <v>0</v>
      </c>
      <c r="M84">
        <v>0</v>
      </c>
      <c r="N84">
        <v>0</v>
      </c>
      <c r="O84">
        <v>0</v>
      </c>
      <c r="P84">
        <v>0</v>
      </c>
      <c r="Q84">
        <v>0</v>
      </c>
      <c r="R84">
        <v>0</v>
      </c>
      <c r="S84">
        <v>0</v>
      </c>
      <c r="T84">
        <v>0</v>
      </c>
      <c r="U84">
        <v>0</v>
      </c>
      <c r="V84">
        <v>0</v>
      </c>
      <c r="W84">
        <v>0</v>
      </c>
      <c r="X84">
        <v>0</v>
      </c>
      <c r="Y84">
        <v>0</v>
      </c>
      <c r="Z84">
        <v>0</v>
      </c>
      <c r="AA84">
        <v>0</v>
      </c>
      <c r="AB84">
        <v>0</v>
      </c>
      <c r="AC84">
        <v>0</v>
      </c>
      <c r="AD84">
        <v>0</v>
      </c>
      <c r="AE84">
        <v>0</v>
      </c>
      <c r="AF84">
        <v>0</v>
      </c>
    </row>
    <row r="85" spans="1:32" x14ac:dyDescent="0.25">
      <c r="B85">
        <v>510</v>
      </c>
      <c r="C85" t="s">
        <v>141</v>
      </c>
      <c r="D85">
        <v>0</v>
      </c>
      <c r="E85">
        <v>0</v>
      </c>
      <c r="F85">
        <v>0</v>
      </c>
      <c r="G85">
        <v>0</v>
      </c>
      <c r="H85">
        <v>0</v>
      </c>
      <c r="I85">
        <v>0</v>
      </c>
      <c r="J85">
        <v>0</v>
      </c>
      <c r="K85">
        <v>0</v>
      </c>
      <c r="L85">
        <v>0</v>
      </c>
      <c r="M85">
        <v>0</v>
      </c>
      <c r="N85">
        <v>0</v>
      </c>
      <c r="O85">
        <v>0</v>
      </c>
      <c r="P85">
        <v>0</v>
      </c>
      <c r="Q85">
        <v>0</v>
      </c>
      <c r="R85">
        <v>0</v>
      </c>
      <c r="S85">
        <v>0</v>
      </c>
      <c r="T85">
        <v>0</v>
      </c>
      <c r="U85">
        <v>0</v>
      </c>
      <c r="V85">
        <v>0</v>
      </c>
      <c r="W85">
        <v>0</v>
      </c>
      <c r="X85">
        <v>0</v>
      </c>
      <c r="Y85">
        <v>0</v>
      </c>
      <c r="Z85">
        <v>0</v>
      </c>
      <c r="AA85">
        <v>0</v>
      </c>
      <c r="AB85">
        <v>0</v>
      </c>
      <c r="AC85">
        <v>0</v>
      </c>
      <c r="AD85">
        <v>0</v>
      </c>
      <c r="AE85">
        <v>0</v>
      </c>
      <c r="AF85">
        <v>0</v>
      </c>
    </row>
    <row r="86" spans="1:32" x14ac:dyDescent="0.25">
      <c r="B86">
        <v>511</v>
      </c>
      <c r="C86" t="s">
        <v>142</v>
      </c>
      <c r="D86">
        <v>0</v>
      </c>
      <c r="E86">
        <v>0</v>
      </c>
      <c r="F86">
        <v>0</v>
      </c>
      <c r="G86">
        <v>0</v>
      </c>
      <c r="H86">
        <v>0</v>
      </c>
      <c r="I86">
        <v>0</v>
      </c>
      <c r="J86">
        <v>0</v>
      </c>
      <c r="K86">
        <v>0</v>
      </c>
      <c r="L86">
        <v>0</v>
      </c>
      <c r="M86">
        <v>0</v>
      </c>
      <c r="N86">
        <v>0</v>
      </c>
      <c r="O86">
        <v>0</v>
      </c>
      <c r="P86">
        <v>0</v>
      </c>
      <c r="Q86">
        <v>0</v>
      </c>
      <c r="R86">
        <v>0</v>
      </c>
      <c r="S86">
        <v>0</v>
      </c>
      <c r="T86">
        <v>0</v>
      </c>
      <c r="U86">
        <v>0</v>
      </c>
      <c r="V86">
        <v>0</v>
      </c>
      <c r="W86">
        <v>0</v>
      </c>
      <c r="X86">
        <v>0</v>
      </c>
      <c r="Y86">
        <v>0</v>
      </c>
      <c r="Z86">
        <v>0</v>
      </c>
      <c r="AA86">
        <v>0</v>
      </c>
      <c r="AB86">
        <v>0</v>
      </c>
      <c r="AC86">
        <v>0</v>
      </c>
      <c r="AD86">
        <v>0</v>
      </c>
      <c r="AE86">
        <v>0</v>
      </c>
      <c r="AF86">
        <v>0</v>
      </c>
    </row>
    <row r="87" spans="1:32" x14ac:dyDescent="0.25">
      <c r="A87">
        <v>512</v>
      </c>
      <c r="B87">
        <v>512</v>
      </c>
      <c r="C87" t="s">
        <v>143</v>
      </c>
      <c r="D87">
        <v>0</v>
      </c>
      <c r="E87">
        <v>0</v>
      </c>
      <c r="F87">
        <v>0</v>
      </c>
      <c r="G87">
        <v>0</v>
      </c>
      <c r="H87">
        <v>0</v>
      </c>
      <c r="I87">
        <v>0</v>
      </c>
      <c r="J87">
        <v>0</v>
      </c>
      <c r="K87">
        <v>0</v>
      </c>
      <c r="L87">
        <v>0</v>
      </c>
      <c r="M87">
        <v>0</v>
      </c>
      <c r="N87">
        <v>0</v>
      </c>
      <c r="O87">
        <v>0</v>
      </c>
      <c r="P87">
        <v>0</v>
      </c>
      <c r="Q87">
        <v>0</v>
      </c>
      <c r="R87">
        <v>0</v>
      </c>
      <c r="S87">
        <v>0</v>
      </c>
      <c r="T87">
        <v>0</v>
      </c>
      <c r="U87">
        <v>0</v>
      </c>
      <c r="V87">
        <v>0</v>
      </c>
      <c r="W87">
        <v>0</v>
      </c>
      <c r="X87">
        <v>0</v>
      </c>
      <c r="Y87">
        <v>0</v>
      </c>
      <c r="Z87">
        <v>0</v>
      </c>
      <c r="AA87">
        <v>0</v>
      </c>
      <c r="AB87">
        <v>0</v>
      </c>
      <c r="AC87">
        <v>0</v>
      </c>
      <c r="AD87">
        <v>0</v>
      </c>
      <c r="AE87">
        <v>0</v>
      </c>
      <c r="AF87">
        <v>0</v>
      </c>
    </row>
    <row r="88" spans="1:32" x14ac:dyDescent="0.25">
      <c r="B88">
        <v>513</v>
      </c>
      <c r="C88" t="s">
        <v>145</v>
      </c>
      <c r="D88">
        <v>0</v>
      </c>
      <c r="E88">
        <v>0</v>
      </c>
      <c r="F88">
        <v>0</v>
      </c>
      <c r="G88">
        <v>0</v>
      </c>
      <c r="H88">
        <v>0</v>
      </c>
      <c r="I88">
        <v>0</v>
      </c>
      <c r="J88">
        <v>0</v>
      </c>
      <c r="K88">
        <v>0</v>
      </c>
      <c r="L88">
        <v>0</v>
      </c>
      <c r="M88">
        <v>0</v>
      </c>
      <c r="N88">
        <v>0</v>
      </c>
      <c r="O88">
        <v>0</v>
      </c>
      <c r="P88">
        <v>0</v>
      </c>
      <c r="Q88">
        <v>0</v>
      </c>
      <c r="R88">
        <v>0</v>
      </c>
      <c r="S88">
        <v>0</v>
      </c>
      <c r="T88">
        <v>0</v>
      </c>
      <c r="U88">
        <v>0</v>
      </c>
      <c r="V88">
        <v>0</v>
      </c>
      <c r="W88">
        <v>0</v>
      </c>
      <c r="X88">
        <v>0</v>
      </c>
      <c r="Y88">
        <v>0</v>
      </c>
      <c r="Z88">
        <v>0</v>
      </c>
      <c r="AA88">
        <v>0</v>
      </c>
      <c r="AB88">
        <v>0</v>
      </c>
      <c r="AC88">
        <v>0</v>
      </c>
      <c r="AD88">
        <v>0</v>
      </c>
      <c r="AE88">
        <v>0</v>
      </c>
      <c r="AF88">
        <v>0</v>
      </c>
    </row>
    <row r="89" spans="1:32" x14ac:dyDescent="0.25">
      <c r="B89">
        <v>514</v>
      </c>
      <c r="C89" t="s">
        <v>146</v>
      </c>
      <c r="D89">
        <v>0</v>
      </c>
      <c r="E89">
        <v>0</v>
      </c>
      <c r="F89">
        <v>0</v>
      </c>
      <c r="G89">
        <v>0</v>
      </c>
      <c r="H89">
        <v>0</v>
      </c>
      <c r="I89">
        <v>0</v>
      </c>
      <c r="J89">
        <v>0</v>
      </c>
      <c r="K89">
        <v>0</v>
      </c>
      <c r="L89">
        <v>0</v>
      </c>
      <c r="M89">
        <v>0</v>
      </c>
      <c r="N89">
        <v>0</v>
      </c>
      <c r="O89">
        <v>0</v>
      </c>
      <c r="P89">
        <v>0</v>
      </c>
      <c r="Q89">
        <v>0</v>
      </c>
      <c r="R89">
        <v>0</v>
      </c>
      <c r="S89">
        <v>0</v>
      </c>
      <c r="T89">
        <v>0</v>
      </c>
      <c r="U89">
        <v>0</v>
      </c>
      <c r="V89">
        <v>0</v>
      </c>
      <c r="W89">
        <v>0</v>
      </c>
      <c r="X89">
        <v>0</v>
      </c>
      <c r="Y89">
        <v>0</v>
      </c>
      <c r="Z89">
        <v>0</v>
      </c>
      <c r="AA89">
        <v>0</v>
      </c>
      <c r="AB89">
        <v>0</v>
      </c>
      <c r="AC89">
        <v>0</v>
      </c>
      <c r="AD89">
        <v>0</v>
      </c>
      <c r="AE89">
        <v>0</v>
      </c>
      <c r="AF89">
        <v>0</v>
      </c>
    </row>
    <row r="90" spans="1:32" x14ac:dyDescent="0.25">
      <c r="B90">
        <v>515</v>
      </c>
      <c r="C90" t="s">
        <v>153</v>
      </c>
      <c r="D90">
        <v>0</v>
      </c>
      <c r="E90">
        <v>0</v>
      </c>
      <c r="F90">
        <v>0</v>
      </c>
      <c r="G90">
        <v>0</v>
      </c>
      <c r="H90">
        <v>0</v>
      </c>
      <c r="I90">
        <v>0</v>
      </c>
      <c r="J90">
        <v>0</v>
      </c>
      <c r="K90">
        <v>0</v>
      </c>
      <c r="L90">
        <v>0</v>
      </c>
      <c r="M90">
        <v>0</v>
      </c>
      <c r="N90">
        <v>0</v>
      </c>
      <c r="O90">
        <v>0</v>
      </c>
      <c r="P90">
        <v>0</v>
      </c>
      <c r="Q90">
        <v>0</v>
      </c>
      <c r="R90">
        <v>0</v>
      </c>
      <c r="S90">
        <v>0</v>
      </c>
      <c r="T90">
        <v>0</v>
      </c>
      <c r="U90">
        <v>0</v>
      </c>
      <c r="V90">
        <v>0</v>
      </c>
      <c r="W90">
        <v>0</v>
      </c>
      <c r="X90">
        <v>0</v>
      </c>
      <c r="Y90">
        <v>0</v>
      </c>
      <c r="Z90">
        <v>0</v>
      </c>
      <c r="AA90">
        <v>0</v>
      </c>
      <c r="AB90">
        <v>0</v>
      </c>
      <c r="AC90">
        <v>0</v>
      </c>
      <c r="AD90">
        <v>0</v>
      </c>
      <c r="AE90">
        <v>0</v>
      </c>
      <c r="AF90">
        <v>0</v>
      </c>
    </row>
    <row r="91" spans="1:32" x14ac:dyDescent="0.25">
      <c r="B91">
        <v>516</v>
      </c>
      <c r="C91" t="s">
        <v>154</v>
      </c>
      <c r="D91">
        <v>0</v>
      </c>
      <c r="E91">
        <v>0</v>
      </c>
      <c r="F91">
        <v>0</v>
      </c>
      <c r="G91">
        <v>0</v>
      </c>
      <c r="H91">
        <v>0</v>
      </c>
      <c r="I91">
        <v>0</v>
      </c>
      <c r="J91">
        <v>0</v>
      </c>
      <c r="K91">
        <v>0</v>
      </c>
      <c r="L91">
        <v>0</v>
      </c>
      <c r="M91">
        <v>0</v>
      </c>
      <c r="N91">
        <v>0</v>
      </c>
      <c r="O91">
        <v>0</v>
      </c>
      <c r="P91">
        <v>0</v>
      </c>
      <c r="Q91">
        <v>0</v>
      </c>
      <c r="R91">
        <v>0</v>
      </c>
      <c r="S91">
        <v>0</v>
      </c>
      <c r="T91">
        <v>0</v>
      </c>
      <c r="U91">
        <v>0</v>
      </c>
      <c r="V91">
        <v>0</v>
      </c>
      <c r="W91">
        <v>0</v>
      </c>
      <c r="X91">
        <v>0</v>
      </c>
      <c r="Y91">
        <v>0</v>
      </c>
      <c r="Z91">
        <v>0</v>
      </c>
      <c r="AA91">
        <v>0</v>
      </c>
      <c r="AB91">
        <v>0</v>
      </c>
      <c r="AC91">
        <v>0</v>
      </c>
      <c r="AD91">
        <v>0</v>
      </c>
      <c r="AE91">
        <v>0</v>
      </c>
      <c r="AF91">
        <v>0</v>
      </c>
    </row>
    <row r="92" spans="1:32" x14ac:dyDescent="0.25">
      <c r="B92">
        <v>517</v>
      </c>
      <c r="C92" t="s">
        <v>155</v>
      </c>
      <c r="D92">
        <v>0</v>
      </c>
      <c r="E92">
        <v>0</v>
      </c>
      <c r="F92">
        <v>0</v>
      </c>
      <c r="G92">
        <v>0</v>
      </c>
      <c r="H92">
        <v>0</v>
      </c>
      <c r="I92">
        <v>0</v>
      </c>
      <c r="J92">
        <v>0</v>
      </c>
      <c r="K92">
        <v>0</v>
      </c>
      <c r="L92">
        <v>0</v>
      </c>
      <c r="M92">
        <v>0</v>
      </c>
      <c r="N92">
        <v>0</v>
      </c>
      <c r="O92">
        <v>0</v>
      </c>
      <c r="P92">
        <v>0</v>
      </c>
      <c r="Q92">
        <v>0</v>
      </c>
      <c r="R92">
        <v>0</v>
      </c>
      <c r="S92">
        <v>0</v>
      </c>
      <c r="T92">
        <v>0</v>
      </c>
      <c r="U92">
        <v>0</v>
      </c>
      <c r="V92">
        <v>0</v>
      </c>
      <c r="W92">
        <v>0</v>
      </c>
      <c r="X92">
        <v>0</v>
      </c>
      <c r="Y92">
        <v>0</v>
      </c>
      <c r="Z92">
        <v>0</v>
      </c>
      <c r="AA92">
        <v>0</v>
      </c>
      <c r="AB92">
        <v>0</v>
      </c>
      <c r="AC92">
        <v>0</v>
      </c>
      <c r="AD92">
        <v>0</v>
      </c>
      <c r="AE92">
        <v>0</v>
      </c>
      <c r="AF92">
        <v>0</v>
      </c>
    </row>
    <row r="93" spans="1:32" x14ac:dyDescent="0.25">
      <c r="B93">
        <v>518</v>
      </c>
      <c r="C93" t="s">
        <v>156</v>
      </c>
      <c r="D93">
        <v>0</v>
      </c>
      <c r="E93">
        <v>0</v>
      </c>
      <c r="F93">
        <v>0</v>
      </c>
      <c r="G93">
        <v>0</v>
      </c>
      <c r="H93">
        <v>0</v>
      </c>
      <c r="I93">
        <v>0</v>
      </c>
      <c r="J93">
        <v>0</v>
      </c>
      <c r="K93">
        <v>0</v>
      </c>
      <c r="L93">
        <v>0</v>
      </c>
      <c r="M93">
        <v>0</v>
      </c>
      <c r="N93">
        <v>0</v>
      </c>
      <c r="O93">
        <v>0</v>
      </c>
      <c r="P93">
        <v>0</v>
      </c>
      <c r="Q93">
        <v>0</v>
      </c>
      <c r="R93">
        <v>0</v>
      </c>
      <c r="S93">
        <v>0</v>
      </c>
      <c r="T93">
        <v>0</v>
      </c>
      <c r="U93">
        <v>0</v>
      </c>
      <c r="V93">
        <v>0</v>
      </c>
      <c r="W93">
        <v>0</v>
      </c>
      <c r="X93">
        <v>0</v>
      </c>
      <c r="Y93">
        <v>0</v>
      </c>
      <c r="Z93">
        <v>0</v>
      </c>
      <c r="AA93">
        <v>0</v>
      </c>
      <c r="AB93">
        <v>0</v>
      </c>
      <c r="AC93">
        <v>0</v>
      </c>
      <c r="AD93">
        <v>0</v>
      </c>
      <c r="AE93">
        <v>0</v>
      </c>
      <c r="AF93">
        <v>0</v>
      </c>
    </row>
    <row r="94" spans="1:32" x14ac:dyDescent="0.25">
      <c r="B94">
        <v>519</v>
      </c>
      <c r="C94" t="s">
        <v>157</v>
      </c>
      <c r="D94">
        <v>0</v>
      </c>
      <c r="E94">
        <v>0</v>
      </c>
      <c r="F94">
        <v>0</v>
      </c>
      <c r="G94">
        <v>0</v>
      </c>
      <c r="H94">
        <v>0</v>
      </c>
      <c r="I94">
        <v>0</v>
      </c>
      <c r="J94">
        <v>0</v>
      </c>
      <c r="K94">
        <v>0</v>
      </c>
      <c r="L94">
        <v>0</v>
      </c>
      <c r="M94">
        <v>0</v>
      </c>
      <c r="N94">
        <v>0</v>
      </c>
      <c r="O94">
        <v>0</v>
      </c>
      <c r="P94">
        <v>0</v>
      </c>
      <c r="Q94">
        <v>0</v>
      </c>
      <c r="R94">
        <v>0</v>
      </c>
      <c r="S94">
        <v>0</v>
      </c>
      <c r="T94">
        <v>0</v>
      </c>
      <c r="U94">
        <v>0</v>
      </c>
      <c r="V94">
        <v>0</v>
      </c>
      <c r="W94">
        <v>0</v>
      </c>
      <c r="X94">
        <v>0</v>
      </c>
      <c r="Y94">
        <v>0</v>
      </c>
      <c r="Z94">
        <v>0</v>
      </c>
      <c r="AA94">
        <v>0</v>
      </c>
      <c r="AB94">
        <v>0</v>
      </c>
      <c r="AC94">
        <v>0</v>
      </c>
      <c r="AD94">
        <v>0</v>
      </c>
      <c r="AE94">
        <v>0</v>
      </c>
      <c r="AF94">
        <v>0</v>
      </c>
    </row>
    <row r="95" spans="1:32" x14ac:dyDescent="0.25">
      <c r="B95">
        <v>520</v>
      </c>
      <c r="C95" t="s">
        <v>158</v>
      </c>
      <c r="D95">
        <v>0</v>
      </c>
      <c r="E95">
        <v>0</v>
      </c>
      <c r="F95">
        <v>0</v>
      </c>
      <c r="G95">
        <v>0</v>
      </c>
      <c r="H95">
        <v>0</v>
      </c>
      <c r="I95">
        <v>0</v>
      </c>
      <c r="J95">
        <v>0</v>
      </c>
      <c r="K95">
        <v>0</v>
      </c>
      <c r="L95">
        <v>0</v>
      </c>
      <c r="M95">
        <v>0</v>
      </c>
      <c r="N95">
        <v>0</v>
      </c>
      <c r="O95">
        <v>0</v>
      </c>
      <c r="P95">
        <v>0</v>
      </c>
      <c r="Q95">
        <v>0</v>
      </c>
      <c r="R95">
        <v>0</v>
      </c>
      <c r="S95">
        <v>0</v>
      </c>
      <c r="T95">
        <v>0</v>
      </c>
      <c r="U95">
        <v>0</v>
      </c>
      <c r="V95">
        <v>0</v>
      </c>
      <c r="W95">
        <v>0</v>
      </c>
      <c r="X95">
        <v>0</v>
      </c>
      <c r="Y95">
        <v>0</v>
      </c>
      <c r="Z95">
        <v>0</v>
      </c>
      <c r="AA95">
        <v>0</v>
      </c>
      <c r="AB95">
        <v>0</v>
      </c>
      <c r="AC95">
        <v>0</v>
      </c>
      <c r="AD95">
        <v>0</v>
      </c>
      <c r="AE95">
        <v>0</v>
      </c>
      <c r="AF95">
        <v>0</v>
      </c>
    </row>
    <row r="96" spans="1:32" x14ac:dyDescent="0.25">
      <c r="B96">
        <v>521</v>
      </c>
      <c r="C96" t="s">
        <v>159</v>
      </c>
      <c r="D96">
        <v>0</v>
      </c>
      <c r="E96">
        <v>0</v>
      </c>
      <c r="F96">
        <v>0</v>
      </c>
      <c r="G96">
        <v>0</v>
      </c>
      <c r="H96">
        <v>0</v>
      </c>
      <c r="I96">
        <v>0</v>
      </c>
      <c r="J96">
        <v>0</v>
      </c>
      <c r="K96">
        <v>0</v>
      </c>
      <c r="L96">
        <v>0</v>
      </c>
      <c r="M96">
        <v>0</v>
      </c>
      <c r="N96">
        <v>0</v>
      </c>
      <c r="O96">
        <v>0</v>
      </c>
      <c r="P96">
        <v>0</v>
      </c>
      <c r="Q96">
        <v>0</v>
      </c>
      <c r="R96">
        <v>0</v>
      </c>
      <c r="S96">
        <v>0</v>
      </c>
      <c r="T96">
        <v>0</v>
      </c>
      <c r="U96">
        <v>0</v>
      </c>
      <c r="V96">
        <v>0</v>
      </c>
      <c r="W96">
        <v>0</v>
      </c>
      <c r="X96">
        <v>0</v>
      </c>
      <c r="Y96">
        <v>0</v>
      </c>
      <c r="Z96">
        <v>0</v>
      </c>
      <c r="AA96">
        <v>0</v>
      </c>
      <c r="AB96">
        <v>0</v>
      </c>
      <c r="AC96">
        <v>0</v>
      </c>
      <c r="AD96">
        <v>0</v>
      </c>
      <c r="AE96">
        <v>0</v>
      </c>
      <c r="AF96">
        <v>0</v>
      </c>
    </row>
    <row r="97" spans="1:32" x14ac:dyDescent="0.25">
      <c r="B97">
        <v>522</v>
      </c>
      <c r="C97" t="s">
        <v>160</v>
      </c>
      <c r="D97">
        <v>0</v>
      </c>
      <c r="E97">
        <v>0</v>
      </c>
      <c r="F97">
        <v>0</v>
      </c>
      <c r="G97">
        <v>0</v>
      </c>
      <c r="H97">
        <v>0</v>
      </c>
      <c r="I97">
        <v>0</v>
      </c>
      <c r="J97">
        <v>0</v>
      </c>
      <c r="K97">
        <v>0</v>
      </c>
      <c r="L97">
        <v>0</v>
      </c>
      <c r="M97">
        <v>0</v>
      </c>
      <c r="N97">
        <v>0</v>
      </c>
      <c r="O97">
        <v>0</v>
      </c>
      <c r="P97">
        <v>0</v>
      </c>
      <c r="Q97">
        <v>0</v>
      </c>
      <c r="R97">
        <v>0</v>
      </c>
      <c r="S97">
        <v>0</v>
      </c>
      <c r="T97">
        <v>0</v>
      </c>
      <c r="U97">
        <v>0</v>
      </c>
      <c r="V97">
        <v>0</v>
      </c>
      <c r="W97">
        <v>0</v>
      </c>
      <c r="X97">
        <v>0</v>
      </c>
      <c r="Y97">
        <v>0</v>
      </c>
      <c r="Z97">
        <v>0</v>
      </c>
      <c r="AA97">
        <v>0</v>
      </c>
      <c r="AB97">
        <v>0</v>
      </c>
      <c r="AC97">
        <v>0</v>
      </c>
      <c r="AD97">
        <v>0</v>
      </c>
      <c r="AE97">
        <v>0</v>
      </c>
      <c r="AF97">
        <v>0</v>
      </c>
    </row>
    <row r="98" spans="1:32" x14ac:dyDescent="0.25">
      <c r="B98">
        <v>523</v>
      </c>
      <c r="C98" t="s">
        <v>161</v>
      </c>
      <c r="D98">
        <v>0</v>
      </c>
      <c r="E98">
        <v>0</v>
      </c>
      <c r="F98">
        <v>0</v>
      </c>
      <c r="G98">
        <v>0</v>
      </c>
      <c r="H98">
        <v>0</v>
      </c>
      <c r="I98">
        <v>0</v>
      </c>
      <c r="J98">
        <v>0</v>
      </c>
      <c r="K98">
        <v>0</v>
      </c>
      <c r="L98">
        <v>0</v>
      </c>
      <c r="M98">
        <v>0</v>
      </c>
      <c r="N98">
        <v>0</v>
      </c>
      <c r="O98">
        <v>0</v>
      </c>
      <c r="P98">
        <v>0</v>
      </c>
      <c r="Q98">
        <v>0</v>
      </c>
      <c r="R98">
        <v>0</v>
      </c>
      <c r="S98">
        <v>0</v>
      </c>
      <c r="T98">
        <v>0</v>
      </c>
      <c r="U98">
        <v>0</v>
      </c>
      <c r="V98">
        <v>0</v>
      </c>
      <c r="W98">
        <v>0</v>
      </c>
      <c r="X98">
        <v>0</v>
      </c>
      <c r="Y98">
        <v>0</v>
      </c>
      <c r="Z98">
        <v>0</v>
      </c>
      <c r="AA98">
        <v>0</v>
      </c>
      <c r="AB98">
        <v>0</v>
      </c>
      <c r="AC98">
        <v>0</v>
      </c>
      <c r="AD98">
        <v>0</v>
      </c>
      <c r="AE98">
        <v>0</v>
      </c>
      <c r="AF98">
        <v>0</v>
      </c>
    </row>
    <row r="99" spans="1:32" x14ac:dyDescent="0.25">
      <c r="B99">
        <v>524</v>
      </c>
      <c r="C99" t="s">
        <v>162</v>
      </c>
      <c r="D99">
        <v>0</v>
      </c>
      <c r="E99">
        <v>0</v>
      </c>
      <c r="F99">
        <v>0</v>
      </c>
      <c r="G99">
        <v>0</v>
      </c>
      <c r="H99">
        <v>0</v>
      </c>
      <c r="I99">
        <v>0</v>
      </c>
      <c r="J99">
        <v>0</v>
      </c>
      <c r="K99">
        <v>0</v>
      </c>
      <c r="L99">
        <v>0</v>
      </c>
      <c r="M99">
        <v>0</v>
      </c>
      <c r="N99">
        <v>0</v>
      </c>
      <c r="O99">
        <v>0</v>
      </c>
      <c r="P99">
        <v>0</v>
      </c>
      <c r="Q99">
        <v>0</v>
      </c>
      <c r="R99">
        <v>0</v>
      </c>
      <c r="S99">
        <v>0</v>
      </c>
      <c r="T99">
        <v>0</v>
      </c>
      <c r="U99">
        <v>0</v>
      </c>
      <c r="V99">
        <v>0</v>
      </c>
      <c r="W99">
        <v>0</v>
      </c>
      <c r="X99">
        <v>0</v>
      </c>
      <c r="Y99">
        <v>0</v>
      </c>
      <c r="Z99">
        <v>0</v>
      </c>
      <c r="AA99">
        <v>0</v>
      </c>
      <c r="AB99">
        <v>0</v>
      </c>
      <c r="AC99">
        <v>0</v>
      </c>
      <c r="AD99">
        <v>0</v>
      </c>
      <c r="AE99">
        <v>0</v>
      </c>
      <c r="AF99">
        <v>0</v>
      </c>
    </row>
    <row r="100" spans="1:32" x14ac:dyDescent="0.25">
      <c r="B100">
        <v>525</v>
      </c>
      <c r="C100" t="s">
        <v>163</v>
      </c>
      <c r="D100">
        <v>0</v>
      </c>
      <c r="E100">
        <v>0</v>
      </c>
      <c r="F100">
        <v>0</v>
      </c>
      <c r="G100">
        <v>0</v>
      </c>
      <c r="H100">
        <v>0</v>
      </c>
      <c r="I100">
        <v>0</v>
      </c>
      <c r="J100">
        <v>0</v>
      </c>
      <c r="K100">
        <v>0</v>
      </c>
      <c r="L100">
        <v>0</v>
      </c>
      <c r="M100">
        <v>0</v>
      </c>
      <c r="N100">
        <v>0</v>
      </c>
      <c r="O100">
        <v>0</v>
      </c>
      <c r="P100">
        <v>0</v>
      </c>
      <c r="Q100">
        <v>0</v>
      </c>
      <c r="R100">
        <v>0</v>
      </c>
      <c r="S100">
        <v>0</v>
      </c>
      <c r="T100">
        <v>0</v>
      </c>
      <c r="U100">
        <v>0</v>
      </c>
      <c r="V100">
        <v>0</v>
      </c>
      <c r="W100">
        <v>0</v>
      </c>
      <c r="X100">
        <v>0</v>
      </c>
      <c r="Y100">
        <v>0</v>
      </c>
      <c r="Z100">
        <v>0</v>
      </c>
      <c r="AA100">
        <v>0</v>
      </c>
      <c r="AB100">
        <v>0</v>
      </c>
      <c r="AC100">
        <v>0</v>
      </c>
      <c r="AD100">
        <v>0</v>
      </c>
      <c r="AE100">
        <v>0</v>
      </c>
      <c r="AF100">
        <v>0</v>
      </c>
    </row>
    <row r="101" spans="1:32" x14ac:dyDescent="0.25">
      <c r="B101">
        <v>526</v>
      </c>
      <c r="C101" t="s">
        <v>164</v>
      </c>
      <c r="D101">
        <v>0</v>
      </c>
      <c r="E101">
        <v>0</v>
      </c>
      <c r="F101">
        <v>0</v>
      </c>
      <c r="G101">
        <v>0</v>
      </c>
      <c r="H101">
        <v>0</v>
      </c>
      <c r="I101">
        <v>0</v>
      </c>
      <c r="J101">
        <v>0</v>
      </c>
      <c r="K101">
        <v>0</v>
      </c>
      <c r="L101">
        <v>0</v>
      </c>
      <c r="M101">
        <v>0</v>
      </c>
      <c r="N101">
        <v>0</v>
      </c>
      <c r="O101">
        <v>0</v>
      </c>
      <c r="P101">
        <v>0</v>
      </c>
      <c r="Q101">
        <v>0</v>
      </c>
      <c r="R101">
        <v>0</v>
      </c>
      <c r="S101">
        <v>0</v>
      </c>
      <c r="T101">
        <v>0</v>
      </c>
      <c r="U101">
        <v>0</v>
      </c>
      <c r="V101">
        <v>0</v>
      </c>
      <c r="W101">
        <v>0</v>
      </c>
      <c r="X101">
        <v>0</v>
      </c>
      <c r="Y101">
        <v>0</v>
      </c>
      <c r="Z101">
        <v>0</v>
      </c>
      <c r="AA101">
        <v>0</v>
      </c>
      <c r="AB101">
        <v>0</v>
      </c>
      <c r="AC101">
        <v>0</v>
      </c>
      <c r="AD101">
        <v>0</v>
      </c>
      <c r="AE101">
        <v>0</v>
      </c>
      <c r="AF101">
        <v>0</v>
      </c>
    </row>
    <row r="102" spans="1:32" x14ac:dyDescent="0.25">
      <c r="B102">
        <v>527</v>
      </c>
      <c r="C102" t="s">
        <v>165</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row>
    <row r="103" spans="1:32" x14ac:dyDescent="0.25">
      <c r="B103">
        <v>528</v>
      </c>
      <c r="C103" t="s">
        <v>148</v>
      </c>
      <c r="D103">
        <v>0</v>
      </c>
      <c r="E103">
        <v>0</v>
      </c>
      <c r="F103">
        <v>0</v>
      </c>
      <c r="G103">
        <v>0</v>
      </c>
      <c r="H103">
        <v>0</v>
      </c>
      <c r="I103">
        <v>0</v>
      </c>
      <c r="J103">
        <v>0</v>
      </c>
      <c r="K103">
        <v>0</v>
      </c>
      <c r="L103">
        <v>0</v>
      </c>
      <c r="M103">
        <v>0</v>
      </c>
      <c r="N103">
        <v>0</v>
      </c>
      <c r="O103">
        <v>0</v>
      </c>
      <c r="P103">
        <v>0</v>
      </c>
      <c r="Q103">
        <v>0</v>
      </c>
      <c r="R103">
        <v>0</v>
      </c>
      <c r="S103">
        <v>0</v>
      </c>
      <c r="T103">
        <v>0</v>
      </c>
      <c r="U103">
        <v>0</v>
      </c>
      <c r="V103">
        <v>0</v>
      </c>
      <c r="W103">
        <v>0</v>
      </c>
      <c r="X103">
        <v>0</v>
      </c>
      <c r="Y103">
        <v>0</v>
      </c>
      <c r="Z103">
        <v>0</v>
      </c>
      <c r="AA103">
        <v>0</v>
      </c>
      <c r="AB103">
        <v>0</v>
      </c>
      <c r="AC103">
        <v>0</v>
      </c>
      <c r="AD103">
        <v>0</v>
      </c>
      <c r="AE103">
        <v>0</v>
      </c>
      <c r="AF103">
        <v>0</v>
      </c>
    </row>
    <row r="104" spans="1:32" x14ac:dyDescent="0.25">
      <c r="B104">
        <v>529</v>
      </c>
      <c r="C104" t="s">
        <v>149</v>
      </c>
      <c r="D104">
        <v>0</v>
      </c>
      <c r="E104">
        <v>0</v>
      </c>
      <c r="F104">
        <v>0</v>
      </c>
      <c r="G104">
        <v>0</v>
      </c>
      <c r="H104">
        <v>0</v>
      </c>
      <c r="I104">
        <v>0</v>
      </c>
      <c r="J104">
        <v>0</v>
      </c>
      <c r="K104">
        <v>0</v>
      </c>
      <c r="L104">
        <v>0</v>
      </c>
      <c r="M104">
        <v>0</v>
      </c>
      <c r="N104">
        <v>0</v>
      </c>
      <c r="O104">
        <v>0</v>
      </c>
      <c r="P104">
        <v>0</v>
      </c>
      <c r="Q104">
        <v>0</v>
      </c>
      <c r="R104">
        <v>0</v>
      </c>
      <c r="S104">
        <v>0</v>
      </c>
      <c r="T104">
        <v>0</v>
      </c>
      <c r="U104">
        <v>0</v>
      </c>
      <c r="V104">
        <v>0</v>
      </c>
      <c r="W104">
        <v>0</v>
      </c>
      <c r="X104">
        <v>0</v>
      </c>
      <c r="Y104">
        <v>0</v>
      </c>
      <c r="Z104">
        <v>0</v>
      </c>
      <c r="AA104">
        <v>0</v>
      </c>
      <c r="AB104">
        <v>0</v>
      </c>
      <c r="AC104">
        <v>0</v>
      </c>
      <c r="AD104">
        <v>0</v>
      </c>
      <c r="AE104">
        <v>0</v>
      </c>
      <c r="AF104">
        <v>0</v>
      </c>
    </row>
    <row r="105" spans="1:32" x14ac:dyDescent="0.25">
      <c r="B105">
        <v>530</v>
      </c>
      <c r="C105" t="s">
        <v>150</v>
      </c>
      <c r="D105">
        <v>0</v>
      </c>
      <c r="E105">
        <v>0</v>
      </c>
      <c r="F105">
        <v>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row>
    <row r="106" spans="1:32" x14ac:dyDescent="0.25">
      <c r="B106">
        <v>531</v>
      </c>
      <c r="C106" t="s">
        <v>151</v>
      </c>
      <c r="D106">
        <v>0</v>
      </c>
      <c r="E106">
        <v>0</v>
      </c>
      <c r="F106">
        <v>0</v>
      </c>
      <c r="G106">
        <v>0</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row>
    <row r="107" spans="1:32" x14ac:dyDescent="0.25">
      <c r="A107">
        <v>532</v>
      </c>
      <c r="B107">
        <v>532</v>
      </c>
      <c r="C107" t="s">
        <v>131</v>
      </c>
      <c r="D107" s="275">
        <v>152543</v>
      </c>
      <c r="E107">
        <v>0</v>
      </c>
      <c r="F107">
        <v>0</v>
      </c>
      <c r="G107" s="275">
        <v>228377</v>
      </c>
      <c r="H107">
        <v>0</v>
      </c>
      <c r="I107">
        <v>0</v>
      </c>
      <c r="J107">
        <v>0</v>
      </c>
      <c r="K107">
        <v>0</v>
      </c>
      <c r="L107">
        <v>0</v>
      </c>
      <c r="M107" s="275">
        <v>153570</v>
      </c>
      <c r="N107">
        <v>0</v>
      </c>
      <c r="O107">
        <v>0</v>
      </c>
      <c r="P107">
        <v>0</v>
      </c>
      <c r="Q107">
        <v>0</v>
      </c>
      <c r="R107">
        <v>0</v>
      </c>
      <c r="S107">
        <v>0</v>
      </c>
      <c r="T107">
        <v>0</v>
      </c>
      <c r="U107">
        <v>0</v>
      </c>
      <c r="V107">
        <v>0</v>
      </c>
      <c r="W107">
        <v>0</v>
      </c>
      <c r="X107">
        <v>0</v>
      </c>
      <c r="Y107">
        <v>0</v>
      </c>
      <c r="Z107">
        <v>0</v>
      </c>
      <c r="AA107">
        <v>0</v>
      </c>
      <c r="AB107">
        <v>0</v>
      </c>
      <c r="AC107">
        <v>0</v>
      </c>
      <c r="AD107">
        <v>0</v>
      </c>
      <c r="AE107" s="275">
        <v>9162</v>
      </c>
      <c r="AF107">
        <v>0</v>
      </c>
    </row>
    <row r="108" spans="1:32" x14ac:dyDescent="0.25">
      <c r="A108">
        <v>533</v>
      </c>
      <c r="B108">
        <v>533</v>
      </c>
      <c r="C108" t="s">
        <v>177</v>
      </c>
      <c r="D108">
        <v>0</v>
      </c>
      <c r="E108">
        <v>0</v>
      </c>
      <c r="F108">
        <v>0</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c r="AA108">
        <v>0</v>
      </c>
      <c r="AB108">
        <v>0</v>
      </c>
      <c r="AC108">
        <v>0</v>
      </c>
      <c r="AD108">
        <v>0</v>
      </c>
      <c r="AE108">
        <v>0</v>
      </c>
      <c r="AF108">
        <v>0</v>
      </c>
    </row>
    <row r="109" spans="1:32" x14ac:dyDescent="0.25">
      <c r="A109">
        <v>534</v>
      </c>
      <c r="B109">
        <v>534</v>
      </c>
      <c r="C109" t="s">
        <v>152</v>
      </c>
      <c r="D109">
        <v>0</v>
      </c>
      <c r="E109" s="275">
        <v>32302</v>
      </c>
      <c r="F109">
        <v>0</v>
      </c>
      <c r="G109">
        <v>0</v>
      </c>
      <c r="H109" s="275">
        <v>53406</v>
      </c>
      <c r="I109" s="275">
        <v>14421</v>
      </c>
      <c r="J109" s="275">
        <v>59872</v>
      </c>
      <c r="K109">
        <v>0</v>
      </c>
      <c r="L109" s="275">
        <v>58408</v>
      </c>
      <c r="M109">
        <v>0</v>
      </c>
      <c r="N109" s="275">
        <v>84963</v>
      </c>
      <c r="O109">
        <v>0</v>
      </c>
      <c r="P109">
        <v>0</v>
      </c>
      <c r="Q109" s="275">
        <v>39571</v>
      </c>
      <c r="R109" s="275">
        <v>26266</v>
      </c>
      <c r="S109" s="275">
        <v>46929</v>
      </c>
      <c r="T109" s="275">
        <v>59311</v>
      </c>
      <c r="U109">
        <v>0</v>
      </c>
      <c r="V109" s="275">
        <v>72458</v>
      </c>
      <c r="W109">
        <v>0</v>
      </c>
      <c r="X109" s="275">
        <v>29438</v>
      </c>
      <c r="Y109" s="275">
        <v>202326</v>
      </c>
      <c r="Z109" s="275">
        <v>142703</v>
      </c>
      <c r="AA109" s="275">
        <v>3308140</v>
      </c>
      <c r="AB109" s="275">
        <v>18918</v>
      </c>
      <c r="AC109">
        <v>0</v>
      </c>
      <c r="AD109" s="275">
        <v>75448</v>
      </c>
      <c r="AE109">
        <v>0</v>
      </c>
      <c r="AF109" s="275">
        <v>6716</v>
      </c>
    </row>
    <row r="110" spans="1:32" x14ac:dyDescent="0.25">
      <c r="B110">
        <v>535</v>
      </c>
      <c r="C110" t="s">
        <v>274</v>
      </c>
      <c r="D110">
        <v>0</v>
      </c>
      <c r="E110">
        <v>0</v>
      </c>
      <c r="F110">
        <v>0</v>
      </c>
      <c r="G110">
        <v>0</v>
      </c>
      <c r="H110">
        <v>0</v>
      </c>
      <c r="I110">
        <v>0</v>
      </c>
      <c r="J110">
        <v>0</v>
      </c>
      <c r="K110">
        <v>0</v>
      </c>
      <c r="L110">
        <v>0</v>
      </c>
      <c r="M110">
        <v>0</v>
      </c>
      <c r="N110">
        <v>0</v>
      </c>
      <c r="O110">
        <v>0</v>
      </c>
      <c r="P110">
        <v>0</v>
      </c>
      <c r="Q110">
        <v>0</v>
      </c>
      <c r="R110">
        <v>0</v>
      </c>
      <c r="S110">
        <v>0</v>
      </c>
      <c r="T110">
        <v>0</v>
      </c>
      <c r="U110">
        <v>0</v>
      </c>
      <c r="V110">
        <v>0</v>
      </c>
      <c r="W110">
        <v>0</v>
      </c>
      <c r="X110">
        <v>0</v>
      </c>
      <c r="Y110">
        <v>0</v>
      </c>
      <c r="Z110">
        <v>0</v>
      </c>
      <c r="AA110">
        <v>0</v>
      </c>
      <c r="AB110">
        <v>0</v>
      </c>
      <c r="AC110">
        <v>0</v>
      </c>
      <c r="AD110">
        <v>0</v>
      </c>
      <c r="AE110">
        <v>0</v>
      </c>
      <c r="AF110">
        <v>0</v>
      </c>
    </row>
    <row r="111" spans="1:32" x14ac:dyDescent="0.25">
      <c r="A111">
        <v>536</v>
      </c>
      <c r="B111">
        <v>536</v>
      </c>
      <c r="C111" t="s">
        <v>126</v>
      </c>
      <c r="D111">
        <v>0</v>
      </c>
      <c r="E111">
        <v>0</v>
      </c>
      <c r="F111">
        <v>0</v>
      </c>
      <c r="G111">
        <v>0</v>
      </c>
      <c r="H111">
        <v>0</v>
      </c>
      <c r="I111">
        <v>0</v>
      </c>
      <c r="J111">
        <v>0</v>
      </c>
      <c r="K111">
        <v>0</v>
      </c>
      <c r="L111">
        <v>0</v>
      </c>
      <c r="M111">
        <v>980</v>
      </c>
      <c r="N111">
        <v>0</v>
      </c>
      <c r="O111">
        <v>0</v>
      </c>
      <c r="P111">
        <v>0</v>
      </c>
      <c r="Q111">
        <v>0</v>
      </c>
      <c r="R111">
        <v>0</v>
      </c>
      <c r="S111">
        <v>0</v>
      </c>
      <c r="T111">
        <v>0</v>
      </c>
      <c r="U111">
        <v>0</v>
      </c>
      <c r="V111">
        <v>0</v>
      </c>
      <c r="W111">
        <v>0</v>
      </c>
      <c r="X111">
        <v>0</v>
      </c>
      <c r="Y111">
        <v>0</v>
      </c>
      <c r="Z111">
        <v>0</v>
      </c>
      <c r="AA111">
        <v>0</v>
      </c>
      <c r="AB111">
        <v>0</v>
      </c>
      <c r="AC111">
        <v>0</v>
      </c>
      <c r="AD111">
        <v>0</v>
      </c>
      <c r="AE111">
        <v>0</v>
      </c>
      <c r="AF111">
        <v>0</v>
      </c>
    </row>
    <row r="112" spans="1:32" x14ac:dyDescent="0.25">
      <c r="B112">
        <v>6</v>
      </c>
      <c r="C112" t="s">
        <v>275</v>
      </c>
    </row>
    <row r="113" spans="1:32" x14ac:dyDescent="0.25">
      <c r="B113">
        <v>7</v>
      </c>
      <c r="C113" t="s">
        <v>276</v>
      </c>
    </row>
    <row r="114" spans="1:32" x14ac:dyDescent="0.25">
      <c r="B114">
        <v>9</v>
      </c>
      <c r="C114" t="s">
        <v>277</v>
      </c>
    </row>
    <row r="115" spans="1:32" ht="30" x14ac:dyDescent="0.25">
      <c r="B115">
        <v>539</v>
      </c>
      <c r="C115" s="262" t="s">
        <v>278</v>
      </c>
    </row>
    <row r="116" spans="1:32" ht="90" x14ac:dyDescent="0.25">
      <c r="A116">
        <v>547</v>
      </c>
      <c r="B116">
        <v>547</v>
      </c>
      <c r="C116" s="262" t="s">
        <v>279</v>
      </c>
      <c r="D116">
        <v>2</v>
      </c>
      <c r="E116">
        <v>3</v>
      </c>
      <c r="F116">
        <v>2</v>
      </c>
      <c r="G116">
        <v>2</v>
      </c>
      <c r="H116">
        <v>2</v>
      </c>
      <c r="I116">
        <v>2</v>
      </c>
      <c r="J116">
        <v>3</v>
      </c>
      <c r="K116">
        <v>2</v>
      </c>
      <c r="L116">
        <v>2</v>
      </c>
      <c r="M116">
        <v>2</v>
      </c>
      <c r="N116">
        <v>2</v>
      </c>
      <c r="O116">
        <v>2</v>
      </c>
      <c r="P116">
        <v>2</v>
      </c>
      <c r="Q116">
        <v>3</v>
      </c>
      <c r="R116">
        <v>1</v>
      </c>
      <c r="S116">
        <v>2</v>
      </c>
      <c r="T116">
        <v>2</v>
      </c>
      <c r="U116">
        <v>2</v>
      </c>
      <c r="V116">
        <v>3</v>
      </c>
      <c r="W116">
        <v>2</v>
      </c>
      <c r="X116">
        <v>3</v>
      </c>
      <c r="Y116">
        <v>2</v>
      </c>
      <c r="Z116">
        <v>3</v>
      </c>
      <c r="AA116">
        <v>1</v>
      </c>
      <c r="AB116">
        <v>2</v>
      </c>
      <c r="AC116">
        <v>0</v>
      </c>
      <c r="AD116">
        <v>2</v>
      </c>
      <c r="AE116">
        <v>2</v>
      </c>
      <c r="AF116">
        <v>2</v>
      </c>
    </row>
    <row r="117" spans="1:32" ht="60" x14ac:dyDescent="0.25">
      <c r="B117">
        <v>549</v>
      </c>
      <c r="C117" s="262" t="s">
        <v>280</v>
      </c>
      <c r="D117">
        <v>0</v>
      </c>
      <c r="E117">
        <v>0</v>
      </c>
      <c r="F117">
        <v>0</v>
      </c>
      <c r="G117">
        <v>0</v>
      </c>
      <c r="H117">
        <v>0</v>
      </c>
      <c r="I117">
        <v>0</v>
      </c>
      <c r="J117">
        <v>0</v>
      </c>
      <c r="K117">
        <v>0</v>
      </c>
      <c r="L117">
        <v>0</v>
      </c>
      <c r="M117">
        <v>0</v>
      </c>
      <c r="N117">
        <v>0</v>
      </c>
      <c r="O117">
        <v>0</v>
      </c>
      <c r="P117">
        <v>0</v>
      </c>
      <c r="Q117">
        <v>0</v>
      </c>
      <c r="R117">
        <v>0</v>
      </c>
      <c r="S117">
        <v>0</v>
      </c>
      <c r="T117">
        <v>0</v>
      </c>
      <c r="U117">
        <v>0</v>
      </c>
      <c r="V117">
        <v>0</v>
      </c>
      <c r="W117">
        <v>0</v>
      </c>
      <c r="X117">
        <v>0</v>
      </c>
      <c r="Y117">
        <v>0</v>
      </c>
      <c r="Z117">
        <v>0</v>
      </c>
      <c r="AA117">
        <v>0</v>
      </c>
      <c r="AB117">
        <v>0</v>
      </c>
      <c r="AC117">
        <v>0</v>
      </c>
      <c r="AD117">
        <v>0</v>
      </c>
      <c r="AE117">
        <v>0</v>
      </c>
      <c r="AF117">
        <v>0</v>
      </c>
    </row>
    <row r="118" spans="1:32" ht="75" x14ac:dyDescent="0.25">
      <c r="B118">
        <v>551</v>
      </c>
      <c r="C118" s="262" t="s">
        <v>315</v>
      </c>
      <c r="D118">
        <v>0</v>
      </c>
      <c r="E118">
        <v>0</v>
      </c>
      <c r="F118">
        <v>0</v>
      </c>
      <c r="G118">
        <v>0</v>
      </c>
      <c r="H118">
        <v>0</v>
      </c>
      <c r="I118">
        <v>0</v>
      </c>
      <c r="J118">
        <v>0</v>
      </c>
      <c r="K118">
        <v>0</v>
      </c>
      <c r="L118">
        <v>0</v>
      </c>
      <c r="M118">
        <v>0</v>
      </c>
      <c r="N118">
        <v>0</v>
      </c>
      <c r="O118">
        <v>0</v>
      </c>
      <c r="P118">
        <v>0</v>
      </c>
      <c r="Q118">
        <v>0</v>
      </c>
      <c r="R118">
        <v>0</v>
      </c>
      <c r="S118">
        <v>0</v>
      </c>
      <c r="T118">
        <v>0</v>
      </c>
      <c r="U118">
        <v>0</v>
      </c>
      <c r="V118">
        <v>0</v>
      </c>
      <c r="W118">
        <v>0</v>
      </c>
      <c r="X118">
        <v>0</v>
      </c>
      <c r="Y118">
        <v>0</v>
      </c>
      <c r="Z118">
        <v>0</v>
      </c>
      <c r="AA118">
        <v>0</v>
      </c>
      <c r="AB118">
        <v>0</v>
      </c>
      <c r="AC118">
        <v>0</v>
      </c>
      <c r="AD118">
        <v>0</v>
      </c>
      <c r="AE118">
        <v>0</v>
      </c>
      <c r="AF118">
        <v>0</v>
      </c>
    </row>
    <row r="119" spans="1:32" x14ac:dyDescent="0.25">
      <c r="A119">
        <v>998</v>
      </c>
      <c r="B119">
        <v>998</v>
      </c>
      <c r="C119" t="s">
        <v>166</v>
      </c>
      <c r="D119">
        <v>54</v>
      </c>
      <c r="E119">
        <v>54</v>
      </c>
      <c r="F119">
        <v>54</v>
      </c>
      <c r="G119">
        <v>54</v>
      </c>
      <c r="H119">
        <v>54</v>
      </c>
      <c r="I119">
        <v>54</v>
      </c>
      <c r="J119">
        <v>54</v>
      </c>
      <c r="K119">
        <v>54</v>
      </c>
      <c r="L119">
        <v>54</v>
      </c>
      <c r="M119">
        <v>54</v>
      </c>
      <c r="N119">
        <v>54</v>
      </c>
      <c r="O119">
        <v>54</v>
      </c>
      <c r="P119">
        <v>54</v>
      </c>
      <c r="Q119">
        <v>54</v>
      </c>
      <c r="R119">
        <v>54</v>
      </c>
      <c r="S119">
        <v>54</v>
      </c>
      <c r="T119">
        <v>54</v>
      </c>
      <c r="U119">
        <v>54</v>
      </c>
      <c r="V119">
        <v>54</v>
      </c>
      <c r="W119">
        <v>54</v>
      </c>
      <c r="X119">
        <v>54</v>
      </c>
      <c r="Y119">
        <v>54</v>
      </c>
      <c r="Z119">
        <v>54</v>
      </c>
      <c r="AA119">
        <v>54</v>
      </c>
      <c r="AB119">
        <v>54</v>
      </c>
      <c r="AC119">
        <v>54</v>
      </c>
      <c r="AD119">
        <v>54</v>
      </c>
      <c r="AE119">
        <v>54</v>
      </c>
      <c r="AF119">
        <v>54</v>
      </c>
    </row>
    <row r="120" spans="1:32" x14ac:dyDescent="0.25">
      <c r="A120">
        <v>999</v>
      </c>
      <c r="B120">
        <v>999</v>
      </c>
      <c r="C120" t="s">
        <v>167</v>
      </c>
      <c r="D120">
        <v>541777</v>
      </c>
      <c r="E120">
        <v>541000</v>
      </c>
      <c r="F120">
        <v>54949</v>
      </c>
      <c r="G120">
        <v>54937</v>
      </c>
      <c r="H120">
        <v>541001</v>
      </c>
      <c r="I120">
        <v>541002</v>
      </c>
      <c r="J120">
        <v>541003</v>
      </c>
      <c r="K120">
        <v>544178</v>
      </c>
      <c r="L120">
        <v>541004</v>
      </c>
      <c r="M120">
        <v>541727</v>
      </c>
      <c r="N120">
        <v>541010</v>
      </c>
      <c r="O120">
        <v>541005</v>
      </c>
      <c r="P120">
        <v>541025</v>
      </c>
      <c r="Q120">
        <v>541007</v>
      </c>
      <c r="R120">
        <v>541009</v>
      </c>
      <c r="S120">
        <v>541024</v>
      </c>
      <c r="T120">
        <v>541027</v>
      </c>
      <c r="U120">
        <v>541026</v>
      </c>
      <c r="V120">
        <v>541011</v>
      </c>
      <c r="W120">
        <v>541012</v>
      </c>
      <c r="X120">
        <v>541013</v>
      </c>
      <c r="Y120">
        <v>541014</v>
      </c>
      <c r="Z120">
        <v>541015</v>
      </c>
      <c r="AA120">
        <v>541016</v>
      </c>
      <c r="AB120">
        <v>541017</v>
      </c>
      <c r="AC120">
        <v>541018</v>
      </c>
      <c r="AD120">
        <v>541019</v>
      </c>
      <c r="AE120">
        <v>541020</v>
      </c>
      <c r="AF120">
        <v>541022</v>
      </c>
    </row>
    <row r="121" spans="1:32" ht="56.25" customHeight="1" x14ac:dyDescent="0.25">
      <c r="A121">
        <v>554</v>
      </c>
      <c r="B121">
        <v>554</v>
      </c>
      <c r="C121" s="262" t="s">
        <v>281</v>
      </c>
      <c r="D121">
        <v>0</v>
      </c>
      <c r="E121" s="275">
        <v>5008854</v>
      </c>
      <c r="F121" s="275">
        <v>201907</v>
      </c>
      <c r="G121" s="275">
        <v>58280</v>
      </c>
      <c r="H121">
        <v>0</v>
      </c>
      <c r="I121" s="275">
        <v>220407</v>
      </c>
      <c r="J121">
        <v>0</v>
      </c>
      <c r="K121" s="275">
        <v>430581</v>
      </c>
      <c r="L121">
        <v>0</v>
      </c>
      <c r="M121">
        <v>0</v>
      </c>
      <c r="N121">
        <v>0</v>
      </c>
      <c r="O121" s="275">
        <v>1583705</v>
      </c>
      <c r="P121">
        <v>0</v>
      </c>
      <c r="Q121" s="275">
        <v>188668</v>
      </c>
      <c r="R121" s="275">
        <v>123202</v>
      </c>
      <c r="S121">
        <v>0</v>
      </c>
      <c r="T121">
        <v>0</v>
      </c>
      <c r="U121">
        <v>0</v>
      </c>
      <c r="V121">
        <v>0</v>
      </c>
      <c r="W121">
        <v>0</v>
      </c>
      <c r="X121" s="275">
        <v>3335889</v>
      </c>
      <c r="Y121" s="275">
        <v>9863781</v>
      </c>
      <c r="Z121" s="275">
        <v>9856499</v>
      </c>
      <c r="AA121" s="275">
        <v>15405185</v>
      </c>
      <c r="AB121" s="275">
        <v>1207840</v>
      </c>
      <c r="AC121">
        <v>0</v>
      </c>
      <c r="AD121" s="275">
        <v>3478124</v>
      </c>
      <c r="AE121">
        <v>0</v>
      </c>
      <c r="AF121">
        <v>0</v>
      </c>
    </row>
    <row r="122" spans="1:32" ht="71.25" customHeight="1" x14ac:dyDescent="0.25">
      <c r="A122">
        <v>555</v>
      </c>
      <c r="B122">
        <v>555</v>
      </c>
      <c r="C122" s="262" t="s">
        <v>282</v>
      </c>
      <c r="D122">
        <v>0</v>
      </c>
      <c r="E122" s="275">
        <v>5008854</v>
      </c>
      <c r="F122">
        <v>0</v>
      </c>
      <c r="G122">
        <v>0</v>
      </c>
      <c r="H122">
        <v>0</v>
      </c>
      <c r="I122">
        <v>0</v>
      </c>
      <c r="J122">
        <v>0</v>
      </c>
      <c r="K122">
        <v>0</v>
      </c>
      <c r="L122">
        <v>0</v>
      </c>
      <c r="M122">
        <v>0</v>
      </c>
      <c r="N122">
        <v>0</v>
      </c>
      <c r="O122" s="275">
        <v>1583705</v>
      </c>
      <c r="P122">
        <v>0</v>
      </c>
      <c r="Q122">
        <v>0</v>
      </c>
      <c r="R122">
        <v>0</v>
      </c>
      <c r="S122">
        <v>0</v>
      </c>
      <c r="T122">
        <v>0</v>
      </c>
      <c r="U122">
        <v>0</v>
      </c>
      <c r="V122">
        <v>0</v>
      </c>
      <c r="W122">
        <v>0</v>
      </c>
      <c r="X122" s="275">
        <v>2630086</v>
      </c>
      <c r="Y122" s="275">
        <v>9565852</v>
      </c>
      <c r="Z122" s="275">
        <v>9772480</v>
      </c>
      <c r="AA122" s="275">
        <v>15127785</v>
      </c>
      <c r="AB122" s="275">
        <v>1207840</v>
      </c>
      <c r="AC122">
        <v>0</v>
      </c>
      <c r="AD122" s="275">
        <v>3478124</v>
      </c>
      <c r="AE122">
        <v>0</v>
      </c>
      <c r="AF122">
        <v>0</v>
      </c>
    </row>
    <row r="123" spans="1:32" ht="92.25" customHeight="1" x14ac:dyDescent="0.25">
      <c r="A123">
        <v>556</v>
      </c>
      <c r="B123">
        <v>556</v>
      </c>
      <c r="C123" s="262" t="s">
        <v>283</v>
      </c>
      <c r="D123">
        <v>0</v>
      </c>
      <c r="E123" s="275">
        <v>808762</v>
      </c>
      <c r="F123" s="275">
        <v>1179073</v>
      </c>
      <c r="G123" s="275">
        <v>606672</v>
      </c>
      <c r="H123">
        <v>0</v>
      </c>
      <c r="I123" s="275">
        <v>2249496</v>
      </c>
      <c r="J123">
        <v>0</v>
      </c>
      <c r="K123" s="275">
        <v>562786</v>
      </c>
      <c r="L123">
        <v>0</v>
      </c>
      <c r="M123">
        <v>0</v>
      </c>
      <c r="N123">
        <v>0</v>
      </c>
      <c r="O123" s="275">
        <v>1357955</v>
      </c>
      <c r="P123">
        <v>0</v>
      </c>
      <c r="Q123" s="275">
        <v>842445</v>
      </c>
      <c r="R123" s="275">
        <v>1541589</v>
      </c>
      <c r="S123">
        <v>0</v>
      </c>
      <c r="T123">
        <v>0</v>
      </c>
      <c r="U123">
        <v>0</v>
      </c>
      <c r="V123">
        <v>0</v>
      </c>
      <c r="W123">
        <v>0</v>
      </c>
      <c r="X123" s="275">
        <v>2628302</v>
      </c>
      <c r="Y123" s="275">
        <v>3462641</v>
      </c>
      <c r="Z123" s="275">
        <v>3795970</v>
      </c>
      <c r="AA123" s="275">
        <v>38420576</v>
      </c>
      <c r="AB123">
        <v>0</v>
      </c>
      <c r="AC123">
        <v>0</v>
      </c>
      <c r="AD123" s="275">
        <v>1397790</v>
      </c>
      <c r="AE123">
        <v>0</v>
      </c>
      <c r="AF123">
        <v>0</v>
      </c>
    </row>
    <row r="124" spans="1:32" ht="117" customHeight="1" x14ac:dyDescent="0.25">
      <c r="A124">
        <v>557</v>
      </c>
      <c r="B124">
        <v>557</v>
      </c>
      <c r="C124" s="262" t="s">
        <v>284</v>
      </c>
      <c r="D124">
        <v>0</v>
      </c>
      <c r="E124" s="275">
        <v>808762</v>
      </c>
      <c r="F124" s="275">
        <v>1179073</v>
      </c>
      <c r="G124" s="275">
        <v>606672</v>
      </c>
      <c r="H124">
        <v>0</v>
      </c>
      <c r="I124" s="275">
        <v>2249496</v>
      </c>
      <c r="J124">
        <v>0</v>
      </c>
      <c r="K124" s="275">
        <v>562786</v>
      </c>
      <c r="L124">
        <v>0</v>
      </c>
      <c r="M124">
        <v>0</v>
      </c>
      <c r="N124">
        <v>0</v>
      </c>
      <c r="O124" s="275">
        <v>1357955</v>
      </c>
      <c r="P124">
        <v>0</v>
      </c>
      <c r="Q124" s="275">
        <v>842445</v>
      </c>
      <c r="R124" s="275">
        <v>1541589</v>
      </c>
      <c r="S124">
        <v>0</v>
      </c>
      <c r="T124">
        <v>0</v>
      </c>
      <c r="U124">
        <v>0</v>
      </c>
      <c r="V124">
        <v>0</v>
      </c>
      <c r="W124">
        <v>0</v>
      </c>
      <c r="X124" s="275">
        <v>2628302</v>
      </c>
      <c r="Y124" s="275">
        <v>3462641</v>
      </c>
      <c r="Z124" s="275">
        <v>3395717</v>
      </c>
      <c r="AA124" s="275">
        <v>38420576</v>
      </c>
      <c r="AB124">
        <v>0</v>
      </c>
      <c r="AC124">
        <v>0</v>
      </c>
      <c r="AD124" s="275">
        <v>1397790</v>
      </c>
      <c r="AE124">
        <v>0</v>
      </c>
      <c r="AF124">
        <v>0</v>
      </c>
    </row>
    <row r="125" spans="1:32" x14ac:dyDescent="0.25">
      <c r="A125">
        <v>575</v>
      </c>
      <c r="B125">
        <v>575</v>
      </c>
      <c r="C125" t="s">
        <v>195</v>
      </c>
      <c r="D125">
        <v>0</v>
      </c>
      <c r="E125">
        <v>0</v>
      </c>
      <c r="F125">
        <v>0</v>
      </c>
      <c r="G125">
        <v>0</v>
      </c>
      <c r="H125">
        <v>0</v>
      </c>
      <c r="I125">
        <v>0</v>
      </c>
      <c r="J125">
        <v>0</v>
      </c>
      <c r="K125">
        <v>0</v>
      </c>
      <c r="L125">
        <v>0</v>
      </c>
      <c r="M125">
        <v>0</v>
      </c>
      <c r="N125">
        <v>0</v>
      </c>
      <c r="O125">
        <v>0</v>
      </c>
      <c r="P125">
        <v>0</v>
      </c>
      <c r="Q125">
        <v>0</v>
      </c>
      <c r="R125">
        <v>0</v>
      </c>
      <c r="S125">
        <v>0</v>
      </c>
      <c r="T125">
        <v>0</v>
      </c>
      <c r="U125">
        <v>0</v>
      </c>
      <c r="V125">
        <v>0</v>
      </c>
      <c r="W125">
        <v>0</v>
      </c>
      <c r="X125">
        <v>0</v>
      </c>
      <c r="Y125">
        <v>0</v>
      </c>
      <c r="Z125">
        <v>0</v>
      </c>
      <c r="AA125">
        <v>0</v>
      </c>
      <c r="AB125">
        <v>0</v>
      </c>
      <c r="AC125">
        <v>0</v>
      </c>
      <c r="AD125">
        <v>0</v>
      </c>
      <c r="AE125">
        <v>0</v>
      </c>
      <c r="AF125">
        <v>0</v>
      </c>
    </row>
    <row r="126" spans="1:32" x14ac:dyDescent="0.25">
      <c r="A126">
        <v>576</v>
      </c>
      <c r="B126">
        <v>576</v>
      </c>
      <c r="C126" t="s">
        <v>196</v>
      </c>
      <c r="D126">
        <v>0</v>
      </c>
      <c r="E126">
        <v>0</v>
      </c>
      <c r="F126">
        <v>0</v>
      </c>
      <c r="G126">
        <v>0</v>
      </c>
      <c r="H126">
        <v>0</v>
      </c>
      <c r="I126">
        <v>0</v>
      </c>
      <c r="J126">
        <v>0</v>
      </c>
      <c r="K126">
        <v>0</v>
      </c>
      <c r="L126">
        <v>0</v>
      </c>
      <c r="M126">
        <v>0</v>
      </c>
      <c r="N126">
        <v>0</v>
      </c>
      <c r="O126">
        <v>0</v>
      </c>
      <c r="P126">
        <v>0</v>
      </c>
      <c r="Q126">
        <v>0</v>
      </c>
      <c r="R126">
        <v>0</v>
      </c>
      <c r="S126">
        <v>0</v>
      </c>
      <c r="T126">
        <v>0</v>
      </c>
      <c r="U126">
        <v>0</v>
      </c>
      <c r="V126">
        <v>0</v>
      </c>
      <c r="W126">
        <v>0</v>
      </c>
      <c r="X126">
        <v>0</v>
      </c>
      <c r="Y126">
        <v>0</v>
      </c>
      <c r="Z126">
        <v>0</v>
      </c>
      <c r="AA126">
        <v>0</v>
      </c>
      <c r="AB126">
        <v>0</v>
      </c>
      <c r="AC126">
        <v>0</v>
      </c>
      <c r="AD126">
        <v>0</v>
      </c>
      <c r="AE126">
        <v>0</v>
      </c>
      <c r="AF126">
        <v>0</v>
      </c>
    </row>
    <row r="127" spans="1:32" ht="72" customHeight="1" x14ac:dyDescent="0.25">
      <c r="A127">
        <v>577</v>
      </c>
      <c r="B127">
        <v>577</v>
      </c>
      <c r="C127" t="s">
        <v>335</v>
      </c>
      <c r="D127">
        <v>0</v>
      </c>
      <c r="E127">
        <v>0</v>
      </c>
      <c r="F127">
        <v>0</v>
      </c>
      <c r="G127">
        <v>0</v>
      </c>
      <c r="H127">
        <v>0</v>
      </c>
      <c r="I127">
        <v>0</v>
      </c>
      <c r="J127">
        <v>0</v>
      </c>
      <c r="K127">
        <v>0</v>
      </c>
      <c r="L127">
        <v>0</v>
      </c>
      <c r="M127">
        <v>0</v>
      </c>
      <c r="N127">
        <v>0</v>
      </c>
      <c r="O127">
        <v>0</v>
      </c>
      <c r="P127">
        <v>0</v>
      </c>
      <c r="Q127">
        <v>0</v>
      </c>
      <c r="R127">
        <v>0</v>
      </c>
      <c r="S127">
        <v>0</v>
      </c>
      <c r="T127">
        <v>0</v>
      </c>
      <c r="U127">
        <v>0</v>
      </c>
      <c r="V127">
        <v>0</v>
      </c>
      <c r="W127">
        <v>0</v>
      </c>
      <c r="X127">
        <v>0</v>
      </c>
      <c r="Y127">
        <v>0</v>
      </c>
      <c r="Z127">
        <v>0</v>
      </c>
      <c r="AA127">
        <v>0</v>
      </c>
      <c r="AB127">
        <v>0</v>
      </c>
      <c r="AC127">
        <v>0</v>
      </c>
      <c r="AD127">
        <v>0</v>
      </c>
      <c r="AE127">
        <v>0</v>
      </c>
      <c r="AF127">
        <v>0</v>
      </c>
    </row>
    <row r="128" spans="1:32" x14ac:dyDescent="0.25">
      <c r="A128">
        <v>586</v>
      </c>
      <c r="B128">
        <v>586</v>
      </c>
      <c r="C128" t="s">
        <v>334</v>
      </c>
      <c r="D128">
        <v>0</v>
      </c>
      <c r="E128">
        <v>0</v>
      </c>
      <c r="F128">
        <v>0</v>
      </c>
      <c r="G128">
        <v>0</v>
      </c>
      <c r="H128">
        <v>0</v>
      </c>
      <c r="I128">
        <v>0</v>
      </c>
      <c r="J128">
        <v>0</v>
      </c>
      <c r="K128">
        <v>0</v>
      </c>
      <c r="L128">
        <v>0</v>
      </c>
      <c r="M128">
        <v>0</v>
      </c>
      <c r="N128">
        <v>0</v>
      </c>
      <c r="O128">
        <v>0</v>
      </c>
      <c r="P128">
        <v>0</v>
      </c>
      <c r="Q128">
        <v>0</v>
      </c>
      <c r="R128">
        <v>0</v>
      </c>
      <c r="S128">
        <v>0</v>
      </c>
      <c r="T128">
        <v>0</v>
      </c>
      <c r="U128">
        <v>0</v>
      </c>
      <c r="V128">
        <v>0</v>
      </c>
      <c r="W128">
        <v>0</v>
      </c>
      <c r="X128">
        <v>0</v>
      </c>
      <c r="Y128">
        <v>0</v>
      </c>
      <c r="Z128">
        <v>0</v>
      </c>
      <c r="AA128">
        <v>0</v>
      </c>
      <c r="AB128">
        <v>0</v>
      </c>
      <c r="AC128">
        <v>0</v>
      </c>
      <c r="AD128">
        <v>0</v>
      </c>
      <c r="AE128">
        <v>0</v>
      </c>
      <c r="AF128">
        <v>0</v>
      </c>
    </row>
    <row r="129" spans="1:32" x14ac:dyDescent="0.25">
      <c r="A129">
        <v>591</v>
      </c>
      <c r="B129">
        <v>591</v>
      </c>
      <c r="C129" t="s">
        <v>326</v>
      </c>
      <c r="D129">
        <v>0</v>
      </c>
      <c r="E129" s="275">
        <v>13057598</v>
      </c>
      <c r="F129" s="275">
        <v>263507</v>
      </c>
      <c r="G129">
        <v>0</v>
      </c>
      <c r="H129" s="275">
        <v>1346950</v>
      </c>
      <c r="I129" s="275">
        <v>1241014</v>
      </c>
      <c r="J129" s="275">
        <v>1765191</v>
      </c>
      <c r="K129" s="275">
        <v>1217610</v>
      </c>
      <c r="L129" s="275">
        <v>1442662</v>
      </c>
      <c r="M129">
        <v>0</v>
      </c>
      <c r="N129" s="275">
        <v>1095595</v>
      </c>
      <c r="O129" s="275">
        <v>2865883</v>
      </c>
      <c r="P129" s="275">
        <v>887871</v>
      </c>
      <c r="Q129" s="275">
        <v>2025129</v>
      </c>
      <c r="R129" s="275">
        <v>1803932</v>
      </c>
      <c r="S129" s="275">
        <v>1370472</v>
      </c>
      <c r="T129" s="275">
        <v>1077937</v>
      </c>
      <c r="U129" s="275">
        <v>736398</v>
      </c>
      <c r="V129" s="275">
        <v>2339896</v>
      </c>
      <c r="W129" s="275">
        <v>566362</v>
      </c>
      <c r="X129" s="275">
        <v>15261689</v>
      </c>
      <c r="Y129" s="275">
        <v>35808082</v>
      </c>
      <c r="Z129" s="275">
        <v>4597333</v>
      </c>
      <c r="AA129" s="275">
        <v>142668388</v>
      </c>
      <c r="AB129" s="275">
        <v>564609</v>
      </c>
      <c r="AC129">
        <v>0</v>
      </c>
      <c r="AD129" s="275">
        <v>1605391</v>
      </c>
      <c r="AE129">
        <v>0</v>
      </c>
      <c r="AF129" s="275">
        <v>180287</v>
      </c>
    </row>
    <row r="130" spans="1:32" x14ac:dyDescent="0.25">
      <c r="A130">
        <v>592</v>
      </c>
      <c r="B130">
        <v>592</v>
      </c>
      <c r="C130" t="s">
        <v>325</v>
      </c>
      <c r="D130">
        <v>0</v>
      </c>
      <c r="E130" s="275">
        <v>10094535</v>
      </c>
      <c r="F130" s="275">
        <v>1204810</v>
      </c>
      <c r="G130">
        <v>0</v>
      </c>
      <c r="H130" s="275">
        <v>-180053</v>
      </c>
      <c r="I130" s="275">
        <v>1807565</v>
      </c>
      <c r="J130" s="275">
        <v>140457</v>
      </c>
      <c r="K130" s="275">
        <v>265275</v>
      </c>
      <c r="L130" s="275">
        <v>-368283</v>
      </c>
      <c r="M130">
        <v>0</v>
      </c>
      <c r="N130" s="275">
        <v>-292493</v>
      </c>
      <c r="O130" s="275">
        <v>1713213</v>
      </c>
      <c r="P130" s="275">
        <v>101752</v>
      </c>
      <c r="Q130" s="275">
        <v>442027</v>
      </c>
      <c r="R130" s="275">
        <v>1851313</v>
      </c>
      <c r="S130" s="275">
        <v>-538064</v>
      </c>
      <c r="T130" s="275">
        <v>57869</v>
      </c>
      <c r="U130" s="275">
        <v>337842</v>
      </c>
      <c r="V130" s="275">
        <v>105021</v>
      </c>
      <c r="W130" s="275">
        <v>4034720</v>
      </c>
      <c r="X130" s="275">
        <v>8115874</v>
      </c>
      <c r="Y130" s="275">
        <v>12783793</v>
      </c>
      <c r="Z130" s="275">
        <v>12336104</v>
      </c>
      <c r="AA130" s="275">
        <v>128220869</v>
      </c>
      <c r="AB130" s="275">
        <v>1147447</v>
      </c>
      <c r="AC130">
        <v>0</v>
      </c>
      <c r="AD130" s="275">
        <v>4857415</v>
      </c>
      <c r="AE130">
        <v>0</v>
      </c>
      <c r="AF130" s="275">
        <v>-61168</v>
      </c>
    </row>
    <row r="131" spans="1:32" ht="61.5" customHeight="1" x14ac:dyDescent="0.25">
      <c r="B131">
        <v>595</v>
      </c>
      <c r="C131" s="262" t="s">
        <v>351</v>
      </c>
    </row>
    <row r="132" spans="1:32" ht="39" customHeight="1" x14ac:dyDescent="0.25">
      <c r="B132">
        <v>600</v>
      </c>
      <c r="C132" s="262" t="s">
        <v>332</v>
      </c>
    </row>
    <row r="133" spans="1:32" ht="69.75" customHeight="1" x14ac:dyDescent="0.25">
      <c r="B133">
        <v>601</v>
      </c>
      <c r="C133" s="262" t="s">
        <v>333</v>
      </c>
    </row>
    <row r="134" spans="1:32" ht="210" x14ac:dyDescent="0.25">
      <c r="A134">
        <v>603</v>
      </c>
      <c r="B134">
        <v>603</v>
      </c>
      <c r="C134" s="262" t="s">
        <v>348</v>
      </c>
      <c r="D134">
        <v>1</v>
      </c>
      <c r="E134">
        <v>1</v>
      </c>
      <c r="F134">
        <v>2</v>
      </c>
      <c r="G134">
        <v>1</v>
      </c>
      <c r="H134">
        <v>2</v>
      </c>
      <c r="I134">
        <v>1</v>
      </c>
      <c r="J134">
        <v>1</v>
      </c>
      <c r="K134">
        <v>1</v>
      </c>
      <c r="L134">
        <v>2</v>
      </c>
      <c r="M134">
        <v>4</v>
      </c>
      <c r="N134">
        <v>2</v>
      </c>
      <c r="O134">
        <v>2</v>
      </c>
      <c r="P134">
        <v>1</v>
      </c>
      <c r="Q134">
        <v>1</v>
      </c>
      <c r="R134">
        <v>3</v>
      </c>
      <c r="S134">
        <v>2</v>
      </c>
      <c r="T134">
        <v>1</v>
      </c>
      <c r="U134">
        <v>1</v>
      </c>
      <c r="V134">
        <v>1</v>
      </c>
      <c r="W134">
        <v>2</v>
      </c>
      <c r="X134">
        <v>4</v>
      </c>
      <c r="Y134">
        <v>1</v>
      </c>
      <c r="Z134">
        <v>2</v>
      </c>
      <c r="AA134">
        <v>1</v>
      </c>
      <c r="AB134">
        <v>1</v>
      </c>
      <c r="AC134">
        <v>0</v>
      </c>
      <c r="AD134">
        <v>2</v>
      </c>
      <c r="AE134">
        <v>1</v>
      </c>
      <c r="AF134">
        <v>1</v>
      </c>
    </row>
    <row r="135" spans="1:32" ht="135" x14ac:dyDescent="0.25">
      <c r="A135">
        <v>604</v>
      </c>
      <c r="B135">
        <v>604</v>
      </c>
      <c r="C135" s="262" t="s">
        <v>349</v>
      </c>
      <c r="D135">
        <v>1</v>
      </c>
      <c r="E135">
        <v>1</v>
      </c>
      <c r="F135">
        <v>1</v>
      </c>
      <c r="G135">
        <v>1</v>
      </c>
      <c r="H135">
        <v>1</v>
      </c>
      <c r="I135">
        <v>0</v>
      </c>
      <c r="J135">
        <v>1</v>
      </c>
      <c r="K135">
        <v>1</v>
      </c>
      <c r="L135">
        <v>1</v>
      </c>
      <c r="M135">
        <v>3</v>
      </c>
      <c r="N135">
        <v>1</v>
      </c>
      <c r="O135">
        <v>1</v>
      </c>
      <c r="P135">
        <v>1</v>
      </c>
      <c r="Q135">
        <v>1</v>
      </c>
      <c r="R135">
        <v>2</v>
      </c>
      <c r="S135">
        <v>1</v>
      </c>
      <c r="T135">
        <v>5</v>
      </c>
      <c r="U135">
        <v>1</v>
      </c>
      <c r="V135">
        <v>1</v>
      </c>
      <c r="W135">
        <v>1</v>
      </c>
      <c r="X135">
        <v>4</v>
      </c>
      <c r="Y135">
        <v>1</v>
      </c>
      <c r="Z135">
        <v>5</v>
      </c>
      <c r="AA135">
        <v>1</v>
      </c>
      <c r="AB135">
        <v>1</v>
      </c>
      <c r="AC135">
        <v>0</v>
      </c>
      <c r="AD135">
        <v>1</v>
      </c>
      <c r="AE135">
        <v>1</v>
      </c>
      <c r="AF135">
        <v>1</v>
      </c>
    </row>
    <row r="136" spans="1:32" x14ac:dyDescent="0.25">
      <c r="A136">
        <v>605</v>
      </c>
      <c r="B136">
        <v>605</v>
      </c>
      <c r="C136" t="s">
        <v>350</v>
      </c>
      <c r="D136">
        <v>1</v>
      </c>
      <c r="E136">
        <v>1</v>
      </c>
      <c r="F136">
        <v>1</v>
      </c>
      <c r="G136">
        <v>0</v>
      </c>
      <c r="H136">
        <v>1</v>
      </c>
      <c r="I136">
        <v>1</v>
      </c>
      <c r="J136">
        <v>1</v>
      </c>
      <c r="K136">
        <v>1</v>
      </c>
      <c r="L136">
        <v>1</v>
      </c>
      <c r="M136">
        <v>1</v>
      </c>
      <c r="N136">
        <v>1</v>
      </c>
      <c r="O136">
        <v>1</v>
      </c>
      <c r="P136">
        <v>1</v>
      </c>
      <c r="Q136">
        <v>1</v>
      </c>
      <c r="R136">
        <v>1</v>
      </c>
      <c r="S136">
        <v>1</v>
      </c>
      <c r="T136">
        <v>1</v>
      </c>
      <c r="U136">
        <v>1</v>
      </c>
      <c r="V136">
        <v>1</v>
      </c>
      <c r="W136">
        <v>1</v>
      </c>
      <c r="X136">
        <v>1</v>
      </c>
      <c r="Y136">
        <v>1</v>
      </c>
      <c r="Z136">
        <v>1</v>
      </c>
      <c r="AA136">
        <v>1</v>
      </c>
      <c r="AB136">
        <v>1</v>
      </c>
      <c r="AC136">
        <v>0</v>
      </c>
      <c r="AD136">
        <v>1</v>
      </c>
      <c r="AE136">
        <v>1</v>
      </c>
      <c r="AF136">
        <v>1</v>
      </c>
    </row>
    <row r="137" spans="1:32" x14ac:dyDescent="0.25">
      <c r="A137">
        <v>606</v>
      </c>
      <c r="B137">
        <v>606</v>
      </c>
      <c r="C137" t="s">
        <v>356</v>
      </c>
      <c r="D137">
        <v>0</v>
      </c>
      <c r="E137">
        <v>1</v>
      </c>
      <c r="F137">
        <v>1</v>
      </c>
      <c r="G137">
        <v>1</v>
      </c>
      <c r="H137">
        <v>0</v>
      </c>
      <c r="I137">
        <v>1</v>
      </c>
      <c r="J137">
        <v>0</v>
      </c>
      <c r="K137">
        <v>1</v>
      </c>
      <c r="L137">
        <v>0</v>
      </c>
      <c r="M137">
        <v>0</v>
      </c>
      <c r="N137">
        <v>0</v>
      </c>
      <c r="O137">
        <v>1</v>
      </c>
      <c r="P137">
        <v>0</v>
      </c>
      <c r="Q137">
        <v>1</v>
      </c>
      <c r="R137">
        <v>1</v>
      </c>
      <c r="S137">
        <v>0</v>
      </c>
      <c r="T137">
        <v>0</v>
      </c>
      <c r="U137">
        <v>0</v>
      </c>
      <c r="V137">
        <v>0</v>
      </c>
      <c r="W137">
        <v>0</v>
      </c>
      <c r="X137">
        <v>1</v>
      </c>
      <c r="Y137">
        <v>1</v>
      </c>
      <c r="Z137">
        <v>1</v>
      </c>
      <c r="AA137">
        <v>1</v>
      </c>
      <c r="AB137">
        <v>1</v>
      </c>
      <c r="AC137">
        <v>0</v>
      </c>
      <c r="AD137">
        <v>1</v>
      </c>
      <c r="AE137">
        <v>0</v>
      </c>
      <c r="AF137">
        <v>0</v>
      </c>
    </row>
    <row r="138" spans="1:32" x14ac:dyDescent="0.25">
      <c r="A138">
        <v>607</v>
      </c>
      <c r="B138">
        <v>607</v>
      </c>
      <c r="C138" t="s">
        <v>339</v>
      </c>
      <c r="D138">
        <v>0</v>
      </c>
      <c r="E138" s="275">
        <v>1211712</v>
      </c>
      <c r="F138">
        <v>0</v>
      </c>
      <c r="G138">
        <v>0</v>
      </c>
      <c r="H138">
        <v>0</v>
      </c>
      <c r="I138">
        <v>0</v>
      </c>
      <c r="J138" s="275">
        <v>2406495</v>
      </c>
      <c r="K138">
        <v>0</v>
      </c>
      <c r="L138">
        <v>0</v>
      </c>
      <c r="M138">
        <v>0</v>
      </c>
      <c r="N138">
        <v>0</v>
      </c>
      <c r="O138">
        <v>0</v>
      </c>
      <c r="P138">
        <v>0</v>
      </c>
      <c r="Q138" s="275">
        <v>1065513</v>
      </c>
      <c r="R138" s="275">
        <v>62963</v>
      </c>
      <c r="S138">
        <v>0</v>
      </c>
      <c r="T138">
        <v>0</v>
      </c>
      <c r="U138">
        <v>0</v>
      </c>
      <c r="V138" s="275">
        <v>118316</v>
      </c>
      <c r="W138">
        <v>0</v>
      </c>
      <c r="X138" s="275">
        <v>308328</v>
      </c>
      <c r="Y138">
        <v>0</v>
      </c>
      <c r="Z138" s="275">
        <v>1140346</v>
      </c>
      <c r="AA138" s="275">
        <v>6797224</v>
      </c>
      <c r="AB138">
        <v>0</v>
      </c>
      <c r="AC138">
        <v>0</v>
      </c>
      <c r="AD138">
        <v>0</v>
      </c>
      <c r="AE138">
        <v>0</v>
      </c>
      <c r="AF138">
        <v>0</v>
      </c>
    </row>
    <row r="139" spans="1:32" x14ac:dyDescent="0.25">
      <c r="A139">
        <v>608</v>
      </c>
      <c r="B139">
        <v>608</v>
      </c>
      <c r="C139" t="s">
        <v>340</v>
      </c>
      <c r="D139">
        <v>0</v>
      </c>
      <c r="E139">
        <v>0</v>
      </c>
      <c r="F139">
        <v>0</v>
      </c>
      <c r="G139">
        <v>0</v>
      </c>
      <c r="H139">
        <v>0</v>
      </c>
      <c r="I139">
        <v>0</v>
      </c>
      <c r="J139">
        <v>0</v>
      </c>
      <c r="K139">
        <v>0</v>
      </c>
      <c r="L139">
        <v>0</v>
      </c>
      <c r="M139">
        <v>0</v>
      </c>
      <c r="N139">
        <v>0</v>
      </c>
      <c r="O139">
        <v>0</v>
      </c>
      <c r="P139">
        <v>0</v>
      </c>
      <c r="Q139">
        <v>0</v>
      </c>
      <c r="R139">
        <v>0</v>
      </c>
      <c r="S139">
        <v>0</v>
      </c>
      <c r="T139">
        <v>0</v>
      </c>
      <c r="U139">
        <v>0</v>
      </c>
      <c r="V139">
        <v>0</v>
      </c>
      <c r="W139">
        <v>0</v>
      </c>
      <c r="X139">
        <v>0</v>
      </c>
      <c r="Y139">
        <v>0</v>
      </c>
      <c r="Z139">
        <v>0</v>
      </c>
      <c r="AA139">
        <v>0</v>
      </c>
      <c r="AB139">
        <v>0</v>
      </c>
      <c r="AC139">
        <v>0</v>
      </c>
      <c r="AD139">
        <v>0</v>
      </c>
      <c r="AE139">
        <v>0</v>
      </c>
      <c r="AF139">
        <v>0</v>
      </c>
    </row>
    <row r="140" spans="1:32" x14ac:dyDescent="0.25">
      <c r="A140">
        <v>609</v>
      </c>
      <c r="B140">
        <v>609</v>
      </c>
      <c r="C140" t="s">
        <v>357</v>
      </c>
      <c r="D140">
        <v>0</v>
      </c>
      <c r="E140">
        <v>0</v>
      </c>
      <c r="F140">
        <v>0</v>
      </c>
      <c r="G140">
        <v>0</v>
      </c>
      <c r="H140">
        <v>0</v>
      </c>
      <c r="I140">
        <v>0</v>
      </c>
      <c r="J140">
        <v>0</v>
      </c>
      <c r="K140">
        <v>0</v>
      </c>
      <c r="L140">
        <v>0</v>
      </c>
      <c r="M140">
        <v>0</v>
      </c>
      <c r="N140">
        <v>0</v>
      </c>
      <c r="O140">
        <v>0</v>
      </c>
      <c r="P140">
        <v>0</v>
      </c>
      <c r="Q140">
        <v>0</v>
      </c>
      <c r="R140">
        <v>0</v>
      </c>
      <c r="S140">
        <v>0</v>
      </c>
      <c r="T140">
        <v>0</v>
      </c>
      <c r="U140">
        <v>0</v>
      </c>
      <c r="V140">
        <v>0</v>
      </c>
      <c r="W140">
        <v>0</v>
      </c>
      <c r="X140">
        <v>0</v>
      </c>
      <c r="Y140">
        <v>0</v>
      </c>
      <c r="Z140">
        <v>0</v>
      </c>
      <c r="AA140">
        <v>0</v>
      </c>
      <c r="AB140">
        <v>0</v>
      </c>
      <c r="AC140">
        <v>0</v>
      </c>
      <c r="AD140">
        <v>0</v>
      </c>
      <c r="AE140">
        <v>0</v>
      </c>
      <c r="AF140">
        <v>0</v>
      </c>
    </row>
    <row r="141" spans="1:32" x14ac:dyDescent="0.25">
      <c r="A141">
        <v>610</v>
      </c>
      <c r="B141">
        <v>610</v>
      </c>
      <c r="C141" t="s">
        <v>342</v>
      </c>
      <c r="D141">
        <v>0</v>
      </c>
      <c r="E141">
        <v>0</v>
      </c>
      <c r="F141">
        <v>0</v>
      </c>
      <c r="G141">
        <v>0</v>
      </c>
      <c r="H141">
        <v>0</v>
      </c>
      <c r="I141">
        <v>0</v>
      </c>
      <c r="J141">
        <v>0</v>
      </c>
      <c r="K141">
        <v>0</v>
      </c>
      <c r="L141">
        <v>0</v>
      </c>
      <c r="M141">
        <v>0</v>
      </c>
      <c r="N141">
        <v>0</v>
      </c>
      <c r="O141">
        <v>0</v>
      </c>
      <c r="P141">
        <v>0</v>
      </c>
      <c r="Q141">
        <v>0</v>
      </c>
      <c r="R141">
        <v>0</v>
      </c>
      <c r="S141">
        <v>0</v>
      </c>
      <c r="T141">
        <v>0</v>
      </c>
      <c r="U141">
        <v>0</v>
      </c>
      <c r="V141">
        <v>0</v>
      </c>
      <c r="W141">
        <v>0</v>
      </c>
      <c r="X141">
        <v>0</v>
      </c>
      <c r="Y141">
        <v>0</v>
      </c>
      <c r="Z141">
        <v>0</v>
      </c>
      <c r="AA141">
        <v>0</v>
      </c>
      <c r="AB141">
        <v>0</v>
      </c>
      <c r="AC141">
        <v>0</v>
      </c>
      <c r="AD141">
        <v>0</v>
      </c>
      <c r="AE141">
        <v>0</v>
      </c>
      <c r="AF141">
        <v>0</v>
      </c>
    </row>
    <row r="142" spans="1:32" x14ac:dyDescent="0.25">
      <c r="A142">
        <v>611</v>
      </c>
      <c r="B142">
        <v>611</v>
      </c>
      <c r="C142" t="s">
        <v>343</v>
      </c>
      <c r="D142">
        <v>0</v>
      </c>
      <c r="E142">
        <v>0</v>
      </c>
      <c r="F142">
        <v>0</v>
      </c>
      <c r="G142">
        <v>0</v>
      </c>
      <c r="H142">
        <v>0</v>
      </c>
      <c r="I142">
        <v>0</v>
      </c>
      <c r="J142">
        <v>0</v>
      </c>
      <c r="K142">
        <v>0</v>
      </c>
      <c r="L142">
        <v>0</v>
      </c>
      <c r="M142">
        <v>0</v>
      </c>
      <c r="N142">
        <v>0</v>
      </c>
      <c r="O142">
        <v>0</v>
      </c>
      <c r="P142">
        <v>0</v>
      </c>
      <c r="Q142">
        <v>0</v>
      </c>
      <c r="R142">
        <v>0</v>
      </c>
      <c r="S142">
        <v>0</v>
      </c>
      <c r="T142">
        <v>0</v>
      </c>
      <c r="U142">
        <v>0</v>
      </c>
      <c r="V142">
        <v>0</v>
      </c>
      <c r="W142">
        <v>0</v>
      </c>
      <c r="X142">
        <v>0</v>
      </c>
      <c r="Y142">
        <v>0</v>
      </c>
      <c r="Z142">
        <v>0</v>
      </c>
      <c r="AA142">
        <v>0</v>
      </c>
      <c r="AB142">
        <v>0</v>
      </c>
      <c r="AC142">
        <v>0</v>
      </c>
      <c r="AD142">
        <v>0</v>
      </c>
      <c r="AE142">
        <v>0</v>
      </c>
      <c r="AF142">
        <v>0</v>
      </c>
    </row>
    <row r="143" spans="1:32" x14ac:dyDescent="0.25">
      <c r="A143">
        <v>612</v>
      </c>
      <c r="B143">
        <v>612</v>
      </c>
      <c r="C143" t="s">
        <v>358</v>
      </c>
      <c r="D143">
        <v>0</v>
      </c>
      <c r="E143">
        <v>0</v>
      </c>
      <c r="F143">
        <v>0</v>
      </c>
      <c r="G143">
        <v>0</v>
      </c>
      <c r="H143">
        <v>0</v>
      </c>
      <c r="I143">
        <v>0</v>
      </c>
      <c r="J143">
        <v>0</v>
      </c>
      <c r="K143">
        <v>0</v>
      </c>
      <c r="L143">
        <v>0</v>
      </c>
      <c r="M143">
        <v>0</v>
      </c>
      <c r="N143">
        <v>0</v>
      </c>
      <c r="O143">
        <v>0</v>
      </c>
      <c r="P143">
        <v>0</v>
      </c>
      <c r="Q143">
        <v>0</v>
      </c>
      <c r="R143">
        <v>0</v>
      </c>
      <c r="S143">
        <v>0</v>
      </c>
      <c r="T143">
        <v>0</v>
      </c>
      <c r="U143">
        <v>0</v>
      </c>
      <c r="V143">
        <v>0</v>
      </c>
      <c r="W143">
        <v>0</v>
      </c>
      <c r="X143">
        <v>0</v>
      </c>
      <c r="Y143">
        <v>0</v>
      </c>
      <c r="Z143">
        <v>0</v>
      </c>
      <c r="AA143">
        <v>0</v>
      </c>
      <c r="AB143">
        <v>0</v>
      </c>
      <c r="AC143">
        <v>0</v>
      </c>
      <c r="AD143">
        <v>0</v>
      </c>
      <c r="AE143">
        <v>0</v>
      </c>
      <c r="AF143">
        <v>0</v>
      </c>
    </row>
    <row r="144" spans="1:32" x14ac:dyDescent="0.25">
      <c r="A144">
        <v>613</v>
      </c>
      <c r="B144">
        <v>613</v>
      </c>
      <c r="C144" t="s">
        <v>344</v>
      </c>
      <c r="D144">
        <v>0</v>
      </c>
      <c r="E144">
        <v>0</v>
      </c>
      <c r="F144">
        <v>0</v>
      </c>
      <c r="G144">
        <v>0</v>
      </c>
      <c r="H144">
        <v>0</v>
      </c>
      <c r="I144">
        <v>0</v>
      </c>
      <c r="J144">
        <v>0</v>
      </c>
      <c r="K144">
        <v>0</v>
      </c>
      <c r="L144">
        <v>0</v>
      </c>
      <c r="M144">
        <v>0</v>
      </c>
      <c r="N144">
        <v>0</v>
      </c>
      <c r="O144">
        <v>0</v>
      </c>
      <c r="P144">
        <v>0</v>
      </c>
      <c r="Q144">
        <v>0</v>
      </c>
      <c r="R144">
        <v>0</v>
      </c>
      <c r="S144">
        <v>0</v>
      </c>
      <c r="T144">
        <v>0</v>
      </c>
      <c r="U144">
        <v>0</v>
      </c>
      <c r="V144">
        <v>0</v>
      </c>
      <c r="W144">
        <v>0</v>
      </c>
      <c r="X144">
        <v>0</v>
      </c>
      <c r="Y144">
        <v>0</v>
      </c>
      <c r="Z144">
        <v>0</v>
      </c>
      <c r="AA144">
        <v>0</v>
      </c>
      <c r="AB144">
        <v>0</v>
      </c>
      <c r="AC144">
        <v>0</v>
      </c>
      <c r="AD144">
        <v>0</v>
      </c>
      <c r="AE144">
        <v>0</v>
      </c>
      <c r="AF144">
        <v>0</v>
      </c>
    </row>
    <row r="145" spans="1:32" x14ac:dyDescent="0.25">
      <c r="A145">
        <v>614</v>
      </c>
      <c r="B145">
        <v>614</v>
      </c>
      <c r="C145" t="s">
        <v>345</v>
      </c>
      <c r="D145">
        <v>0</v>
      </c>
      <c r="E145">
        <v>0</v>
      </c>
      <c r="F145">
        <v>0</v>
      </c>
      <c r="G145">
        <v>0</v>
      </c>
      <c r="H145">
        <v>0</v>
      </c>
      <c r="I145">
        <v>0</v>
      </c>
      <c r="J145">
        <v>0</v>
      </c>
      <c r="K145">
        <v>0</v>
      </c>
      <c r="L145">
        <v>0</v>
      </c>
      <c r="M145">
        <v>0</v>
      </c>
      <c r="N145">
        <v>0</v>
      </c>
      <c r="O145">
        <v>0</v>
      </c>
      <c r="P145">
        <v>0</v>
      </c>
      <c r="Q145">
        <v>0</v>
      </c>
      <c r="R145">
        <v>0</v>
      </c>
      <c r="S145">
        <v>0</v>
      </c>
      <c r="T145">
        <v>0</v>
      </c>
      <c r="U145">
        <v>0</v>
      </c>
      <c r="V145">
        <v>0</v>
      </c>
      <c r="W145">
        <v>0</v>
      </c>
      <c r="X145">
        <v>0</v>
      </c>
      <c r="Y145">
        <v>0</v>
      </c>
      <c r="Z145">
        <v>0</v>
      </c>
      <c r="AA145">
        <v>0</v>
      </c>
      <c r="AB145">
        <v>0</v>
      </c>
      <c r="AC145">
        <v>0</v>
      </c>
      <c r="AD145">
        <v>0</v>
      </c>
      <c r="AE145">
        <v>0</v>
      </c>
      <c r="AF145">
        <v>0</v>
      </c>
    </row>
    <row r="146" spans="1:32" x14ac:dyDescent="0.25">
      <c r="A146">
        <v>615</v>
      </c>
      <c r="B146">
        <v>615</v>
      </c>
      <c r="C146" t="s">
        <v>359</v>
      </c>
      <c r="D146">
        <v>0</v>
      </c>
      <c r="E146">
        <v>0</v>
      </c>
      <c r="F146">
        <v>0</v>
      </c>
      <c r="G146">
        <v>0</v>
      </c>
      <c r="H146">
        <v>0</v>
      </c>
      <c r="I146">
        <v>0</v>
      </c>
      <c r="J146">
        <v>0</v>
      </c>
      <c r="K146">
        <v>0</v>
      </c>
      <c r="L146">
        <v>0</v>
      </c>
      <c r="M146">
        <v>0</v>
      </c>
      <c r="N146">
        <v>0</v>
      </c>
      <c r="O146">
        <v>0</v>
      </c>
      <c r="P146">
        <v>0</v>
      </c>
      <c r="Q146">
        <v>0</v>
      </c>
      <c r="R146">
        <v>0</v>
      </c>
      <c r="S146">
        <v>0</v>
      </c>
      <c r="T146">
        <v>0</v>
      </c>
      <c r="U146">
        <v>0</v>
      </c>
      <c r="V146">
        <v>0</v>
      </c>
      <c r="W146">
        <v>0</v>
      </c>
      <c r="X146">
        <v>0</v>
      </c>
      <c r="Y146">
        <v>0</v>
      </c>
      <c r="Z146">
        <v>0</v>
      </c>
      <c r="AA146">
        <v>0</v>
      </c>
      <c r="AB146">
        <v>0</v>
      </c>
      <c r="AC146">
        <v>0</v>
      </c>
      <c r="AD146">
        <v>0</v>
      </c>
      <c r="AE146">
        <v>0</v>
      </c>
      <c r="AF146">
        <v>0</v>
      </c>
    </row>
    <row r="147" spans="1:32" x14ac:dyDescent="0.25">
      <c r="A147">
        <v>616</v>
      </c>
      <c r="B147">
        <v>616</v>
      </c>
      <c r="C147" t="s">
        <v>346</v>
      </c>
      <c r="D147">
        <v>0</v>
      </c>
      <c r="E147">
        <v>0</v>
      </c>
      <c r="F147">
        <v>0</v>
      </c>
      <c r="G147">
        <v>0</v>
      </c>
      <c r="H147">
        <v>0</v>
      </c>
      <c r="I147">
        <v>0</v>
      </c>
      <c r="J147">
        <v>0</v>
      </c>
      <c r="K147">
        <v>0</v>
      </c>
      <c r="L147">
        <v>0</v>
      </c>
      <c r="M147">
        <v>0</v>
      </c>
      <c r="N147">
        <v>0</v>
      </c>
      <c r="O147">
        <v>0</v>
      </c>
      <c r="P147">
        <v>0</v>
      </c>
      <c r="Q147">
        <v>0</v>
      </c>
      <c r="R147">
        <v>0</v>
      </c>
      <c r="S147">
        <v>0</v>
      </c>
      <c r="T147">
        <v>0</v>
      </c>
      <c r="U147">
        <v>0</v>
      </c>
      <c r="V147">
        <v>0</v>
      </c>
      <c r="W147">
        <v>0</v>
      </c>
      <c r="X147">
        <v>0</v>
      </c>
      <c r="Y147">
        <v>0</v>
      </c>
      <c r="Z147">
        <v>0</v>
      </c>
      <c r="AA147">
        <v>0</v>
      </c>
      <c r="AB147">
        <v>0</v>
      </c>
      <c r="AC147">
        <v>0</v>
      </c>
      <c r="AD147">
        <v>0</v>
      </c>
      <c r="AE147">
        <v>0</v>
      </c>
      <c r="AF147">
        <v>0</v>
      </c>
    </row>
    <row r="148" spans="1:32" x14ac:dyDescent="0.25">
      <c r="A148">
        <v>617</v>
      </c>
      <c r="B148">
        <v>617</v>
      </c>
      <c r="C148" t="s">
        <v>347</v>
      </c>
      <c r="D148">
        <v>0</v>
      </c>
      <c r="E148">
        <v>0</v>
      </c>
      <c r="F148">
        <v>0</v>
      </c>
      <c r="G148">
        <v>0</v>
      </c>
      <c r="H148">
        <v>0</v>
      </c>
      <c r="I148">
        <v>0</v>
      </c>
      <c r="J148">
        <v>0</v>
      </c>
      <c r="K148">
        <v>0</v>
      </c>
      <c r="L148">
        <v>0</v>
      </c>
      <c r="M148">
        <v>0</v>
      </c>
      <c r="N148">
        <v>0</v>
      </c>
      <c r="O148">
        <v>0</v>
      </c>
      <c r="P148">
        <v>0</v>
      </c>
      <c r="Q148">
        <v>0</v>
      </c>
      <c r="R148">
        <v>0</v>
      </c>
      <c r="S148">
        <v>0</v>
      </c>
      <c r="T148">
        <v>0</v>
      </c>
      <c r="U148">
        <v>0</v>
      </c>
      <c r="V148">
        <v>0</v>
      </c>
      <c r="W148">
        <v>0</v>
      </c>
      <c r="X148">
        <v>0</v>
      </c>
      <c r="Y148">
        <v>0</v>
      </c>
      <c r="Z148">
        <v>0</v>
      </c>
      <c r="AA148">
        <v>0</v>
      </c>
      <c r="AB148">
        <v>0</v>
      </c>
      <c r="AC148">
        <v>0</v>
      </c>
      <c r="AD148">
        <v>0</v>
      </c>
      <c r="AE148">
        <v>0</v>
      </c>
      <c r="AF148">
        <v>0</v>
      </c>
    </row>
    <row r="149" spans="1:32" x14ac:dyDescent="0.25">
      <c r="A149">
        <v>618</v>
      </c>
      <c r="B149">
        <v>618</v>
      </c>
      <c r="C149" t="s">
        <v>360</v>
      </c>
      <c r="D149">
        <v>0</v>
      </c>
      <c r="E149">
        <v>0</v>
      </c>
      <c r="F149">
        <v>0</v>
      </c>
      <c r="G149">
        <v>0</v>
      </c>
      <c r="H149">
        <v>0</v>
      </c>
      <c r="I149">
        <v>0</v>
      </c>
      <c r="J149">
        <v>0</v>
      </c>
      <c r="K149">
        <v>0</v>
      </c>
      <c r="L149">
        <v>0</v>
      </c>
      <c r="M149">
        <v>0</v>
      </c>
      <c r="N149">
        <v>0</v>
      </c>
      <c r="O149">
        <v>0</v>
      </c>
      <c r="P149">
        <v>0</v>
      </c>
      <c r="Q149">
        <v>0</v>
      </c>
      <c r="R149">
        <v>0</v>
      </c>
      <c r="S149">
        <v>0</v>
      </c>
      <c r="T149">
        <v>0</v>
      </c>
      <c r="U149">
        <v>0</v>
      </c>
      <c r="V149">
        <v>0</v>
      </c>
      <c r="W149">
        <v>0</v>
      </c>
      <c r="X149">
        <v>0</v>
      </c>
      <c r="Y149">
        <v>0</v>
      </c>
      <c r="Z149">
        <v>0</v>
      </c>
      <c r="AA149">
        <v>0</v>
      </c>
      <c r="AB149">
        <v>0</v>
      </c>
      <c r="AC149">
        <v>0</v>
      </c>
      <c r="AD149">
        <v>0</v>
      </c>
      <c r="AE149">
        <v>0</v>
      </c>
      <c r="AF149">
        <v>0</v>
      </c>
    </row>
    <row r="150" spans="1:32" x14ac:dyDescent="0.25">
      <c r="A150">
        <v>620</v>
      </c>
      <c r="B150">
        <v>620</v>
      </c>
      <c r="C150" t="s">
        <v>353</v>
      </c>
      <c r="D150">
        <v>2</v>
      </c>
      <c r="E150">
        <v>2</v>
      </c>
      <c r="F150">
        <v>2</v>
      </c>
      <c r="G150">
        <v>2</v>
      </c>
      <c r="H150">
        <v>2</v>
      </c>
      <c r="I150">
        <v>2</v>
      </c>
      <c r="J150">
        <v>2</v>
      </c>
      <c r="K150">
        <v>2</v>
      </c>
      <c r="L150">
        <v>2</v>
      </c>
      <c r="M150">
        <v>2</v>
      </c>
      <c r="N150">
        <v>0</v>
      </c>
      <c r="O150">
        <v>2</v>
      </c>
      <c r="P150">
        <v>2</v>
      </c>
      <c r="Q150">
        <v>2</v>
      </c>
      <c r="R150">
        <v>2</v>
      </c>
      <c r="S150">
        <v>2</v>
      </c>
      <c r="T150">
        <v>2</v>
      </c>
      <c r="U150">
        <v>2</v>
      </c>
      <c r="V150">
        <v>2</v>
      </c>
      <c r="W150">
        <v>2</v>
      </c>
      <c r="X150">
        <v>2</v>
      </c>
      <c r="Y150">
        <v>2</v>
      </c>
      <c r="Z150">
        <v>2</v>
      </c>
      <c r="AA150">
        <v>2</v>
      </c>
      <c r="AB150">
        <v>2</v>
      </c>
      <c r="AC150">
        <v>0</v>
      </c>
      <c r="AD150">
        <v>2</v>
      </c>
      <c r="AE150">
        <v>0</v>
      </c>
      <c r="AF150">
        <v>2</v>
      </c>
    </row>
    <row r="153" spans="1:32" x14ac:dyDescent="0.25">
      <c r="D153" s="276">
        <f>SUM(D3:D152)</f>
        <v>14781685</v>
      </c>
      <c r="E153" s="276">
        <f t="shared" ref="E153:AF153" si="0">SUM(E3:E152)</f>
        <v>123666613</v>
      </c>
      <c r="F153" s="276">
        <f t="shared" si="0"/>
        <v>7210671</v>
      </c>
      <c r="G153" s="276">
        <f t="shared" si="0"/>
        <v>33275474</v>
      </c>
      <c r="H153" s="276">
        <f t="shared" si="0"/>
        <v>3329619</v>
      </c>
      <c r="I153" s="276">
        <f t="shared" si="0"/>
        <v>15249811</v>
      </c>
      <c r="J153" s="276">
        <f t="shared" si="0"/>
        <v>14285059</v>
      </c>
      <c r="K153" s="276">
        <f t="shared" si="0"/>
        <v>6706717</v>
      </c>
      <c r="L153" s="276">
        <f t="shared" si="0"/>
        <v>2279550</v>
      </c>
      <c r="M153" s="276">
        <f t="shared" si="0"/>
        <v>2293276</v>
      </c>
      <c r="N153" s="276">
        <f t="shared" si="0"/>
        <v>3742459</v>
      </c>
      <c r="O153" s="276">
        <f t="shared" si="0"/>
        <v>18693636</v>
      </c>
      <c r="P153" s="276">
        <f t="shared" si="0"/>
        <v>2628486</v>
      </c>
      <c r="Q153" s="276">
        <f t="shared" si="0"/>
        <v>9622693</v>
      </c>
      <c r="R153" s="276">
        <f t="shared" si="0"/>
        <v>21620361</v>
      </c>
      <c r="S153" s="276">
        <f t="shared" si="0"/>
        <v>2439475</v>
      </c>
      <c r="T153" s="276">
        <f t="shared" si="0"/>
        <v>3177325</v>
      </c>
      <c r="U153" s="276">
        <f t="shared" si="0"/>
        <v>3800462</v>
      </c>
      <c r="V153" s="276">
        <f t="shared" si="0"/>
        <v>8596015</v>
      </c>
      <c r="W153" s="276">
        <f t="shared" si="0"/>
        <v>14670645</v>
      </c>
      <c r="X153" s="276">
        <f t="shared" si="0"/>
        <v>129662311</v>
      </c>
      <c r="Y153" s="276">
        <f t="shared" si="0"/>
        <v>301334149</v>
      </c>
      <c r="Z153" s="276">
        <f t="shared" si="0"/>
        <v>77216483</v>
      </c>
      <c r="AA153" s="276">
        <f t="shared" si="0"/>
        <v>1508559143</v>
      </c>
      <c r="AB153" s="276">
        <f t="shared" si="0"/>
        <v>8133136</v>
      </c>
      <c r="AC153" s="276">
        <f t="shared" si="0"/>
        <v>541072</v>
      </c>
      <c r="AD153" s="276">
        <f t="shared" si="0"/>
        <v>25848026</v>
      </c>
      <c r="AE153" s="276">
        <f t="shared" si="0"/>
        <v>6635060</v>
      </c>
      <c r="AF153" s="276">
        <f t="shared" si="0"/>
        <v>993916</v>
      </c>
    </row>
    <row r="154" spans="1:32" x14ac:dyDescent="0.25">
      <c r="D154">
        <f>SUM(D119:D124,D127,D134:D137)</f>
        <v>541834</v>
      </c>
      <c r="E154" s="261">
        <f t="shared" ref="E154:AF154" si="1">SUM(E119:E124,E127,E134:E137)</f>
        <v>12176290</v>
      </c>
      <c r="F154" s="261">
        <f t="shared" si="1"/>
        <v>2615061</v>
      </c>
      <c r="G154" s="261">
        <f t="shared" si="1"/>
        <v>1326618</v>
      </c>
      <c r="H154" s="261">
        <f t="shared" si="1"/>
        <v>541059</v>
      </c>
      <c r="I154" s="261">
        <f t="shared" si="1"/>
        <v>5260458</v>
      </c>
      <c r="J154" s="261">
        <f t="shared" si="1"/>
        <v>541060</v>
      </c>
      <c r="K154" s="261">
        <f t="shared" si="1"/>
        <v>2100389</v>
      </c>
      <c r="L154" s="261">
        <f t="shared" si="1"/>
        <v>541062</v>
      </c>
      <c r="M154" s="261">
        <f t="shared" si="1"/>
        <v>541789</v>
      </c>
      <c r="N154" s="261">
        <f t="shared" si="1"/>
        <v>541068</v>
      </c>
      <c r="O154" s="261">
        <f t="shared" si="1"/>
        <v>6424384</v>
      </c>
      <c r="P154" s="261">
        <f t="shared" si="1"/>
        <v>541082</v>
      </c>
      <c r="Q154" s="261">
        <f t="shared" si="1"/>
        <v>2414623</v>
      </c>
      <c r="R154" s="261">
        <f t="shared" si="1"/>
        <v>3747450</v>
      </c>
      <c r="S154" s="261">
        <f t="shared" si="1"/>
        <v>541082</v>
      </c>
      <c r="T154" s="261">
        <f t="shared" si="1"/>
        <v>541088</v>
      </c>
      <c r="U154" s="261">
        <f t="shared" si="1"/>
        <v>541083</v>
      </c>
      <c r="V154" s="261">
        <f t="shared" si="1"/>
        <v>541068</v>
      </c>
      <c r="W154" s="261">
        <f t="shared" si="1"/>
        <v>541070</v>
      </c>
      <c r="X154" s="261">
        <f t="shared" si="1"/>
        <v>11763656</v>
      </c>
      <c r="Y154" s="261">
        <f t="shared" si="1"/>
        <v>26895987</v>
      </c>
      <c r="Z154" s="261">
        <f t="shared" si="1"/>
        <v>27361744</v>
      </c>
      <c r="AA154" s="261">
        <f t="shared" si="1"/>
        <v>107915196</v>
      </c>
      <c r="AB154" s="261">
        <f t="shared" si="1"/>
        <v>2956755</v>
      </c>
      <c r="AC154" s="261">
        <f t="shared" si="1"/>
        <v>541072</v>
      </c>
      <c r="AD154" s="261">
        <f t="shared" si="1"/>
        <v>10292906</v>
      </c>
      <c r="AE154" s="261">
        <f t="shared" si="1"/>
        <v>541077</v>
      </c>
      <c r="AF154" s="261">
        <f t="shared" si="1"/>
        <v>541079</v>
      </c>
    </row>
    <row r="155" spans="1:32" x14ac:dyDescent="0.25">
      <c r="D155" s="276">
        <f>D153-D154</f>
        <v>14239851</v>
      </c>
      <c r="E155" s="276">
        <f t="shared" ref="E155:AF155" si="2">E153-E154</f>
        <v>111490323</v>
      </c>
      <c r="F155" s="276">
        <f t="shared" si="2"/>
        <v>4595610</v>
      </c>
      <c r="G155" s="276">
        <f t="shared" si="2"/>
        <v>31948856</v>
      </c>
      <c r="H155" s="276">
        <f t="shared" si="2"/>
        <v>2788560</v>
      </c>
      <c r="I155" s="276">
        <f t="shared" si="2"/>
        <v>9989353</v>
      </c>
      <c r="J155" s="276">
        <f t="shared" si="2"/>
        <v>13743999</v>
      </c>
      <c r="K155" s="276">
        <f t="shared" si="2"/>
        <v>4606328</v>
      </c>
      <c r="L155" s="276">
        <f t="shared" si="2"/>
        <v>1738488</v>
      </c>
      <c r="M155" s="276">
        <f t="shared" si="2"/>
        <v>1751487</v>
      </c>
      <c r="N155" s="276">
        <f t="shared" si="2"/>
        <v>3201391</v>
      </c>
      <c r="O155" s="276">
        <f t="shared" si="2"/>
        <v>12269252</v>
      </c>
      <c r="P155" s="276">
        <f t="shared" si="2"/>
        <v>2087404</v>
      </c>
      <c r="Q155" s="276">
        <f t="shared" si="2"/>
        <v>7208070</v>
      </c>
      <c r="R155" s="276">
        <f t="shared" si="2"/>
        <v>17872911</v>
      </c>
      <c r="S155" s="276">
        <f t="shared" si="2"/>
        <v>1898393</v>
      </c>
      <c r="T155" s="276">
        <f t="shared" si="2"/>
        <v>2636237</v>
      </c>
      <c r="U155" s="276">
        <f t="shared" si="2"/>
        <v>3259379</v>
      </c>
      <c r="V155" s="276">
        <f t="shared" si="2"/>
        <v>8054947</v>
      </c>
      <c r="W155" s="276">
        <f t="shared" si="2"/>
        <v>14129575</v>
      </c>
      <c r="X155" s="276">
        <f t="shared" si="2"/>
        <v>117898655</v>
      </c>
      <c r="Y155" s="276">
        <f t="shared" si="2"/>
        <v>274438162</v>
      </c>
      <c r="Z155" s="276">
        <f t="shared" si="2"/>
        <v>49854739</v>
      </c>
      <c r="AA155" s="276">
        <f t="shared" si="2"/>
        <v>1400643947</v>
      </c>
      <c r="AB155" s="276">
        <f t="shared" si="2"/>
        <v>5176381</v>
      </c>
      <c r="AC155" s="276">
        <f t="shared" si="2"/>
        <v>0</v>
      </c>
      <c r="AD155" s="276">
        <f t="shared" si="2"/>
        <v>15555120</v>
      </c>
      <c r="AE155" s="276">
        <f t="shared" si="2"/>
        <v>6093983</v>
      </c>
      <c r="AF155" s="276">
        <f t="shared" si="2"/>
        <v>452837</v>
      </c>
    </row>
    <row r="156" spans="1:32" x14ac:dyDescent="0.25">
      <c r="D156" s="276"/>
    </row>
    <row r="168" spans="4:33" x14ac:dyDescent="0.25">
      <c r="D168" s="276">
        <v>14781685</v>
      </c>
      <c r="E168" s="276">
        <v>123666613</v>
      </c>
      <c r="F168" s="276">
        <v>7210671</v>
      </c>
      <c r="G168" s="276">
        <v>33275474</v>
      </c>
      <c r="H168" s="276">
        <v>3329619</v>
      </c>
      <c r="I168" s="276">
        <v>15249811</v>
      </c>
      <c r="J168" s="276">
        <v>14285059</v>
      </c>
      <c r="K168" s="276">
        <v>6706717</v>
      </c>
      <c r="L168" s="276">
        <v>2279550</v>
      </c>
      <c r="M168" s="276">
        <v>2293276</v>
      </c>
      <c r="N168" s="276">
        <v>3742459</v>
      </c>
      <c r="O168" s="276">
        <v>18693636</v>
      </c>
      <c r="P168" s="276">
        <v>2628486</v>
      </c>
      <c r="Q168" s="276">
        <v>9622693</v>
      </c>
      <c r="R168" s="276">
        <v>21620361</v>
      </c>
      <c r="S168" s="276">
        <v>2439475</v>
      </c>
      <c r="T168" s="276">
        <v>3177325</v>
      </c>
      <c r="U168" s="276">
        <v>3800462</v>
      </c>
      <c r="V168" s="276">
        <v>8596015</v>
      </c>
      <c r="W168" s="276">
        <v>14670645</v>
      </c>
      <c r="X168" s="276">
        <v>129662311</v>
      </c>
      <c r="Y168" s="276">
        <v>301334149</v>
      </c>
      <c r="Z168" s="276">
        <v>77216483</v>
      </c>
      <c r="AA168" s="276">
        <v>1508559143</v>
      </c>
      <c r="AB168" s="276">
        <v>8133136</v>
      </c>
      <c r="AC168" t="s">
        <v>361</v>
      </c>
      <c r="AD168" s="276">
        <v>25848026</v>
      </c>
      <c r="AE168" s="276">
        <v>6635060</v>
      </c>
      <c r="AF168" s="276">
        <v>993916</v>
      </c>
    </row>
    <row r="169" spans="4:33" x14ac:dyDescent="0.25">
      <c r="D169" s="276">
        <f t="shared" ref="D169:AG169" si="3">D153-D168</f>
        <v>0</v>
      </c>
      <c r="E169" s="276">
        <f t="shared" si="3"/>
        <v>0</v>
      </c>
      <c r="F169" s="276">
        <f t="shared" si="3"/>
        <v>0</v>
      </c>
      <c r="G169" s="276">
        <f t="shared" si="3"/>
        <v>0</v>
      </c>
      <c r="H169" s="276">
        <f t="shared" si="3"/>
        <v>0</v>
      </c>
      <c r="I169" s="276">
        <f t="shared" si="3"/>
        <v>0</v>
      </c>
      <c r="J169" s="276">
        <f t="shared" si="3"/>
        <v>0</v>
      </c>
      <c r="K169" s="276">
        <f t="shared" si="3"/>
        <v>0</v>
      </c>
      <c r="L169" s="276">
        <f t="shared" si="3"/>
        <v>0</v>
      </c>
      <c r="M169" s="276">
        <f t="shared" si="3"/>
        <v>0</v>
      </c>
      <c r="N169" s="276">
        <f t="shared" si="3"/>
        <v>0</v>
      </c>
      <c r="O169" s="276">
        <f t="shared" si="3"/>
        <v>0</v>
      </c>
      <c r="P169" s="276">
        <f t="shared" si="3"/>
        <v>0</v>
      </c>
      <c r="Q169" s="276">
        <f t="shared" si="3"/>
        <v>0</v>
      </c>
      <c r="R169" s="276">
        <f t="shared" si="3"/>
        <v>0</v>
      </c>
      <c r="S169" s="276">
        <f t="shared" si="3"/>
        <v>0</v>
      </c>
      <c r="T169" s="276">
        <f t="shared" si="3"/>
        <v>0</v>
      </c>
      <c r="U169" s="276">
        <f t="shared" si="3"/>
        <v>0</v>
      </c>
      <c r="V169" s="276">
        <f t="shared" si="3"/>
        <v>0</v>
      </c>
      <c r="W169" s="276">
        <f t="shared" si="3"/>
        <v>0</v>
      </c>
      <c r="X169" s="276">
        <f t="shared" si="3"/>
        <v>0</v>
      </c>
      <c r="Y169" s="276">
        <f t="shared" si="3"/>
        <v>0</v>
      </c>
      <c r="Z169" s="276">
        <f t="shared" si="3"/>
        <v>0</v>
      </c>
      <c r="AA169" s="276">
        <f t="shared" si="3"/>
        <v>0</v>
      </c>
      <c r="AB169" s="276">
        <f t="shared" si="3"/>
        <v>0</v>
      </c>
      <c r="AC169" s="276" t="e">
        <f t="shared" si="3"/>
        <v>#VALUE!</v>
      </c>
      <c r="AD169" s="276">
        <f t="shared" si="3"/>
        <v>0</v>
      </c>
      <c r="AE169" s="276">
        <f t="shared" si="3"/>
        <v>0</v>
      </c>
      <c r="AF169" s="276">
        <f t="shared" si="3"/>
        <v>0</v>
      </c>
      <c r="AG169" s="276">
        <f t="shared" si="3"/>
        <v>0</v>
      </c>
    </row>
  </sheetData>
  <sheetProtection algorithmName="SHA-512" hashValue="H2wTP9INyHl6xuJ2d8vG1XL/4GpeYJd3i9S19fSIWHMsHSwhSNAb7tU889d8x4UVdAxet1y5kmJwmdCWGamOFQ==" saltValue="dAUhQCREuXJm/hujNgDs+A==" spinCount="100000" sheet="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A3C6-8B10-4E29-AA98-CB749ED6B228}">
  <dimension ref="A1:AI375"/>
  <sheetViews>
    <sheetView workbookViewId="0">
      <pane xSplit="3" ySplit="1" topLeftCell="D2" activePane="bottomRight" state="frozen"/>
      <selection pane="topRight" activeCell="D1" sqref="D1"/>
      <selection pane="bottomLeft" activeCell="A2" sqref="A2"/>
      <selection pane="bottomRight" activeCell="B162" sqref="B162"/>
    </sheetView>
  </sheetViews>
  <sheetFormatPr defaultColWidth="15.7109375" defaultRowHeight="15" x14ac:dyDescent="0.25"/>
  <cols>
    <col min="1" max="1" width="15.7109375" style="359"/>
    <col min="2" max="2" width="15.7109375" style="341"/>
    <col min="3" max="3" width="32.28515625" style="342" customWidth="1"/>
    <col min="4" max="4" width="15.85546875" style="341" bestFit="1" customWidth="1"/>
    <col min="5" max="5" width="17" style="341" bestFit="1" customWidth="1"/>
    <col min="6" max="26" width="15.85546875" style="341" bestFit="1" customWidth="1"/>
    <col min="27" max="27" width="17.28515625" style="341" bestFit="1" customWidth="1"/>
    <col min="28" max="32" width="15.85546875" style="341" bestFit="1" customWidth="1"/>
    <col min="33" max="16384" width="15.7109375" style="341"/>
  </cols>
  <sheetData>
    <row r="1" spans="1:35" s="345" customFormat="1" ht="70.150000000000006" customHeight="1" x14ac:dyDescent="0.2">
      <c r="A1" s="357" t="s">
        <v>514</v>
      </c>
      <c r="B1" s="345" t="s">
        <v>213</v>
      </c>
      <c r="C1" s="346" t="s">
        <v>13</v>
      </c>
      <c r="D1" s="347" t="s">
        <v>285</v>
      </c>
      <c r="E1" s="347" t="s">
        <v>286</v>
      </c>
      <c r="F1" s="347" t="s">
        <v>287</v>
      </c>
      <c r="G1" s="347" t="s">
        <v>288</v>
      </c>
      <c r="H1" s="347" t="s">
        <v>289</v>
      </c>
      <c r="I1" s="347" t="s">
        <v>290</v>
      </c>
      <c r="J1" s="347" t="s">
        <v>291</v>
      </c>
      <c r="K1" s="347" t="s">
        <v>337</v>
      </c>
      <c r="L1" s="347" t="s">
        <v>292</v>
      </c>
      <c r="M1" s="347" t="s">
        <v>293</v>
      </c>
      <c r="N1" s="347" t="s">
        <v>294</v>
      </c>
      <c r="O1" s="347" t="s">
        <v>295</v>
      </c>
      <c r="P1" s="347" t="s">
        <v>296</v>
      </c>
      <c r="Q1" s="347" t="s">
        <v>297</v>
      </c>
      <c r="R1" s="347" t="s">
        <v>298</v>
      </c>
      <c r="S1" s="347" t="s">
        <v>299</v>
      </c>
      <c r="T1" s="347" t="s">
        <v>300</v>
      </c>
      <c r="U1" s="347" t="s">
        <v>301</v>
      </c>
      <c r="V1" s="347" t="s">
        <v>302</v>
      </c>
      <c r="W1" s="347" t="s">
        <v>303</v>
      </c>
      <c r="X1" s="347" t="s">
        <v>304</v>
      </c>
      <c r="Y1" s="347" t="s">
        <v>305</v>
      </c>
      <c r="Z1" s="347" t="s">
        <v>306</v>
      </c>
      <c r="AA1" s="347" t="s">
        <v>307</v>
      </c>
      <c r="AB1" s="347" t="s">
        <v>308</v>
      </c>
      <c r="AC1" s="347" t="s">
        <v>406</v>
      </c>
      <c r="AD1" s="347" t="s">
        <v>310</v>
      </c>
      <c r="AE1" s="347" t="s">
        <v>311</v>
      </c>
      <c r="AF1" s="347" t="s">
        <v>312</v>
      </c>
    </row>
    <row r="2" spans="1:35" x14ac:dyDescent="0.25">
      <c r="A2" s="358"/>
      <c r="D2" s="343">
        <v>541777</v>
      </c>
      <c r="E2" s="343">
        <v>541000</v>
      </c>
      <c r="F2" s="343">
        <v>54949</v>
      </c>
      <c r="G2" s="343">
        <v>54937</v>
      </c>
      <c r="H2" s="343">
        <v>541001</v>
      </c>
      <c r="I2" s="343">
        <v>541002</v>
      </c>
      <c r="J2" s="343">
        <v>541003</v>
      </c>
      <c r="K2" s="343">
        <v>544178</v>
      </c>
      <c r="L2" s="343">
        <v>541004</v>
      </c>
      <c r="M2" s="343">
        <v>541727</v>
      </c>
      <c r="N2" s="343">
        <v>541010</v>
      </c>
      <c r="O2" s="343">
        <v>541005</v>
      </c>
      <c r="P2" s="343">
        <v>541025</v>
      </c>
      <c r="Q2" s="343">
        <v>541007</v>
      </c>
      <c r="R2" s="343">
        <v>541009</v>
      </c>
      <c r="S2" s="343">
        <v>541024</v>
      </c>
      <c r="T2" s="343">
        <v>541027</v>
      </c>
      <c r="U2" s="343">
        <v>541026</v>
      </c>
      <c r="V2" s="343">
        <v>541011</v>
      </c>
      <c r="W2" s="343">
        <v>541012</v>
      </c>
      <c r="X2" s="343">
        <v>541013</v>
      </c>
      <c r="Y2" s="343">
        <v>541014</v>
      </c>
      <c r="Z2" s="343">
        <v>541015</v>
      </c>
      <c r="AA2" s="343">
        <v>541016</v>
      </c>
      <c r="AB2" s="343">
        <v>541017</v>
      </c>
      <c r="AC2" s="343">
        <v>541018</v>
      </c>
      <c r="AD2" s="343">
        <v>541019</v>
      </c>
      <c r="AE2" s="343">
        <v>541020</v>
      </c>
      <c r="AF2" s="343">
        <v>541022</v>
      </c>
    </row>
    <row r="3" spans="1:35" ht="30" x14ac:dyDescent="0.25">
      <c r="B3" s="341" t="s">
        <v>407</v>
      </c>
      <c r="C3" s="342" t="s">
        <v>214</v>
      </c>
      <c r="D3" s="344">
        <v>0</v>
      </c>
      <c r="E3" s="344">
        <v>0</v>
      </c>
      <c r="F3" s="344">
        <v>0</v>
      </c>
      <c r="G3" s="344">
        <v>0</v>
      </c>
      <c r="H3" s="344">
        <v>0</v>
      </c>
      <c r="I3" s="344">
        <v>0</v>
      </c>
      <c r="J3" s="344">
        <v>0</v>
      </c>
      <c r="K3" s="344">
        <v>0</v>
      </c>
      <c r="L3" s="344">
        <v>0</v>
      </c>
      <c r="M3" s="344">
        <v>0</v>
      </c>
      <c r="N3" s="344">
        <v>0</v>
      </c>
      <c r="O3" s="344">
        <v>0</v>
      </c>
      <c r="P3" s="344">
        <v>0</v>
      </c>
      <c r="Q3" s="344">
        <v>0</v>
      </c>
      <c r="R3" s="344">
        <v>0</v>
      </c>
      <c r="S3" s="344">
        <v>0</v>
      </c>
      <c r="T3" s="344">
        <v>0</v>
      </c>
      <c r="U3" s="344">
        <v>0</v>
      </c>
      <c r="V3" s="344">
        <v>0</v>
      </c>
      <c r="W3" s="344">
        <v>0</v>
      </c>
      <c r="X3" s="344">
        <v>0</v>
      </c>
      <c r="Y3" s="344">
        <v>0</v>
      </c>
      <c r="Z3" s="344">
        <v>0</v>
      </c>
      <c r="AA3" s="344">
        <v>0</v>
      </c>
      <c r="AB3" s="344">
        <v>0</v>
      </c>
      <c r="AC3" s="344">
        <v>0</v>
      </c>
      <c r="AD3" s="344">
        <v>0</v>
      </c>
      <c r="AE3" s="344">
        <v>0</v>
      </c>
      <c r="AF3" s="344">
        <v>0</v>
      </c>
    </row>
    <row r="4" spans="1:35" x14ac:dyDescent="0.25">
      <c r="A4" s="360">
        <v>4</v>
      </c>
      <c r="B4" s="361">
        <v>4</v>
      </c>
      <c r="C4" s="362" t="s">
        <v>66</v>
      </c>
      <c r="D4" s="344">
        <v>335290</v>
      </c>
      <c r="E4" s="344">
        <v>0</v>
      </c>
      <c r="F4" s="344">
        <v>0</v>
      </c>
      <c r="G4" s="344">
        <v>8835</v>
      </c>
      <c r="H4" s="344">
        <v>0</v>
      </c>
      <c r="I4" s="344">
        <v>0</v>
      </c>
      <c r="J4" s="344">
        <v>0</v>
      </c>
      <c r="K4" s="344">
        <v>0</v>
      </c>
      <c r="L4" s="344">
        <v>0</v>
      </c>
      <c r="M4" s="344">
        <v>23290</v>
      </c>
      <c r="N4" s="344">
        <v>0</v>
      </c>
      <c r="O4" s="344">
        <v>0</v>
      </c>
      <c r="P4" s="344">
        <v>0</v>
      </c>
      <c r="Q4" s="344">
        <v>0</v>
      </c>
      <c r="R4" s="344">
        <v>0</v>
      </c>
      <c r="S4" s="344">
        <v>0</v>
      </c>
      <c r="T4" s="344">
        <v>0</v>
      </c>
      <c r="U4" s="344">
        <v>0</v>
      </c>
      <c r="V4" s="344">
        <v>0</v>
      </c>
      <c r="W4" s="344">
        <v>0</v>
      </c>
      <c r="X4" s="344">
        <v>0</v>
      </c>
      <c r="Y4" s="344">
        <v>0</v>
      </c>
      <c r="Z4" s="344">
        <v>0</v>
      </c>
      <c r="AA4" s="344">
        <v>0</v>
      </c>
      <c r="AB4" s="344">
        <v>0</v>
      </c>
      <c r="AC4" s="344">
        <v>0</v>
      </c>
      <c r="AD4" s="344">
        <v>0</v>
      </c>
      <c r="AE4" s="344">
        <v>8967</v>
      </c>
      <c r="AF4" s="344">
        <v>0</v>
      </c>
      <c r="AI4" s="341">
        <v>0</v>
      </c>
    </row>
    <row r="5" spans="1:35" ht="30" x14ac:dyDescent="0.25">
      <c r="A5" s="363">
        <v>5</v>
      </c>
      <c r="B5" s="361">
        <v>5</v>
      </c>
      <c r="C5" s="362" t="s">
        <v>67</v>
      </c>
      <c r="D5" s="344">
        <v>0</v>
      </c>
      <c r="E5" s="344">
        <v>0</v>
      </c>
      <c r="F5" s="344">
        <v>0</v>
      </c>
      <c r="G5" s="344">
        <v>17890</v>
      </c>
      <c r="H5" s="344">
        <v>0</v>
      </c>
      <c r="I5" s="344">
        <v>0</v>
      </c>
      <c r="J5" s="344">
        <v>0</v>
      </c>
      <c r="K5" s="344">
        <v>0</v>
      </c>
      <c r="L5" s="344">
        <v>0</v>
      </c>
      <c r="M5" s="344">
        <v>0</v>
      </c>
      <c r="N5" s="344">
        <v>0</v>
      </c>
      <c r="O5" s="344">
        <v>0</v>
      </c>
      <c r="P5" s="344">
        <v>0</v>
      </c>
      <c r="Q5" s="344">
        <v>0</v>
      </c>
      <c r="R5" s="344">
        <v>0</v>
      </c>
      <c r="S5" s="344">
        <v>0</v>
      </c>
      <c r="T5" s="344">
        <v>0</v>
      </c>
      <c r="U5" s="344">
        <v>0</v>
      </c>
      <c r="V5" s="344">
        <v>0</v>
      </c>
      <c r="W5" s="344">
        <v>0</v>
      </c>
      <c r="X5" s="344">
        <v>0</v>
      </c>
      <c r="Y5" s="344">
        <v>0</v>
      </c>
      <c r="Z5" s="344">
        <v>0</v>
      </c>
      <c r="AA5" s="344">
        <v>0</v>
      </c>
      <c r="AB5" s="344">
        <v>0</v>
      </c>
      <c r="AC5" s="344">
        <v>0</v>
      </c>
      <c r="AD5" s="344">
        <v>0</v>
      </c>
      <c r="AE5" s="344">
        <v>0</v>
      </c>
      <c r="AF5" s="344">
        <v>0</v>
      </c>
      <c r="AI5" s="341">
        <v>0</v>
      </c>
    </row>
    <row r="6" spans="1:35" x14ac:dyDescent="0.25">
      <c r="A6" s="363">
        <v>6</v>
      </c>
      <c r="B6" s="361">
        <v>6</v>
      </c>
      <c r="C6" s="362" t="s">
        <v>147</v>
      </c>
      <c r="D6" s="344">
        <v>0</v>
      </c>
      <c r="E6" s="344">
        <v>0</v>
      </c>
      <c r="F6" s="344">
        <v>0</v>
      </c>
      <c r="G6" s="344">
        <v>0</v>
      </c>
      <c r="H6" s="344">
        <v>0</v>
      </c>
      <c r="I6" s="344">
        <v>0</v>
      </c>
      <c r="J6" s="344">
        <v>0</v>
      </c>
      <c r="K6" s="344">
        <v>0</v>
      </c>
      <c r="L6" s="344">
        <v>0</v>
      </c>
      <c r="M6" s="344">
        <v>0</v>
      </c>
      <c r="N6" s="344">
        <v>0</v>
      </c>
      <c r="O6" s="344">
        <v>0</v>
      </c>
      <c r="P6" s="344">
        <v>0</v>
      </c>
      <c r="Q6" s="344">
        <v>0</v>
      </c>
      <c r="R6" s="344">
        <v>0</v>
      </c>
      <c r="S6" s="344">
        <v>0</v>
      </c>
      <c r="T6" s="344">
        <v>0</v>
      </c>
      <c r="U6" s="344">
        <v>0</v>
      </c>
      <c r="V6" s="344">
        <v>0</v>
      </c>
      <c r="W6" s="344">
        <v>0</v>
      </c>
      <c r="X6" s="344">
        <v>0</v>
      </c>
      <c r="Y6" s="344">
        <v>0</v>
      </c>
      <c r="Z6" s="344">
        <v>0</v>
      </c>
      <c r="AA6" s="344">
        <v>0</v>
      </c>
      <c r="AB6" s="344">
        <v>0</v>
      </c>
      <c r="AC6" s="344">
        <v>0</v>
      </c>
      <c r="AD6" s="344">
        <v>0</v>
      </c>
      <c r="AE6" s="344">
        <v>0</v>
      </c>
      <c r="AF6" s="344">
        <v>0</v>
      </c>
      <c r="AI6" s="341">
        <v>0</v>
      </c>
    </row>
    <row r="7" spans="1:35" x14ac:dyDescent="0.25">
      <c r="A7" s="363">
        <v>7</v>
      </c>
      <c r="B7" s="361">
        <v>7</v>
      </c>
      <c r="C7" s="362" t="s">
        <v>128</v>
      </c>
      <c r="D7" s="344">
        <v>14174</v>
      </c>
      <c r="E7" s="344">
        <v>0</v>
      </c>
      <c r="F7" s="344">
        <v>0</v>
      </c>
      <c r="G7" s="344">
        <v>1108</v>
      </c>
      <c r="H7" s="344">
        <v>0</v>
      </c>
      <c r="I7" s="344">
        <v>0</v>
      </c>
      <c r="J7" s="344">
        <v>0</v>
      </c>
      <c r="K7" s="344">
        <v>0</v>
      </c>
      <c r="L7" s="344">
        <v>0</v>
      </c>
      <c r="M7" s="344">
        <v>22410</v>
      </c>
      <c r="N7" s="344">
        <v>0</v>
      </c>
      <c r="O7" s="344">
        <v>0</v>
      </c>
      <c r="P7" s="344">
        <v>0</v>
      </c>
      <c r="Q7" s="344">
        <v>0</v>
      </c>
      <c r="R7" s="344">
        <v>0</v>
      </c>
      <c r="S7" s="344">
        <v>0</v>
      </c>
      <c r="T7" s="344">
        <v>0</v>
      </c>
      <c r="U7" s="344">
        <v>0</v>
      </c>
      <c r="V7" s="344">
        <v>0</v>
      </c>
      <c r="W7" s="344">
        <v>0</v>
      </c>
      <c r="X7" s="344">
        <v>0</v>
      </c>
      <c r="Y7" s="344">
        <v>0</v>
      </c>
      <c r="Z7" s="344">
        <v>0</v>
      </c>
      <c r="AA7" s="344">
        <v>0</v>
      </c>
      <c r="AB7" s="344">
        <v>0</v>
      </c>
      <c r="AC7" s="344">
        <v>0</v>
      </c>
      <c r="AD7" s="344">
        <v>0</v>
      </c>
      <c r="AE7" s="344">
        <v>5029</v>
      </c>
      <c r="AF7" s="344">
        <v>0</v>
      </c>
      <c r="AI7" s="341">
        <v>0</v>
      </c>
    </row>
    <row r="8" spans="1:35" ht="30" x14ac:dyDescent="0.25">
      <c r="A8" s="363">
        <v>9</v>
      </c>
      <c r="B8" s="361">
        <v>9</v>
      </c>
      <c r="C8" s="362" t="s">
        <v>129</v>
      </c>
      <c r="D8" s="344">
        <v>275223</v>
      </c>
      <c r="E8" s="344">
        <v>0</v>
      </c>
      <c r="F8" s="344">
        <v>0</v>
      </c>
      <c r="G8" s="344">
        <v>159672</v>
      </c>
      <c r="H8" s="344">
        <v>0</v>
      </c>
      <c r="I8" s="344">
        <v>0</v>
      </c>
      <c r="J8" s="344">
        <v>0</v>
      </c>
      <c r="K8" s="344">
        <v>0</v>
      </c>
      <c r="L8" s="344">
        <v>0</v>
      </c>
      <c r="M8" s="344">
        <v>186823</v>
      </c>
      <c r="N8" s="344">
        <v>0</v>
      </c>
      <c r="O8" s="344">
        <v>0</v>
      </c>
      <c r="P8" s="344">
        <v>0</v>
      </c>
      <c r="Q8" s="344">
        <v>0</v>
      </c>
      <c r="R8" s="344">
        <v>0</v>
      </c>
      <c r="S8" s="344">
        <v>0</v>
      </c>
      <c r="T8" s="344">
        <v>0</v>
      </c>
      <c r="U8" s="344">
        <v>0</v>
      </c>
      <c r="V8" s="344">
        <v>0</v>
      </c>
      <c r="W8" s="344">
        <v>0</v>
      </c>
      <c r="X8" s="344">
        <v>0</v>
      </c>
      <c r="Y8" s="344">
        <v>0</v>
      </c>
      <c r="Z8" s="344">
        <v>0</v>
      </c>
      <c r="AA8" s="344">
        <v>0</v>
      </c>
      <c r="AB8" s="344">
        <v>0</v>
      </c>
      <c r="AC8" s="344">
        <v>0</v>
      </c>
      <c r="AD8" s="344">
        <v>0</v>
      </c>
      <c r="AE8" s="344">
        <v>31102</v>
      </c>
      <c r="AF8" s="344">
        <v>0</v>
      </c>
      <c r="AI8" s="341">
        <v>0</v>
      </c>
    </row>
    <row r="9" spans="1:35" ht="30" x14ac:dyDescent="0.25">
      <c r="A9" s="364"/>
      <c r="B9" s="341" t="s">
        <v>408</v>
      </c>
      <c r="C9" s="342" t="s">
        <v>215</v>
      </c>
      <c r="D9" s="344">
        <v>0</v>
      </c>
      <c r="E9" s="344">
        <v>0</v>
      </c>
      <c r="F9" s="344">
        <v>0</v>
      </c>
      <c r="G9" s="344">
        <v>0</v>
      </c>
      <c r="H9" s="344">
        <v>0</v>
      </c>
      <c r="I9" s="344">
        <v>0</v>
      </c>
      <c r="J9" s="344">
        <v>0</v>
      </c>
      <c r="K9" s="344">
        <v>0</v>
      </c>
      <c r="L9" s="344">
        <v>0</v>
      </c>
      <c r="M9" s="344">
        <v>0</v>
      </c>
      <c r="N9" s="344">
        <v>0</v>
      </c>
      <c r="O9" s="344">
        <v>0</v>
      </c>
      <c r="P9" s="344">
        <v>0</v>
      </c>
      <c r="Q9" s="344">
        <v>0</v>
      </c>
      <c r="R9" s="344">
        <v>0</v>
      </c>
      <c r="S9" s="344">
        <v>0</v>
      </c>
      <c r="T9" s="344">
        <v>0</v>
      </c>
      <c r="U9" s="344">
        <v>0</v>
      </c>
      <c r="V9" s="344">
        <v>0</v>
      </c>
      <c r="W9" s="344">
        <v>0</v>
      </c>
      <c r="X9" s="344">
        <v>0</v>
      </c>
      <c r="Y9" s="344">
        <v>0</v>
      </c>
      <c r="Z9" s="344">
        <v>0</v>
      </c>
      <c r="AA9" s="344">
        <v>0</v>
      </c>
      <c r="AB9" s="344">
        <v>0</v>
      </c>
      <c r="AC9" s="344">
        <v>0</v>
      </c>
      <c r="AD9" s="344">
        <v>0</v>
      </c>
      <c r="AE9" s="344">
        <v>0</v>
      </c>
      <c r="AF9" s="344">
        <v>0</v>
      </c>
      <c r="AI9" s="341">
        <v>0</v>
      </c>
    </row>
    <row r="10" spans="1:35" ht="30" x14ac:dyDescent="0.25">
      <c r="A10" s="359">
        <v>13</v>
      </c>
      <c r="B10" s="341" t="s">
        <v>409</v>
      </c>
      <c r="C10" s="342" t="s">
        <v>216</v>
      </c>
      <c r="D10" s="344">
        <v>0</v>
      </c>
      <c r="E10" s="344">
        <v>28971613</v>
      </c>
      <c r="F10" s="344">
        <v>241018</v>
      </c>
      <c r="G10" s="344">
        <v>0</v>
      </c>
      <c r="H10" s="344">
        <v>582327</v>
      </c>
      <c r="I10" s="344">
        <v>1087852</v>
      </c>
      <c r="J10" s="344">
        <v>4736430</v>
      </c>
      <c r="K10" s="344">
        <v>422435</v>
      </c>
      <c r="L10" s="344">
        <v>2437969</v>
      </c>
      <c r="M10" s="344">
        <v>0</v>
      </c>
      <c r="N10" s="344">
        <v>1298277</v>
      </c>
      <c r="O10" s="344">
        <v>0</v>
      </c>
      <c r="P10" s="344">
        <v>243356</v>
      </c>
      <c r="Q10" s="344">
        <v>804849</v>
      </c>
      <c r="R10" s="344">
        <v>2870357</v>
      </c>
      <c r="S10" s="344">
        <v>651316</v>
      </c>
      <c r="T10" s="344">
        <v>629108</v>
      </c>
      <c r="U10" s="344">
        <v>94997</v>
      </c>
      <c r="V10" s="344">
        <v>2937753</v>
      </c>
      <c r="W10" s="344">
        <v>555385</v>
      </c>
      <c r="X10" s="344">
        <v>30375914</v>
      </c>
      <c r="Y10" s="344">
        <v>78721394</v>
      </c>
      <c r="Z10" s="344">
        <v>4042028</v>
      </c>
      <c r="AA10" s="344">
        <v>0</v>
      </c>
      <c r="AB10" s="344">
        <v>290708</v>
      </c>
      <c r="AC10" s="344">
        <v>245800</v>
      </c>
      <c r="AD10" s="344">
        <v>1018291</v>
      </c>
      <c r="AE10" s="344">
        <v>0</v>
      </c>
      <c r="AF10" s="344">
        <v>124554</v>
      </c>
      <c r="AI10" s="341">
        <v>0</v>
      </c>
    </row>
    <row r="11" spans="1:35" ht="45" x14ac:dyDescent="0.25">
      <c r="A11" s="363">
        <v>14</v>
      </c>
      <c r="B11" s="341" t="s">
        <v>410</v>
      </c>
      <c r="C11" s="342" t="s">
        <v>217</v>
      </c>
      <c r="D11" s="344">
        <v>0</v>
      </c>
      <c r="E11" s="344">
        <v>3660753</v>
      </c>
      <c r="F11" s="344">
        <v>85062</v>
      </c>
      <c r="G11" s="344">
        <v>0</v>
      </c>
      <c r="H11" s="344">
        <v>87514</v>
      </c>
      <c r="I11" s="344">
        <v>274681</v>
      </c>
      <c r="J11" s="344">
        <v>71408</v>
      </c>
      <c r="K11" s="344">
        <v>164089</v>
      </c>
      <c r="L11" s="344">
        <v>64180</v>
      </c>
      <c r="M11" s="344">
        <v>0</v>
      </c>
      <c r="N11" s="344">
        <v>59104</v>
      </c>
      <c r="O11" s="344">
        <v>0</v>
      </c>
      <c r="P11" s="344">
        <v>5806</v>
      </c>
      <c r="Q11" s="344">
        <v>281101</v>
      </c>
      <c r="R11" s="344">
        <v>67619</v>
      </c>
      <c r="S11" s="344">
        <v>189216</v>
      </c>
      <c r="T11" s="344">
        <v>179891</v>
      </c>
      <c r="U11" s="344">
        <v>242</v>
      </c>
      <c r="V11" s="344">
        <v>573500</v>
      </c>
      <c r="W11" s="344">
        <v>354781</v>
      </c>
      <c r="X11" s="344">
        <v>3897228</v>
      </c>
      <c r="Y11" s="344">
        <v>19984896</v>
      </c>
      <c r="Z11" s="344">
        <v>671288</v>
      </c>
      <c r="AA11" s="344">
        <v>0</v>
      </c>
      <c r="AB11" s="344">
        <v>3680301</v>
      </c>
      <c r="AC11" s="344">
        <v>3673</v>
      </c>
      <c r="AD11" s="344">
        <v>732476</v>
      </c>
      <c r="AE11" s="344">
        <v>0</v>
      </c>
      <c r="AF11" s="344">
        <v>167</v>
      </c>
      <c r="AI11" s="341">
        <v>0</v>
      </c>
    </row>
    <row r="12" spans="1:35" x14ac:dyDescent="0.25">
      <c r="A12" s="363">
        <v>16</v>
      </c>
      <c r="B12" s="341" t="s">
        <v>411</v>
      </c>
      <c r="C12" s="342" t="s">
        <v>218</v>
      </c>
      <c r="D12" s="344">
        <v>221115</v>
      </c>
      <c r="E12" s="344">
        <v>0</v>
      </c>
      <c r="F12" s="344">
        <v>0</v>
      </c>
      <c r="G12" s="344">
        <v>342219</v>
      </c>
      <c r="H12" s="344">
        <v>0</v>
      </c>
      <c r="I12" s="344">
        <v>0</v>
      </c>
      <c r="J12" s="344">
        <v>0</v>
      </c>
      <c r="K12" s="344">
        <v>0</v>
      </c>
      <c r="L12" s="344">
        <v>0</v>
      </c>
      <c r="M12" s="344">
        <v>395471</v>
      </c>
      <c r="N12" s="344">
        <v>0</v>
      </c>
      <c r="O12" s="344">
        <v>0</v>
      </c>
      <c r="P12" s="344">
        <v>0</v>
      </c>
      <c r="Q12" s="344">
        <v>0</v>
      </c>
      <c r="R12" s="344">
        <v>0</v>
      </c>
      <c r="S12" s="344">
        <v>0</v>
      </c>
      <c r="T12" s="344">
        <v>0</v>
      </c>
      <c r="U12" s="344">
        <v>0</v>
      </c>
      <c r="V12" s="344">
        <v>0</v>
      </c>
      <c r="W12" s="344">
        <v>0</v>
      </c>
      <c r="X12" s="344">
        <v>0</v>
      </c>
      <c r="Y12" s="344">
        <v>0</v>
      </c>
      <c r="Z12" s="344">
        <v>0</v>
      </c>
      <c r="AA12" s="344">
        <v>0</v>
      </c>
      <c r="AB12" s="344">
        <v>0</v>
      </c>
      <c r="AC12" s="344">
        <v>0</v>
      </c>
      <c r="AD12" s="344">
        <v>0</v>
      </c>
      <c r="AE12" s="344">
        <v>15686</v>
      </c>
      <c r="AF12" s="344">
        <v>0</v>
      </c>
      <c r="AI12" s="341">
        <v>0</v>
      </c>
    </row>
    <row r="13" spans="1:35" x14ac:dyDescent="0.25">
      <c r="A13" s="363">
        <v>17</v>
      </c>
      <c r="B13" s="341" t="s">
        <v>412</v>
      </c>
      <c r="C13" s="342" t="s">
        <v>219</v>
      </c>
      <c r="D13" s="344">
        <v>0</v>
      </c>
      <c r="E13" s="344">
        <v>0</v>
      </c>
      <c r="F13" s="344">
        <v>0</v>
      </c>
      <c r="G13" s="344">
        <v>0</v>
      </c>
      <c r="H13" s="344">
        <v>0</v>
      </c>
      <c r="I13" s="344">
        <v>0</v>
      </c>
      <c r="J13" s="344">
        <v>0</v>
      </c>
      <c r="K13" s="344">
        <v>0</v>
      </c>
      <c r="L13" s="344">
        <v>0</v>
      </c>
      <c r="M13" s="344">
        <v>0</v>
      </c>
      <c r="N13" s="344">
        <v>0</v>
      </c>
      <c r="O13" s="344">
        <v>0</v>
      </c>
      <c r="P13" s="344">
        <v>0</v>
      </c>
      <c r="Q13" s="344">
        <v>0</v>
      </c>
      <c r="R13" s="344">
        <v>0</v>
      </c>
      <c r="S13" s="344">
        <v>0</v>
      </c>
      <c r="T13" s="344">
        <v>0</v>
      </c>
      <c r="U13" s="344">
        <v>0</v>
      </c>
      <c r="V13" s="344">
        <v>0</v>
      </c>
      <c r="W13" s="344">
        <v>0</v>
      </c>
      <c r="X13" s="344">
        <v>0</v>
      </c>
      <c r="Y13" s="344">
        <v>0</v>
      </c>
      <c r="Z13" s="344">
        <v>0</v>
      </c>
      <c r="AA13" s="344">
        <v>0</v>
      </c>
      <c r="AB13" s="344">
        <v>0</v>
      </c>
      <c r="AC13" s="344">
        <v>0</v>
      </c>
      <c r="AD13" s="344">
        <v>0</v>
      </c>
      <c r="AE13" s="344">
        <v>0</v>
      </c>
      <c r="AF13" s="344">
        <v>0</v>
      </c>
      <c r="AI13" s="341">
        <v>0</v>
      </c>
    </row>
    <row r="14" spans="1:35" ht="30" x14ac:dyDescent="0.25">
      <c r="A14" s="363"/>
      <c r="B14" s="341" t="s">
        <v>413</v>
      </c>
      <c r="C14" s="342" t="s">
        <v>220</v>
      </c>
      <c r="D14" s="344">
        <v>0</v>
      </c>
      <c r="E14" s="344">
        <v>0</v>
      </c>
      <c r="F14" s="344">
        <v>0</v>
      </c>
      <c r="G14" s="344">
        <v>0</v>
      </c>
      <c r="H14" s="344">
        <v>0</v>
      </c>
      <c r="I14" s="344">
        <v>0</v>
      </c>
      <c r="J14" s="344">
        <v>0</v>
      </c>
      <c r="K14" s="344">
        <v>0</v>
      </c>
      <c r="L14" s="344">
        <v>0</v>
      </c>
      <c r="M14" s="344">
        <v>0</v>
      </c>
      <c r="N14" s="344">
        <v>0</v>
      </c>
      <c r="O14" s="344">
        <v>0</v>
      </c>
      <c r="P14" s="344">
        <v>0</v>
      </c>
      <c r="Q14" s="344">
        <v>0</v>
      </c>
      <c r="R14" s="344">
        <v>0</v>
      </c>
      <c r="S14" s="344">
        <v>0</v>
      </c>
      <c r="T14" s="344">
        <v>0</v>
      </c>
      <c r="U14" s="344">
        <v>0</v>
      </c>
      <c r="V14" s="344">
        <v>0</v>
      </c>
      <c r="W14" s="344">
        <v>0</v>
      </c>
      <c r="X14" s="344">
        <v>0</v>
      </c>
      <c r="Y14" s="344">
        <v>0</v>
      </c>
      <c r="Z14" s="344">
        <v>0</v>
      </c>
      <c r="AA14" s="344">
        <v>0</v>
      </c>
      <c r="AB14" s="344">
        <v>0</v>
      </c>
      <c r="AC14" s="344">
        <v>0</v>
      </c>
      <c r="AD14" s="344">
        <v>0</v>
      </c>
      <c r="AE14" s="344">
        <v>0</v>
      </c>
      <c r="AF14" s="344">
        <v>0</v>
      </c>
      <c r="AI14" s="341">
        <v>0</v>
      </c>
    </row>
    <row r="15" spans="1:35" ht="30" x14ac:dyDescent="0.25">
      <c r="A15" s="363">
        <v>193</v>
      </c>
      <c r="B15" s="341" t="s">
        <v>414</v>
      </c>
      <c r="C15" s="342" t="s">
        <v>221</v>
      </c>
      <c r="D15" s="344">
        <v>0</v>
      </c>
      <c r="E15" s="344">
        <v>10184989</v>
      </c>
      <c r="F15" s="344">
        <v>630153</v>
      </c>
      <c r="G15" s="344">
        <v>0</v>
      </c>
      <c r="H15" s="344">
        <v>27827</v>
      </c>
      <c r="I15" s="344">
        <v>1440069</v>
      </c>
      <c r="J15" s="344">
        <v>256366</v>
      </c>
      <c r="K15" s="344">
        <v>0</v>
      </c>
      <c r="L15" s="344">
        <v>128625</v>
      </c>
      <c r="M15" s="344">
        <v>0</v>
      </c>
      <c r="N15" s="344">
        <v>332157</v>
      </c>
      <c r="O15" s="344">
        <v>0</v>
      </c>
      <c r="P15" s="344">
        <v>0</v>
      </c>
      <c r="Q15" s="344">
        <v>1168805</v>
      </c>
      <c r="R15" s="344">
        <v>3348461</v>
      </c>
      <c r="S15" s="344">
        <v>148867</v>
      </c>
      <c r="T15" s="344">
        <v>768704</v>
      </c>
      <c r="U15" s="344">
        <v>267114</v>
      </c>
      <c r="V15" s="344">
        <v>1487108</v>
      </c>
      <c r="W15" s="344">
        <v>1133653</v>
      </c>
      <c r="X15" s="344">
        <v>10958881</v>
      </c>
      <c r="Y15" s="344">
        <v>24281461</v>
      </c>
      <c r="Z15" s="344">
        <v>3856000</v>
      </c>
      <c r="AA15" s="344">
        <v>0</v>
      </c>
      <c r="AB15" s="344">
        <v>3611946</v>
      </c>
      <c r="AC15" s="344">
        <v>6636905</v>
      </c>
      <c r="AD15" s="344">
        <v>0</v>
      </c>
      <c r="AE15" s="344">
        <v>0</v>
      </c>
      <c r="AF15" s="344">
        <v>287672</v>
      </c>
      <c r="AI15" s="341">
        <v>0</v>
      </c>
    </row>
    <row r="16" spans="1:35" ht="30" x14ac:dyDescent="0.25">
      <c r="A16" s="363">
        <v>20</v>
      </c>
      <c r="B16" s="341" t="s">
        <v>415</v>
      </c>
      <c r="C16" s="342" t="s">
        <v>222</v>
      </c>
      <c r="D16" s="344">
        <v>178372</v>
      </c>
      <c r="E16" s="344">
        <v>0</v>
      </c>
      <c r="F16" s="344">
        <v>0</v>
      </c>
      <c r="G16" s="344">
        <v>98327</v>
      </c>
      <c r="H16" s="344">
        <v>0</v>
      </c>
      <c r="I16" s="344">
        <v>0</v>
      </c>
      <c r="J16" s="344">
        <v>0</v>
      </c>
      <c r="K16" s="344">
        <v>0</v>
      </c>
      <c r="L16" s="344">
        <v>0</v>
      </c>
      <c r="M16" s="344">
        <v>0</v>
      </c>
      <c r="N16" s="344">
        <v>0</v>
      </c>
      <c r="O16" s="344">
        <v>0</v>
      </c>
      <c r="P16" s="344">
        <v>0</v>
      </c>
      <c r="Q16" s="344">
        <v>0</v>
      </c>
      <c r="R16" s="344">
        <v>0</v>
      </c>
      <c r="S16" s="344">
        <v>0</v>
      </c>
      <c r="T16" s="344">
        <v>0</v>
      </c>
      <c r="U16" s="344">
        <v>0</v>
      </c>
      <c r="V16" s="344">
        <v>0</v>
      </c>
      <c r="W16" s="344">
        <v>0</v>
      </c>
      <c r="X16" s="344">
        <v>0</v>
      </c>
      <c r="Y16" s="344">
        <v>0</v>
      </c>
      <c r="Z16" s="344">
        <v>0</v>
      </c>
      <c r="AA16" s="344">
        <v>0</v>
      </c>
      <c r="AB16" s="344">
        <v>0</v>
      </c>
      <c r="AC16" s="344">
        <v>0</v>
      </c>
      <c r="AD16" s="344">
        <v>0</v>
      </c>
      <c r="AE16" s="344">
        <v>0</v>
      </c>
      <c r="AF16" s="344">
        <v>0</v>
      </c>
      <c r="AI16" s="341">
        <v>0</v>
      </c>
    </row>
    <row r="17" spans="1:35" ht="45" x14ac:dyDescent="0.25">
      <c r="A17" s="364"/>
      <c r="B17" s="341" t="s">
        <v>416</v>
      </c>
      <c r="C17" s="342" t="s">
        <v>223</v>
      </c>
      <c r="D17" s="344">
        <v>0</v>
      </c>
      <c r="E17" s="344">
        <v>0</v>
      </c>
      <c r="F17" s="344">
        <v>0</v>
      </c>
      <c r="G17" s="344">
        <v>0</v>
      </c>
      <c r="H17" s="344">
        <v>0</v>
      </c>
      <c r="I17" s="344">
        <v>0</v>
      </c>
      <c r="J17" s="344">
        <v>0</v>
      </c>
      <c r="K17" s="344">
        <v>0</v>
      </c>
      <c r="L17" s="344">
        <v>0</v>
      </c>
      <c r="M17" s="344">
        <v>0</v>
      </c>
      <c r="N17" s="344">
        <v>0</v>
      </c>
      <c r="O17" s="344">
        <v>0</v>
      </c>
      <c r="P17" s="344">
        <v>0</v>
      </c>
      <c r="Q17" s="344">
        <v>0</v>
      </c>
      <c r="R17" s="344">
        <v>0</v>
      </c>
      <c r="S17" s="344">
        <v>0</v>
      </c>
      <c r="T17" s="344">
        <v>0</v>
      </c>
      <c r="U17" s="344">
        <v>0</v>
      </c>
      <c r="V17" s="344">
        <v>0</v>
      </c>
      <c r="W17" s="344">
        <v>0</v>
      </c>
      <c r="X17" s="344">
        <v>0</v>
      </c>
      <c r="Y17" s="344">
        <v>0</v>
      </c>
      <c r="Z17" s="344">
        <v>0</v>
      </c>
      <c r="AA17" s="344">
        <v>0</v>
      </c>
      <c r="AB17" s="344">
        <v>0</v>
      </c>
      <c r="AC17" s="344">
        <v>0</v>
      </c>
      <c r="AD17" s="344">
        <v>0</v>
      </c>
      <c r="AE17" s="344">
        <v>0</v>
      </c>
      <c r="AF17" s="344">
        <v>0</v>
      </c>
      <c r="AI17" s="341">
        <v>0</v>
      </c>
    </row>
    <row r="18" spans="1:35" ht="60" x14ac:dyDescent="0.25">
      <c r="A18" s="359">
        <v>22</v>
      </c>
      <c r="B18" s="341" t="s">
        <v>417</v>
      </c>
      <c r="C18" s="342" t="s">
        <v>224</v>
      </c>
      <c r="D18" s="344">
        <v>0</v>
      </c>
      <c r="E18" s="344">
        <v>0</v>
      </c>
      <c r="F18" s="344">
        <v>0</v>
      </c>
      <c r="G18" s="344">
        <v>0</v>
      </c>
      <c r="H18" s="344">
        <v>0</v>
      </c>
      <c r="I18" s="344">
        <v>0</v>
      </c>
      <c r="J18" s="344">
        <v>0</v>
      </c>
      <c r="K18" s="344">
        <v>0</v>
      </c>
      <c r="L18" s="344">
        <v>0</v>
      </c>
      <c r="M18" s="344">
        <v>0</v>
      </c>
      <c r="N18" s="344">
        <v>0</v>
      </c>
      <c r="O18" s="344">
        <v>0</v>
      </c>
      <c r="P18" s="344">
        <v>0</v>
      </c>
      <c r="Q18" s="344">
        <v>0</v>
      </c>
      <c r="R18" s="344">
        <v>0</v>
      </c>
      <c r="S18" s="344">
        <v>0</v>
      </c>
      <c r="T18" s="344">
        <v>0</v>
      </c>
      <c r="U18" s="344">
        <v>0</v>
      </c>
      <c r="V18" s="344">
        <v>0</v>
      </c>
      <c r="W18" s="344">
        <v>0</v>
      </c>
      <c r="X18" s="344">
        <v>0</v>
      </c>
      <c r="Y18" s="344">
        <v>0</v>
      </c>
      <c r="Z18" s="344">
        <v>0</v>
      </c>
      <c r="AA18" s="344">
        <v>0</v>
      </c>
      <c r="AB18" s="344">
        <v>0</v>
      </c>
      <c r="AC18" s="344">
        <v>0</v>
      </c>
      <c r="AD18" s="344">
        <v>0</v>
      </c>
      <c r="AE18" s="344">
        <v>0</v>
      </c>
      <c r="AF18" s="344">
        <v>0</v>
      </c>
      <c r="AI18" s="341">
        <v>0</v>
      </c>
    </row>
    <row r="19" spans="1:35" x14ac:dyDescent="0.25">
      <c r="A19" s="363">
        <v>23</v>
      </c>
      <c r="B19" s="341" t="s">
        <v>418</v>
      </c>
      <c r="C19" s="342" t="s">
        <v>225</v>
      </c>
      <c r="D19" s="344">
        <v>-102568</v>
      </c>
      <c r="E19" s="344">
        <v>0</v>
      </c>
      <c r="F19" s="344">
        <v>0</v>
      </c>
      <c r="G19" s="344">
        <v>-72800</v>
      </c>
      <c r="H19" s="344">
        <v>0</v>
      </c>
      <c r="I19" s="344">
        <v>0</v>
      </c>
      <c r="J19" s="344">
        <v>0</v>
      </c>
      <c r="K19" s="344">
        <v>0</v>
      </c>
      <c r="L19" s="344">
        <v>0</v>
      </c>
      <c r="M19" s="344">
        <v>-1702</v>
      </c>
      <c r="N19" s="344">
        <v>0</v>
      </c>
      <c r="O19" s="344">
        <v>0</v>
      </c>
      <c r="P19" s="344">
        <v>0</v>
      </c>
      <c r="Q19" s="344">
        <v>0</v>
      </c>
      <c r="R19" s="344">
        <v>0</v>
      </c>
      <c r="S19" s="344">
        <v>0</v>
      </c>
      <c r="T19" s="344">
        <v>0</v>
      </c>
      <c r="U19" s="344">
        <v>0</v>
      </c>
      <c r="V19" s="344">
        <v>0</v>
      </c>
      <c r="W19" s="344">
        <v>0</v>
      </c>
      <c r="X19" s="344">
        <v>0</v>
      </c>
      <c r="Y19" s="344">
        <v>0</v>
      </c>
      <c r="Z19" s="344">
        <v>0</v>
      </c>
      <c r="AA19" s="344">
        <v>0</v>
      </c>
      <c r="AB19" s="344">
        <v>0</v>
      </c>
      <c r="AC19" s="344">
        <v>0</v>
      </c>
      <c r="AD19" s="344">
        <v>0</v>
      </c>
      <c r="AE19" s="344">
        <v>6416</v>
      </c>
      <c r="AF19" s="344">
        <v>0</v>
      </c>
      <c r="AI19" s="341">
        <v>0</v>
      </c>
    </row>
    <row r="20" spans="1:35" ht="30" x14ac:dyDescent="0.25">
      <c r="B20" s="341" t="s">
        <v>419</v>
      </c>
      <c r="C20" s="342" t="s">
        <v>226</v>
      </c>
      <c r="D20" s="344">
        <v>0</v>
      </c>
      <c r="E20" s="344">
        <v>0</v>
      </c>
      <c r="F20" s="344">
        <v>0</v>
      </c>
      <c r="G20" s="344">
        <v>0</v>
      </c>
      <c r="H20" s="344">
        <v>0</v>
      </c>
      <c r="I20" s="344">
        <v>0</v>
      </c>
      <c r="J20" s="344">
        <v>0</v>
      </c>
      <c r="K20" s="344">
        <v>0</v>
      </c>
      <c r="L20" s="344">
        <v>0</v>
      </c>
      <c r="M20" s="344">
        <v>0</v>
      </c>
      <c r="N20" s="344">
        <v>0</v>
      </c>
      <c r="O20" s="344">
        <v>0</v>
      </c>
      <c r="P20" s="344">
        <v>0</v>
      </c>
      <c r="Q20" s="344">
        <v>0</v>
      </c>
      <c r="R20" s="344">
        <v>0</v>
      </c>
      <c r="S20" s="344">
        <v>0</v>
      </c>
      <c r="T20" s="344">
        <v>0</v>
      </c>
      <c r="U20" s="344">
        <v>0</v>
      </c>
      <c r="V20" s="344">
        <v>0</v>
      </c>
      <c r="W20" s="344">
        <v>0</v>
      </c>
      <c r="X20" s="344">
        <v>0</v>
      </c>
      <c r="Y20" s="344">
        <v>0</v>
      </c>
      <c r="Z20" s="344">
        <v>0</v>
      </c>
      <c r="AA20" s="344">
        <v>0</v>
      </c>
      <c r="AB20" s="344">
        <v>0</v>
      </c>
      <c r="AC20" s="344">
        <v>0</v>
      </c>
      <c r="AD20" s="344">
        <v>0</v>
      </c>
      <c r="AE20" s="344">
        <v>0</v>
      </c>
      <c r="AF20" s="344">
        <v>0</v>
      </c>
      <c r="AI20" s="341">
        <v>0</v>
      </c>
    </row>
    <row r="21" spans="1:35" ht="45" x14ac:dyDescent="0.25">
      <c r="B21" s="341" t="s">
        <v>420</v>
      </c>
      <c r="C21" s="342" t="s">
        <v>227</v>
      </c>
      <c r="D21" s="344">
        <v>0</v>
      </c>
      <c r="E21" s="344">
        <v>0</v>
      </c>
      <c r="F21" s="344">
        <v>0</v>
      </c>
      <c r="G21" s="344">
        <v>0</v>
      </c>
      <c r="H21" s="344">
        <v>0</v>
      </c>
      <c r="I21" s="344">
        <v>0</v>
      </c>
      <c r="J21" s="344">
        <v>0</v>
      </c>
      <c r="K21" s="344">
        <v>0</v>
      </c>
      <c r="L21" s="344">
        <v>0</v>
      </c>
      <c r="M21" s="344">
        <v>0</v>
      </c>
      <c r="N21" s="344">
        <v>0</v>
      </c>
      <c r="O21" s="344">
        <v>0</v>
      </c>
      <c r="P21" s="344">
        <v>0</v>
      </c>
      <c r="Q21" s="344">
        <v>0</v>
      </c>
      <c r="R21" s="344">
        <v>0</v>
      </c>
      <c r="S21" s="344">
        <v>0</v>
      </c>
      <c r="T21" s="344">
        <v>0</v>
      </c>
      <c r="U21" s="344">
        <v>0</v>
      </c>
      <c r="V21" s="344">
        <v>0</v>
      </c>
      <c r="W21" s="344">
        <v>0</v>
      </c>
      <c r="X21" s="344">
        <v>0</v>
      </c>
      <c r="Y21" s="344">
        <v>0</v>
      </c>
      <c r="Z21" s="344">
        <v>0</v>
      </c>
      <c r="AA21" s="344">
        <v>0</v>
      </c>
      <c r="AB21" s="344">
        <v>0</v>
      </c>
      <c r="AC21" s="344">
        <v>0</v>
      </c>
      <c r="AD21" s="344">
        <v>0</v>
      </c>
      <c r="AE21" s="344">
        <v>0</v>
      </c>
      <c r="AF21" s="344">
        <v>0</v>
      </c>
      <c r="AI21" s="341">
        <v>0</v>
      </c>
    </row>
    <row r="22" spans="1:35" x14ac:dyDescent="0.25">
      <c r="A22" s="359">
        <v>252</v>
      </c>
      <c r="B22" s="341" t="s">
        <v>421</v>
      </c>
      <c r="C22" s="342" t="s">
        <v>228</v>
      </c>
      <c r="D22" s="344">
        <v>6971434</v>
      </c>
      <c r="E22" s="344">
        <v>0</v>
      </c>
      <c r="F22" s="344">
        <v>0</v>
      </c>
      <c r="G22" s="344">
        <v>13187448</v>
      </c>
      <c r="H22" s="344">
        <v>0</v>
      </c>
      <c r="I22" s="344">
        <v>0</v>
      </c>
      <c r="J22" s="344">
        <v>0</v>
      </c>
      <c r="K22" s="344">
        <v>0</v>
      </c>
      <c r="L22" s="344">
        <v>0</v>
      </c>
      <c r="M22" s="344">
        <v>108751</v>
      </c>
      <c r="N22" s="344">
        <v>0</v>
      </c>
      <c r="O22" s="344">
        <v>0</v>
      </c>
      <c r="P22" s="344">
        <v>0</v>
      </c>
      <c r="Q22" s="344">
        <v>0</v>
      </c>
      <c r="R22" s="344">
        <v>0</v>
      </c>
      <c r="S22" s="344">
        <v>0</v>
      </c>
      <c r="T22" s="344">
        <v>0</v>
      </c>
      <c r="U22" s="344">
        <v>0</v>
      </c>
      <c r="V22" s="344">
        <v>0</v>
      </c>
      <c r="W22" s="344">
        <v>0</v>
      </c>
      <c r="X22" s="344">
        <v>0</v>
      </c>
      <c r="Y22" s="344">
        <v>0</v>
      </c>
      <c r="Z22" s="344">
        <v>0</v>
      </c>
      <c r="AA22" s="344">
        <v>0</v>
      </c>
      <c r="AB22" s="344">
        <v>0</v>
      </c>
      <c r="AC22" s="344">
        <v>0</v>
      </c>
      <c r="AD22" s="344">
        <v>0</v>
      </c>
      <c r="AE22" s="344">
        <v>2651818</v>
      </c>
      <c r="AF22" s="344">
        <v>0</v>
      </c>
      <c r="AI22" s="341">
        <v>0</v>
      </c>
    </row>
    <row r="23" spans="1:35" x14ac:dyDescent="0.25">
      <c r="A23" s="359">
        <v>253</v>
      </c>
      <c r="B23" s="341" t="s">
        <v>422</v>
      </c>
      <c r="C23" s="342" t="s">
        <v>229</v>
      </c>
      <c r="D23" s="344">
        <v>353116</v>
      </c>
      <c r="E23" s="344">
        <v>0</v>
      </c>
      <c r="F23" s="344">
        <v>0</v>
      </c>
      <c r="G23" s="344">
        <v>26070</v>
      </c>
      <c r="H23" s="344">
        <v>0</v>
      </c>
      <c r="I23" s="344">
        <v>0</v>
      </c>
      <c r="J23" s="344">
        <v>0</v>
      </c>
      <c r="K23" s="344">
        <v>0</v>
      </c>
      <c r="L23" s="344">
        <v>0</v>
      </c>
      <c r="M23" s="344">
        <v>173304</v>
      </c>
      <c r="N23" s="344">
        <v>0</v>
      </c>
      <c r="O23" s="344">
        <v>0</v>
      </c>
      <c r="P23" s="344">
        <v>0</v>
      </c>
      <c r="Q23" s="344">
        <v>0</v>
      </c>
      <c r="R23" s="344">
        <v>0</v>
      </c>
      <c r="S23" s="344">
        <v>0</v>
      </c>
      <c r="T23" s="344">
        <v>0</v>
      </c>
      <c r="U23" s="344">
        <v>0</v>
      </c>
      <c r="V23" s="344">
        <v>0</v>
      </c>
      <c r="W23" s="344">
        <v>0</v>
      </c>
      <c r="X23" s="344">
        <v>0</v>
      </c>
      <c r="Y23" s="344">
        <v>0</v>
      </c>
      <c r="Z23" s="344">
        <v>0</v>
      </c>
      <c r="AA23" s="344">
        <v>0</v>
      </c>
      <c r="AB23" s="344">
        <v>0</v>
      </c>
      <c r="AC23" s="344">
        <v>0</v>
      </c>
      <c r="AD23" s="344">
        <v>0</v>
      </c>
      <c r="AE23" s="344">
        <v>17</v>
      </c>
      <c r="AF23" s="344">
        <v>0</v>
      </c>
      <c r="AI23" s="341">
        <v>0</v>
      </c>
    </row>
    <row r="24" spans="1:35" x14ac:dyDescent="0.25">
      <c r="A24" s="363">
        <v>254</v>
      </c>
      <c r="B24" s="341" t="s">
        <v>423</v>
      </c>
      <c r="C24" s="342" t="s">
        <v>230</v>
      </c>
      <c r="D24" s="344">
        <v>-77893</v>
      </c>
      <c r="E24" s="344">
        <v>0</v>
      </c>
      <c r="F24" s="344">
        <v>0</v>
      </c>
      <c r="G24" s="344">
        <v>890581</v>
      </c>
      <c r="H24" s="344">
        <v>0</v>
      </c>
      <c r="I24" s="344">
        <v>0</v>
      </c>
      <c r="J24" s="344">
        <v>0</v>
      </c>
      <c r="K24" s="344">
        <v>0</v>
      </c>
      <c r="L24" s="344">
        <v>0</v>
      </c>
      <c r="M24" s="344">
        <v>13519</v>
      </c>
      <c r="N24" s="344">
        <v>0</v>
      </c>
      <c r="O24" s="344">
        <v>0</v>
      </c>
      <c r="P24" s="344">
        <v>0</v>
      </c>
      <c r="Q24" s="344">
        <v>0</v>
      </c>
      <c r="R24" s="344">
        <v>0</v>
      </c>
      <c r="S24" s="344">
        <v>0</v>
      </c>
      <c r="T24" s="344">
        <v>0</v>
      </c>
      <c r="U24" s="344">
        <v>0</v>
      </c>
      <c r="V24" s="344">
        <v>0</v>
      </c>
      <c r="W24" s="344">
        <v>0</v>
      </c>
      <c r="X24" s="344">
        <v>0</v>
      </c>
      <c r="Y24" s="344">
        <v>0</v>
      </c>
      <c r="Z24" s="344">
        <v>0</v>
      </c>
      <c r="AA24" s="344">
        <v>0</v>
      </c>
      <c r="AB24" s="344">
        <v>0</v>
      </c>
      <c r="AC24" s="344">
        <v>0</v>
      </c>
      <c r="AD24" s="344">
        <v>0</v>
      </c>
      <c r="AE24" s="344">
        <v>73058</v>
      </c>
      <c r="AF24" s="344">
        <v>0</v>
      </c>
      <c r="AI24" s="341">
        <v>0</v>
      </c>
    </row>
    <row r="25" spans="1:35" x14ac:dyDescent="0.25">
      <c r="A25" s="363">
        <v>255</v>
      </c>
      <c r="B25" s="341" t="s">
        <v>424</v>
      </c>
      <c r="C25" s="342" t="s">
        <v>231</v>
      </c>
      <c r="D25" s="344">
        <v>1529631</v>
      </c>
      <c r="E25" s="344">
        <v>0</v>
      </c>
      <c r="F25" s="344">
        <v>0</v>
      </c>
      <c r="G25" s="344">
        <v>675988</v>
      </c>
      <c r="H25" s="344">
        <v>0</v>
      </c>
      <c r="I25" s="344">
        <v>0</v>
      </c>
      <c r="J25" s="344">
        <v>0</v>
      </c>
      <c r="K25" s="344">
        <v>0</v>
      </c>
      <c r="L25" s="344">
        <v>0</v>
      </c>
      <c r="M25" s="344">
        <v>94256</v>
      </c>
      <c r="N25" s="344">
        <v>0</v>
      </c>
      <c r="O25" s="344">
        <v>0</v>
      </c>
      <c r="P25" s="344">
        <v>0</v>
      </c>
      <c r="Q25" s="344">
        <v>0</v>
      </c>
      <c r="R25" s="344">
        <v>0</v>
      </c>
      <c r="S25" s="344">
        <v>0</v>
      </c>
      <c r="T25" s="344">
        <v>0</v>
      </c>
      <c r="U25" s="344">
        <v>0</v>
      </c>
      <c r="V25" s="344">
        <v>0</v>
      </c>
      <c r="W25" s="344">
        <v>0</v>
      </c>
      <c r="X25" s="344">
        <v>0</v>
      </c>
      <c r="Y25" s="344">
        <v>0</v>
      </c>
      <c r="Z25" s="344">
        <v>0</v>
      </c>
      <c r="AA25" s="344">
        <v>0</v>
      </c>
      <c r="AB25" s="344">
        <v>0</v>
      </c>
      <c r="AC25" s="344">
        <v>0</v>
      </c>
      <c r="AD25" s="344">
        <v>0</v>
      </c>
      <c r="AE25" s="344">
        <v>163660</v>
      </c>
      <c r="AF25" s="344">
        <v>0</v>
      </c>
      <c r="AI25" s="341">
        <v>0</v>
      </c>
    </row>
    <row r="26" spans="1:35" x14ac:dyDescent="0.25">
      <c r="B26" s="341" t="s">
        <v>425</v>
      </c>
      <c r="C26" s="342" t="s">
        <v>232</v>
      </c>
      <c r="D26" s="344">
        <v>0</v>
      </c>
      <c r="E26" s="344">
        <v>0</v>
      </c>
      <c r="F26" s="344">
        <v>0</v>
      </c>
      <c r="G26" s="344">
        <v>0</v>
      </c>
      <c r="H26" s="344">
        <v>0</v>
      </c>
      <c r="I26" s="344">
        <v>0</v>
      </c>
      <c r="J26" s="344">
        <v>0</v>
      </c>
      <c r="K26" s="344">
        <v>0</v>
      </c>
      <c r="L26" s="344">
        <v>0</v>
      </c>
      <c r="M26" s="344">
        <v>0</v>
      </c>
      <c r="N26" s="344">
        <v>0</v>
      </c>
      <c r="O26" s="344">
        <v>0</v>
      </c>
      <c r="P26" s="344">
        <v>0</v>
      </c>
      <c r="Q26" s="344">
        <v>0</v>
      </c>
      <c r="R26" s="344">
        <v>0</v>
      </c>
      <c r="S26" s="344">
        <v>0</v>
      </c>
      <c r="T26" s="344">
        <v>0</v>
      </c>
      <c r="U26" s="344">
        <v>0</v>
      </c>
      <c r="V26" s="344">
        <v>0</v>
      </c>
      <c r="W26" s="344">
        <v>0</v>
      </c>
      <c r="X26" s="344">
        <v>0</v>
      </c>
      <c r="Y26" s="344">
        <v>0</v>
      </c>
      <c r="Z26" s="344">
        <v>0</v>
      </c>
      <c r="AA26" s="344">
        <v>0</v>
      </c>
      <c r="AB26" s="344">
        <v>0</v>
      </c>
      <c r="AC26" s="344">
        <v>0</v>
      </c>
      <c r="AD26" s="344">
        <v>0</v>
      </c>
      <c r="AE26" s="344">
        <v>0</v>
      </c>
      <c r="AF26" s="344">
        <v>0</v>
      </c>
      <c r="AI26" s="341">
        <v>0</v>
      </c>
    </row>
    <row r="27" spans="1:35" x14ac:dyDescent="0.25">
      <c r="B27" s="341" t="s">
        <v>426</v>
      </c>
      <c r="C27" s="342" t="s">
        <v>233</v>
      </c>
      <c r="D27" s="344">
        <v>0</v>
      </c>
      <c r="E27" s="344">
        <v>0</v>
      </c>
      <c r="F27" s="344">
        <v>0</v>
      </c>
      <c r="G27" s="344">
        <v>0</v>
      </c>
      <c r="H27" s="344">
        <v>0</v>
      </c>
      <c r="I27" s="344">
        <v>0</v>
      </c>
      <c r="J27" s="344">
        <v>0</v>
      </c>
      <c r="K27" s="344">
        <v>0</v>
      </c>
      <c r="L27" s="344">
        <v>0</v>
      </c>
      <c r="M27" s="344">
        <v>0</v>
      </c>
      <c r="N27" s="344">
        <v>0</v>
      </c>
      <c r="O27" s="344">
        <v>0</v>
      </c>
      <c r="P27" s="344">
        <v>0</v>
      </c>
      <c r="Q27" s="344">
        <v>0</v>
      </c>
      <c r="R27" s="344">
        <v>0</v>
      </c>
      <c r="S27" s="344">
        <v>0</v>
      </c>
      <c r="T27" s="344">
        <v>0</v>
      </c>
      <c r="U27" s="344">
        <v>0</v>
      </c>
      <c r="V27" s="344">
        <v>0</v>
      </c>
      <c r="W27" s="344">
        <v>0</v>
      </c>
      <c r="X27" s="344">
        <v>0</v>
      </c>
      <c r="Y27" s="344">
        <v>0</v>
      </c>
      <c r="Z27" s="344">
        <v>0</v>
      </c>
      <c r="AA27" s="344">
        <v>0</v>
      </c>
      <c r="AB27" s="344">
        <v>0</v>
      </c>
      <c r="AC27" s="344">
        <v>0</v>
      </c>
      <c r="AD27" s="344">
        <v>0</v>
      </c>
      <c r="AE27" s="344">
        <v>0</v>
      </c>
      <c r="AF27" s="344">
        <v>0</v>
      </c>
      <c r="AI27" s="341">
        <v>0</v>
      </c>
    </row>
    <row r="28" spans="1:35" x14ac:dyDescent="0.25">
      <c r="B28" s="341" t="s">
        <v>427</v>
      </c>
      <c r="C28" s="342" t="s">
        <v>234</v>
      </c>
      <c r="D28" s="344">
        <v>0</v>
      </c>
      <c r="E28" s="344">
        <v>0</v>
      </c>
      <c r="F28" s="344">
        <v>0</v>
      </c>
      <c r="G28" s="344">
        <v>0</v>
      </c>
      <c r="H28" s="344">
        <v>0</v>
      </c>
      <c r="I28" s="344">
        <v>0</v>
      </c>
      <c r="J28" s="344">
        <v>0</v>
      </c>
      <c r="K28" s="344">
        <v>0</v>
      </c>
      <c r="L28" s="344">
        <v>0</v>
      </c>
      <c r="M28" s="344">
        <v>0</v>
      </c>
      <c r="N28" s="344">
        <v>0</v>
      </c>
      <c r="O28" s="344">
        <v>0</v>
      </c>
      <c r="P28" s="344">
        <v>0</v>
      </c>
      <c r="Q28" s="344">
        <v>0</v>
      </c>
      <c r="R28" s="344">
        <v>0</v>
      </c>
      <c r="S28" s="344">
        <v>0</v>
      </c>
      <c r="T28" s="344">
        <v>0</v>
      </c>
      <c r="U28" s="344">
        <v>0</v>
      </c>
      <c r="V28" s="344">
        <v>0</v>
      </c>
      <c r="W28" s="344">
        <v>0</v>
      </c>
      <c r="X28" s="344">
        <v>0</v>
      </c>
      <c r="Y28" s="344">
        <v>0</v>
      </c>
      <c r="Z28" s="344">
        <v>0</v>
      </c>
      <c r="AA28" s="344">
        <v>0</v>
      </c>
      <c r="AB28" s="344">
        <v>0</v>
      </c>
      <c r="AC28" s="344">
        <v>0</v>
      </c>
      <c r="AD28" s="344">
        <v>0</v>
      </c>
      <c r="AE28" s="344">
        <v>0</v>
      </c>
      <c r="AF28" s="344">
        <v>0</v>
      </c>
      <c r="AI28" s="341">
        <v>0</v>
      </c>
    </row>
    <row r="29" spans="1:35" x14ac:dyDescent="0.25">
      <c r="B29" s="341" t="s">
        <v>428</v>
      </c>
      <c r="C29" s="342" t="s">
        <v>235</v>
      </c>
      <c r="D29" s="344">
        <v>0</v>
      </c>
      <c r="E29" s="344">
        <v>0</v>
      </c>
      <c r="F29" s="344">
        <v>0</v>
      </c>
      <c r="G29" s="344">
        <v>0</v>
      </c>
      <c r="H29" s="344">
        <v>0</v>
      </c>
      <c r="I29" s="344">
        <v>0</v>
      </c>
      <c r="J29" s="344">
        <v>0</v>
      </c>
      <c r="K29" s="344">
        <v>0</v>
      </c>
      <c r="L29" s="344">
        <v>0</v>
      </c>
      <c r="M29" s="344">
        <v>0</v>
      </c>
      <c r="N29" s="344">
        <v>0</v>
      </c>
      <c r="O29" s="344">
        <v>0</v>
      </c>
      <c r="P29" s="344">
        <v>0</v>
      </c>
      <c r="Q29" s="344">
        <v>0</v>
      </c>
      <c r="R29" s="344">
        <v>0</v>
      </c>
      <c r="S29" s="344">
        <v>0</v>
      </c>
      <c r="T29" s="344">
        <v>0</v>
      </c>
      <c r="U29" s="344">
        <v>0</v>
      </c>
      <c r="V29" s="344">
        <v>0</v>
      </c>
      <c r="W29" s="344">
        <v>0</v>
      </c>
      <c r="X29" s="344">
        <v>0</v>
      </c>
      <c r="Y29" s="344">
        <v>0</v>
      </c>
      <c r="Z29" s="344">
        <v>0</v>
      </c>
      <c r="AA29" s="344">
        <v>0</v>
      </c>
      <c r="AB29" s="344">
        <v>0</v>
      </c>
      <c r="AC29" s="344">
        <v>0</v>
      </c>
      <c r="AD29" s="344">
        <v>0</v>
      </c>
      <c r="AE29" s="344">
        <v>0</v>
      </c>
      <c r="AF29" s="344">
        <v>0</v>
      </c>
      <c r="AI29" s="341">
        <v>0</v>
      </c>
    </row>
    <row r="30" spans="1:35" x14ac:dyDescent="0.25">
      <c r="B30" s="341" t="s">
        <v>429</v>
      </c>
      <c r="C30" s="342" t="s">
        <v>236</v>
      </c>
      <c r="D30" s="344">
        <v>0</v>
      </c>
      <c r="E30" s="344">
        <v>0</v>
      </c>
      <c r="F30" s="344">
        <v>0</v>
      </c>
      <c r="G30" s="344">
        <v>0</v>
      </c>
      <c r="H30" s="344">
        <v>0</v>
      </c>
      <c r="I30" s="344">
        <v>0</v>
      </c>
      <c r="J30" s="344">
        <v>0</v>
      </c>
      <c r="K30" s="344">
        <v>0</v>
      </c>
      <c r="L30" s="344">
        <v>0</v>
      </c>
      <c r="M30" s="344">
        <v>0</v>
      </c>
      <c r="N30" s="344">
        <v>0</v>
      </c>
      <c r="O30" s="344">
        <v>0</v>
      </c>
      <c r="P30" s="344">
        <v>0</v>
      </c>
      <c r="Q30" s="344">
        <v>0</v>
      </c>
      <c r="R30" s="344">
        <v>0</v>
      </c>
      <c r="S30" s="344">
        <v>0</v>
      </c>
      <c r="T30" s="344">
        <v>0</v>
      </c>
      <c r="U30" s="344">
        <v>0</v>
      </c>
      <c r="V30" s="344">
        <v>0</v>
      </c>
      <c r="W30" s="344">
        <v>0</v>
      </c>
      <c r="X30" s="344">
        <v>0</v>
      </c>
      <c r="Y30" s="344">
        <v>0</v>
      </c>
      <c r="Z30" s="344">
        <v>0</v>
      </c>
      <c r="AA30" s="344">
        <v>0</v>
      </c>
      <c r="AB30" s="344">
        <v>0</v>
      </c>
      <c r="AC30" s="344">
        <v>0</v>
      </c>
      <c r="AD30" s="344">
        <v>0</v>
      </c>
      <c r="AE30" s="344">
        <v>0</v>
      </c>
      <c r="AF30" s="344">
        <v>0</v>
      </c>
      <c r="AI30" s="341">
        <v>0</v>
      </c>
    </row>
    <row r="31" spans="1:35" x14ac:dyDescent="0.25">
      <c r="B31" s="341" t="s">
        <v>430</v>
      </c>
      <c r="C31" s="342" t="s">
        <v>237</v>
      </c>
      <c r="D31" s="344">
        <v>0</v>
      </c>
      <c r="E31" s="344">
        <v>0</v>
      </c>
      <c r="F31" s="344">
        <v>0</v>
      </c>
      <c r="G31" s="344">
        <v>0</v>
      </c>
      <c r="H31" s="344">
        <v>0</v>
      </c>
      <c r="I31" s="344">
        <v>0</v>
      </c>
      <c r="J31" s="344">
        <v>0</v>
      </c>
      <c r="K31" s="344">
        <v>0</v>
      </c>
      <c r="L31" s="344">
        <v>0</v>
      </c>
      <c r="M31" s="344">
        <v>0</v>
      </c>
      <c r="N31" s="344">
        <v>0</v>
      </c>
      <c r="O31" s="344">
        <v>0</v>
      </c>
      <c r="P31" s="344">
        <v>0</v>
      </c>
      <c r="Q31" s="344">
        <v>0</v>
      </c>
      <c r="R31" s="344">
        <v>0</v>
      </c>
      <c r="S31" s="344">
        <v>0</v>
      </c>
      <c r="T31" s="344">
        <v>0</v>
      </c>
      <c r="U31" s="344">
        <v>0</v>
      </c>
      <c r="V31" s="344">
        <v>0</v>
      </c>
      <c r="W31" s="344">
        <v>0</v>
      </c>
      <c r="X31" s="344">
        <v>0</v>
      </c>
      <c r="Y31" s="344">
        <v>0</v>
      </c>
      <c r="Z31" s="344">
        <v>0</v>
      </c>
      <c r="AA31" s="344">
        <v>0</v>
      </c>
      <c r="AB31" s="344">
        <v>0</v>
      </c>
      <c r="AC31" s="344">
        <v>0</v>
      </c>
      <c r="AD31" s="344">
        <v>0</v>
      </c>
      <c r="AE31" s="344">
        <v>0</v>
      </c>
      <c r="AF31" s="344">
        <v>0</v>
      </c>
      <c r="AI31" s="341">
        <v>0</v>
      </c>
    </row>
    <row r="32" spans="1:35" x14ac:dyDescent="0.25">
      <c r="B32" s="341" t="s">
        <v>431</v>
      </c>
      <c r="C32" s="342" t="s">
        <v>238</v>
      </c>
      <c r="D32" s="344">
        <v>0</v>
      </c>
      <c r="E32" s="344">
        <v>0</v>
      </c>
      <c r="F32" s="344">
        <v>0</v>
      </c>
      <c r="G32" s="344">
        <v>0</v>
      </c>
      <c r="H32" s="344">
        <v>0</v>
      </c>
      <c r="I32" s="344">
        <v>0</v>
      </c>
      <c r="J32" s="344">
        <v>0</v>
      </c>
      <c r="K32" s="344">
        <v>0</v>
      </c>
      <c r="L32" s="344">
        <v>0</v>
      </c>
      <c r="M32" s="344">
        <v>0</v>
      </c>
      <c r="N32" s="344">
        <v>0</v>
      </c>
      <c r="O32" s="344">
        <v>0</v>
      </c>
      <c r="P32" s="344">
        <v>0</v>
      </c>
      <c r="Q32" s="344">
        <v>0</v>
      </c>
      <c r="R32" s="344">
        <v>0</v>
      </c>
      <c r="S32" s="344">
        <v>0</v>
      </c>
      <c r="T32" s="344">
        <v>0</v>
      </c>
      <c r="U32" s="344">
        <v>0</v>
      </c>
      <c r="V32" s="344">
        <v>0</v>
      </c>
      <c r="W32" s="344">
        <v>0</v>
      </c>
      <c r="X32" s="344">
        <v>0</v>
      </c>
      <c r="Y32" s="344">
        <v>0</v>
      </c>
      <c r="Z32" s="344">
        <v>0</v>
      </c>
      <c r="AA32" s="344">
        <v>0</v>
      </c>
      <c r="AB32" s="344">
        <v>0</v>
      </c>
      <c r="AC32" s="344">
        <v>0</v>
      </c>
      <c r="AD32" s="344">
        <v>0</v>
      </c>
      <c r="AE32" s="344">
        <v>0</v>
      </c>
      <c r="AF32" s="344">
        <v>0</v>
      </c>
      <c r="AI32" s="341">
        <v>0</v>
      </c>
    </row>
    <row r="33" spans="1:35" x14ac:dyDescent="0.25">
      <c r="B33" s="341" t="s">
        <v>432</v>
      </c>
      <c r="C33" s="342" t="s">
        <v>239</v>
      </c>
      <c r="D33" s="344">
        <v>0</v>
      </c>
      <c r="E33" s="344">
        <v>0</v>
      </c>
      <c r="F33" s="344">
        <v>0</v>
      </c>
      <c r="G33" s="344">
        <v>0</v>
      </c>
      <c r="H33" s="344">
        <v>0</v>
      </c>
      <c r="I33" s="344">
        <v>0</v>
      </c>
      <c r="J33" s="344">
        <v>0</v>
      </c>
      <c r="K33" s="344">
        <v>0</v>
      </c>
      <c r="L33" s="344">
        <v>0</v>
      </c>
      <c r="M33" s="344">
        <v>0</v>
      </c>
      <c r="N33" s="344">
        <v>0</v>
      </c>
      <c r="O33" s="344">
        <v>0</v>
      </c>
      <c r="P33" s="344">
        <v>0</v>
      </c>
      <c r="Q33" s="344">
        <v>0</v>
      </c>
      <c r="R33" s="344">
        <v>0</v>
      </c>
      <c r="S33" s="344">
        <v>0</v>
      </c>
      <c r="T33" s="344">
        <v>0</v>
      </c>
      <c r="U33" s="344">
        <v>0</v>
      </c>
      <c r="V33" s="344">
        <v>0</v>
      </c>
      <c r="W33" s="344">
        <v>0</v>
      </c>
      <c r="X33" s="344">
        <v>0</v>
      </c>
      <c r="Y33" s="344">
        <v>0</v>
      </c>
      <c r="Z33" s="344">
        <v>0</v>
      </c>
      <c r="AA33" s="344">
        <v>0</v>
      </c>
      <c r="AB33" s="344">
        <v>0</v>
      </c>
      <c r="AC33" s="344">
        <v>0</v>
      </c>
      <c r="AD33" s="344">
        <v>0</v>
      </c>
      <c r="AE33" s="344">
        <v>0</v>
      </c>
      <c r="AF33" s="344">
        <v>0</v>
      </c>
      <c r="AI33" s="341">
        <v>0</v>
      </c>
    </row>
    <row r="34" spans="1:35" ht="30" x14ac:dyDescent="0.25">
      <c r="A34" s="363">
        <v>31</v>
      </c>
      <c r="B34" s="341" t="s">
        <v>433</v>
      </c>
      <c r="C34" s="342" t="s">
        <v>240</v>
      </c>
      <c r="D34" s="344">
        <v>0</v>
      </c>
      <c r="E34" s="344">
        <v>16478945</v>
      </c>
      <c r="F34" s="344">
        <v>432556</v>
      </c>
      <c r="G34" s="344">
        <v>0</v>
      </c>
      <c r="H34" s="344">
        <v>-195469</v>
      </c>
      <c r="I34" s="344">
        <v>1779329</v>
      </c>
      <c r="J34" s="344">
        <v>112518</v>
      </c>
      <c r="K34" s="344">
        <v>-246245</v>
      </c>
      <c r="L34" s="344">
        <v>1435632</v>
      </c>
      <c r="M34" s="344">
        <v>0</v>
      </c>
      <c r="N34" s="344">
        <v>-244288</v>
      </c>
      <c r="O34" s="344">
        <v>0</v>
      </c>
      <c r="P34" s="344">
        <v>-621216</v>
      </c>
      <c r="Q34" s="344">
        <v>660702</v>
      </c>
      <c r="R34" s="344">
        <v>3381689</v>
      </c>
      <c r="S34" s="344">
        <v>-421252</v>
      </c>
      <c r="T34" s="344">
        <v>364298</v>
      </c>
      <c r="U34" s="344">
        <v>-422098</v>
      </c>
      <c r="V34" s="344">
        <v>1545580</v>
      </c>
      <c r="W34" s="344">
        <v>958986</v>
      </c>
      <c r="X34" s="344">
        <v>11377016</v>
      </c>
      <c r="Y34" s="344">
        <v>28493853</v>
      </c>
      <c r="Z34" s="344">
        <v>2683832</v>
      </c>
      <c r="AA34" s="344">
        <v>0</v>
      </c>
      <c r="AB34" s="344">
        <v>3454705</v>
      </c>
      <c r="AC34" s="344">
        <v>6424714</v>
      </c>
      <c r="AD34" s="344">
        <v>3681681</v>
      </c>
      <c r="AE34" s="344">
        <v>0</v>
      </c>
      <c r="AF34" s="344">
        <v>125908</v>
      </c>
      <c r="AI34" s="341">
        <v>0</v>
      </c>
    </row>
    <row r="35" spans="1:35" ht="30" x14ac:dyDescent="0.25">
      <c r="A35" s="364"/>
      <c r="B35" s="341" t="s">
        <v>434</v>
      </c>
      <c r="C35" s="342" t="s">
        <v>241</v>
      </c>
      <c r="D35" s="344">
        <v>0</v>
      </c>
      <c r="E35" s="344">
        <v>0</v>
      </c>
      <c r="F35" s="344">
        <v>0</v>
      </c>
      <c r="G35" s="344">
        <v>0</v>
      </c>
      <c r="H35" s="344">
        <v>0</v>
      </c>
      <c r="I35" s="344">
        <v>0</v>
      </c>
      <c r="J35" s="344">
        <v>0</v>
      </c>
      <c r="K35" s="344">
        <v>0</v>
      </c>
      <c r="L35" s="344">
        <v>0</v>
      </c>
      <c r="M35" s="344">
        <v>0</v>
      </c>
      <c r="N35" s="344">
        <v>0</v>
      </c>
      <c r="O35" s="344">
        <v>0</v>
      </c>
      <c r="P35" s="344">
        <v>0</v>
      </c>
      <c r="Q35" s="344">
        <v>0</v>
      </c>
      <c r="R35" s="344">
        <v>0</v>
      </c>
      <c r="S35" s="344">
        <v>0</v>
      </c>
      <c r="T35" s="344">
        <v>0</v>
      </c>
      <c r="U35" s="344">
        <v>0</v>
      </c>
      <c r="V35" s="344">
        <v>0</v>
      </c>
      <c r="W35" s="344">
        <v>0</v>
      </c>
      <c r="X35" s="344">
        <v>0</v>
      </c>
      <c r="Y35" s="344">
        <v>0</v>
      </c>
      <c r="Z35" s="344">
        <v>0</v>
      </c>
      <c r="AA35" s="344">
        <v>0</v>
      </c>
      <c r="AB35" s="344">
        <v>0</v>
      </c>
      <c r="AC35" s="344">
        <v>0</v>
      </c>
      <c r="AD35" s="344">
        <v>0</v>
      </c>
      <c r="AE35" s="344">
        <v>0</v>
      </c>
      <c r="AF35" s="344">
        <v>0</v>
      </c>
      <c r="AI35" s="341">
        <v>0</v>
      </c>
    </row>
    <row r="36" spans="1:35" ht="30" x14ac:dyDescent="0.25">
      <c r="A36" s="359">
        <v>32</v>
      </c>
      <c r="B36" s="341" t="s">
        <v>435</v>
      </c>
      <c r="C36" s="342" t="s">
        <v>242</v>
      </c>
      <c r="D36" s="344">
        <v>0</v>
      </c>
      <c r="E36" s="344">
        <v>5033403</v>
      </c>
      <c r="F36" s="344">
        <v>224830</v>
      </c>
      <c r="G36" s="344">
        <v>0</v>
      </c>
      <c r="H36" s="344">
        <v>309367</v>
      </c>
      <c r="I36" s="344">
        <v>849263</v>
      </c>
      <c r="J36" s="344">
        <v>528629</v>
      </c>
      <c r="K36" s="344">
        <v>754054</v>
      </c>
      <c r="L36" s="344">
        <v>382180</v>
      </c>
      <c r="M36" s="344">
        <v>0</v>
      </c>
      <c r="N36" s="344">
        <v>420614</v>
      </c>
      <c r="O36" s="344">
        <v>0</v>
      </c>
      <c r="P36" s="344">
        <v>683692</v>
      </c>
      <c r="Q36" s="344">
        <v>587485</v>
      </c>
      <c r="R36" s="344">
        <v>680498</v>
      </c>
      <c r="S36" s="344">
        <v>577290</v>
      </c>
      <c r="T36" s="344">
        <v>514440</v>
      </c>
      <c r="U36" s="344">
        <v>703400</v>
      </c>
      <c r="V36" s="344">
        <v>130293</v>
      </c>
      <c r="W36" s="344">
        <v>222508</v>
      </c>
      <c r="X36" s="344">
        <v>7735073</v>
      </c>
      <c r="Y36" s="344">
        <v>18432284</v>
      </c>
      <c r="Z36" s="344">
        <v>1482539</v>
      </c>
      <c r="AA36" s="344">
        <v>0</v>
      </c>
      <c r="AB36" s="344">
        <v>230909</v>
      </c>
      <c r="AC36" s="344">
        <v>276166</v>
      </c>
      <c r="AD36" s="344">
        <v>560178</v>
      </c>
      <c r="AE36" s="344">
        <v>0</v>
      </c>
      <c r="AF36" s="344">
        <v>127833</v>
      </c>
      <c r="AI36" s="341">
        <v>0</v>
      </c>
    </row>
    <row r="37" spans="1:35" ht="30" x14ac:dyDescent="0.25">
      <c r="B37" s="341" t="s">
        <v>436</v>
      </c>
      <c r="C37" s="342" t="s">
        <v>243</v>
      </c>
      <c r="D37" s="344">
        <v>0</v>
      </c>
      <c r="E37" s="344">
        <v>0</v>
      </c>
      <c r="F37" s="344">
        <v>0</v>
      </c>
      <c r="G37" s="344">
        <v>0</v>
      </c>
      <c r="H37" s="344">
        <v>0</v>
      </c>
      <c r="I37" s="344">
        <v>0</v>
      </c>
      <c r="J37" s="344">
        <v>0</v>
      </c>
      <c r="K37" s="344">
        <v>0</v>
      </c>
      <c r="L37" s="344">
        <v>0</v>
      </c>
      <c r="M37" s="344">
        <v>0</v>
      </c>
      <c r="N37" s="344">
        <v>0</v>
      </c>
      <c r="O37" s="344">
        <v>0</v>
      </c>
      <c r="P37" s="344">
        <v>0</v>
      </c>
      <c r="Q37" s="344">
        <v>0</v>
      </c>
      <c r="R37" s="344">
        <v>0</v>
      </c>
      <c r="S37" s="344">
        <v>0</v>
      </c>
      <c r="T37" s="344">
        <v>0</v>
      </c>
      <c r="U37" s="344">
        <v>0</v>
      </c>
      <c r="V37" s="344">
        <v>0</v>
      </c>
      <c r="W37" s="344">
        <v>0</v>
      </c>
      <c r="X37" s="344">
        <v>0</v>
      </c>
      <c r="Y37" s="344">
        <v>0</v>
      </c>
      <c r="Z37" s="344">
        <v>0</v>
      </c>
      <c r="AA37" s="344">
        <v>0</v>
      </c>
      <c r="AB37" s="344">
        <v>0</v>
      </c>
      <c r="AC37" s="344">
        <v>0</v>
      </c>
      <c r="AD37" s="344">
        <v>0</v>
      </c>
      <c r="AE37" s="344">
        <v>0</v>
      </c>
      <c r="AF37" s="344">
        <v>0</v>
      </c>
      <c r="AI37" s="341">
        <v>0</v>
      </c>
    </row>
    <row r="38" spans="1:35" x14ac:dyDescent="0.25">
      <c r="B38" s="341" t="s">
        <v>437</v>
      </c>
      <c r="C38" s="342" t="s">
        <v>244</v>
      </c>
      <c r="D38" s="344">
        <v>0</v>
      </c>
      <c r="E38" s="344">
        <v>0</v>
      </c>
      <c r="F38" s="344">
        <v>0</v>
      </c>
      <c r="G38" s="344">
        <v>0</v>
      </c>
      <c r="H38" s="344">
        <v>0</v>
      </c>
      <c r="I38" s="344">
        <v>0</v>
      </c>
      <c r="J38" s="344">
        <v>0</v>
      </c>
      <c r="K38" s="344">
        <v>0</v>
      </c>
      <c r="L38" s="344">
        <v>0</v>
      </c>
      <c r="M38" s="344">
        <v>0</v>
      </c>
      <c r="N38" s="344">
        <v>0</v>
      </c>
      <c r="O38" s="344">
        <v>0</v>
      </c>
      <c r="P38" s="344">
        <v>0</v>
      </c>
      <c r="Q38" s="344">
        <v>0</v>
      </c>
      <c r="R38" s="344">
        <v>0</v>
      </c>
      <c r="S38" s="344">
        <v>0</v>
      </c>
      <c r="T38" s="344">
        <v>0</v>
      </c>
      <c r="U38" s="344">
        <v>0</v>
      </c>
      <c r="V38" s="344">
        <v>0</v>
      </c>
      <c r="W38" s="344">
        <v>0</v>
      </c>
      <c r="X38" s="344">
        <v>0</v>
      </c>
      <c r="Y38" s="344">
        <v>0</v>
      </c>
      <c r="Z38" s="344">
        <v>0</v>
      </c>
      <c r="AA38" s="344">
        <v>0</v>
      </c>
      <c r="AB38" s="344">
        <v>0</v>
      </c>
      <c r="AC38" s="344">
        <v>0</v>
      </c>
      <c r="AD38" s="344">
        <v>0</v>
      </c>
      <c r="AE38" s="344">
        <v>0</v>
      </c>
      <c r="AF38" s="344">
        <v>0</v>
      </c>
      <c r="AI38" s="341">
        <v>0</v>
      </c>
    </row>
    <row r="39" spans="1:35" ht="30" x14ac:dyDescent="0.25">
      <c r="B39" s="341" t="s">
        <v>438</v>
      </c>
      <c r="C39" s="342" t="s">
        <v>245</v>
      </c>
      <c r="D39" s="344">
        <v>0</v>
      </c>
      <c r="E39" s="344">
        <v>0</v>
      </c>
      <c r="F39" s="344">
        <v>0</v>
      </c>
      <c r="G39" s="344">
        <v>0</v>
      </c>
      <c r="H39" s="344">
        <v>0</v>
      </c>
      <c r="I39" s="344">
        <v>0</v>
      </c>
      <c r="J39" s="344">
        <v>0</v>
      </c>
      <c r="K39" s="344">
        <v>0</v>
      </c>
      <c r="L39" s="344">
        <v>0</v>
      </c>
      <c r="M39" s="344">
        <v>0</v>
      </c>
      <c r="N39" s="344">
        <v>0</v>
      </c>
      <c r="O39" s="344">
        <v>0</v>
      </c>
      <c r="P39" s="344">
        <v>0</v>
      </c>
      <c r="Q39" s="344">
        <v>0</v>
      </c>
      <c r="R39" s="344">
        <v>0</v>
      </c>
      <c r="S39" s="344">
        <v>0</v>
      </c>
      <c r="T39" s="344">
        <v>0</v>
      </c>
      <c r="U39" s="344">
        <v>0</v>
      </c>
      <c r="V39" s="344">
        <v>0</v>
      </c>
      <c r="W39" s="344">
        <v>0</v>
      </c>
      <c r="X39" s="344">
        <v>0</v>
      </c>
      <c r="Y39" s="344">
        <v>0</v>
      </c>
      <c r="Z39" s="344">
        <v>0</v>
      </c>
      <c r="AA39" s="344">
        <v>0</v>
      </c>
      <c r="AB39" s="344">
        <v>0</v>
      </c>
      <c r="AC39" s="344">
        <v>0</v>
      </c>
      <c r="AD39" s="344">
        <v>0</v>
      </c>
      <c r="AE39" s="344">
        <v>0</v>
      </c>
      <c r="AF39" s="344">
        <v>0</v>
      </c>
      <c r="AI39" s="341">
        <v>0</v>
      </c>
    </row>
    <row r="40" spans="1:35" x14ac:dyDescent="0.25">
      <c r="B40" s="341" t="s">
        <v>439</v>
      </c>
      <c r="C40" s="342" t="s">
        <v>144</v>
      </c>
      <c r="D40" s="344">
        <v>0</v>
      </c>
      <c r="E40" s="344">
        <v>0</v>
      </c>
      <c r="F40" s="344">
        <v>0</v>
      </c>
      <c r="G40" s="344">
        <v>0</v>
      </c>
      <c r="H40" s="344">
        <v>0</v>
      </c>
      <c r="I40" s="344">
        <v>0</v>
      </c>
      <c r="J40" s="344">
        <v>0</v>
      </c>
      <c r="K40" s="344">
        <v>0</v>
      </c>
      <c r="L40" s="344">
        <v>0</v>
      </c>
      <c r="M40" s="344">
        <v>0</v>
      </c>
      <c r="N40" s="344">
        <v>0</v>
      </c>
      <c r="O40" s="344">
        <v>0</v>
      </c>
      <c r="P40" s="344">
        <v>0</v>
      </c>
      <c r="Q40" s="344">
        <v>0</v>
      </c>
      <c r="R40" s="344">
        <v>0</v>
      </c>
      <c r="S40" s="344">
        <v>0</v>
      </c>
      <c r="T40" s="344">
        <v>0</v>
      </c>
      <c r="U40" s="344">
        <v>0</v>
      </c>
      <c r="V40" s="344">
        <v>0</v>
      </c>
      <c r="W40" s="344">
        <v>0</v>
      </c>
      <c r="X40" s="344">
        <v>0</v>
      </c>
      <c r="Y40" s="344">
        <v>0</v>
      </c>
      <c r="Z40" s="344">
        <v>0</v>
      </c>
      <c r="AA40" s="344">
        <v>0</v>
      </c>
      <c r="AB40" s="344">
        <v>0</v>
      </c>
      <c r="AC40" s="344">
        <v>0</v>
      </c>
      <c r="AD40" s="344">
        <v>0</v>
      </c>
      <c r="AE40" s="344">
        <v>0</v>
      </c>
      <c r="AF40" s="344">
        <v>0</v>
      </c>
      <c r="AI40" s="341">
        <v>0</v>
      </c>
    </row>
    <row r="41" spans="1:35" ht="30" x14ac:dyDescent="0.25">
      <c r="B41" s="341" t="s">
        <v>440</v>
      </c>
      <c r="C41" s="342" t="s">
        <v>246</v>
      </c>
      <c r="D41" s="344">
        <v>0</v>
      </c>
      <c r="E41" s="344">
        <v>0</v>
      </c>
      <c r="F41" s="344">
        <v>0</v>
      </c>
      <c r="G41" s="344">
        <v>0</v>
      </c>
      <c r="H41" s="344">
        <v>0</v>
      </c>
      <c r="I41" s="344">
        <v>0</v>
      </c>
      <c r="J41" s="344">
        <v>0</v>
      </c>
      <c r="K41" s="344">
        <v>0</v>
      </c>
      <c r="L41" s="344">
        <v>0</v>
      </c>
      <c r="M41" s="344">
        <v>0</v>
      </c>
      <c r="N41" s="344">
        <v>0</v>
      </c>
      <c r="O41" s="344">
        <v>0</v>
      </c>
      <c r="P41" s="344">
        <v>0</v>
      </c>
      <c r="Q41" s="344">
        <v>0</v>
      </c>
      <c r="R41" s="344">
        <v>0</v>
      </c>
      <c r="S41" s="344">
        <v>0</v>
      </c>
      <c r="T41" s="344">
        <v>0</v>
      </c>
      <c r="U41" s="344">
        <v>0</v>
      </c>
      <c r="V41" s="344">
        <v>0</v>
      </c>
      <c r="W41" s="344">
        <v>0</v>
      </c>
      <c r="X41" s="344">
        <v>0</v>
      </c>
      <c r="Y41" s="344">
        <v>0</v>
      </c>
      <c r="Z41" s="344">
        <v>0</v>
      </c>
      <c r="AA41" s="344">
        <v>0</v>
      </c>
      <c r="AB41" s="344">
        <v>0</v>
      </c>
      <c r="AC41" s="344">
        <v>0</v>
      </c>
      <c r="AD41" s="344">
        <v>0</v>
      </c>
      <c r="AE41" s="344">
        <v>0</v>
      </c>
      <c r="AF41" s="344">
        <v>0</v>
      </c>
      <c r="AI41" s="341">
        <v>0</v>
      </c>
    </row>
    <row r="42" spans="1:35" ht="30" x14ac:dyDescent="0.25">
      <c r="B42" s="341" t="s">
        <v>441</v>
      </c>
      <c r="C42" s="342" t="s">
        <v>247</v>
      </c>
      <c r="D42" s="344">
        <v>0</v>
      </c>
      <c r="E42" s="344">
        <v>0</v>
      </c>
      <c r="F42" s="344">
        <v>0</v>
      </c>
      <c r="G42" s="344">
        <v>0</v>
      </c>
      <c r="H42" s="344">
        <v>0</v>
      </c>
      <c r="I42" s="344">
        <v>0</v>
      </c>
      <c r="J42" s="344">
        <v>0</v>
      </c>
      <c r="K42" s="344">
        <v>0</v>
      </c>
      <c r="L42" s="344">
        <v>0</v>
      </c>
      <c r="M42" s="344">
        <v>0</v>
      </c>
      <c r="N42" s="344">
        <v>0</v>
      </c>
      <c r="O42" s="344">
        <v>0</v>
      </c>
      <c r="P42" s="344">
        <v>0</v>
      </c>
      <c r="Q42" s="344">
        <v>0</v>
      </c>
      <c r="R42" s="344">
        <v>0</v>
      </c>
      <c r="S42" s="344">
        <v>0</v>
      </c>
      <c r="T42" s="344">
        <v>0</v>
      </c>
      <c r="U42" s="344">
        <v>0</v>
      </c>
      <c r="V42" s="344">
        <v>0</v>
      </c>
      <c r="W42" s="344">
        <v>0</v>
      </c>
      <c r="X42" s="344">
        <v>0</v>
      </c>
      <c r="Y42" s="344">
        <v>0</v>
      </c>
      <c r="Z42" s="344">
        <v>0</v>
      </c>
      <c r="AA42" s="344">
        <v>0</v>
      </c>
      <c r="AB42" s="344">
        <v>0</v>
      </c>
      <c r="AC42" s="344">
        <v>0</v>
      </c>
      <c r="AD42" s="344">
        <v>0</v>
      </c>
      <c r="AE42" s="344">
        <v>0</v>
      </c>
      <c r="AF42" s="344">
        <v>0</v>
      </c>
      <c r="AI42" s="341">
        <v>0</v>
      </c>
    </row>
    <row r="43" spans="1:35" ht="30" x14ac:dyDescent="0.25">
      <c r="A43" s="363">
        <v>33</v>
      </c>
      <c r="B43" s="341" t="s">
        <v>442</v>
      </c>
      <c r="C43" s="342" t="s">
        <v>248</v>
      </c>
      <c r="D43" s="344">
        <v>0</v>
      </c>
      <c r="E43" s="344">
        <v>5315576</v>
      </c>
      <c r="F43" s="344">
        <v>18836</v>
      </c>
      <c r="G43" s="344">
        <v>0</v>
      </c>
      <c r="H43" s="344">
        <v>117660</v>
      </c>
      <c r="I43" s="344">
        <v>292204</v>
      </c>
      <c r="J43" s="344">
        <v>-462416</v>
      </c>
      <c r="K43" s="344">
        <v>514656</v>
      </c>
      <c r="L43" s="344">
        <v>47986</v>
      </c>
      <c r="M43" s="344">
        <v>0</v>
      </c>
      <c r="N43" s="344">
        <v>-105919</v>
      </c>
      <c r="O43" s="344">
        <v>0</v>
      </c>
      <c r="P43" s="344">
        <v>-30024</v>
      </c>
      <c r="Q43" s="344">
        <v>228366</v>
      </c>
      <c r="R43" s="344">
        <v>-296126</v>
      </c>
      <c r="S43" s="344">
        <v>48142</v>
      </c>
      <c r="T43" s="344">
        <v>-144689</v>
      </c>
      <c r="U43" s="344">
        <v>13165</v>
      </c>
      <c r="V43" s="344">
        <v>112162</v>
      </c>
      <c r="W43" s="344">
        <v>-247183</v>
      </c>
      <c r="X43" s="344">
        <v>3698732</v>
      </c>
      <c r="Y43" s="344">
        <v>14763361</v>
      </c>
      <c r="Z43" s="344">
        <v>-730773</v>
      </c>
      <c r="AA43" s="344">
        <v>0</v>
      </c>
      <c r="AB43" s="344">
        <v>-4791</v>
      </c>
      <c r="AC43" s="344">
        <v>20246</v>
      </c>
      <c r="AD43" s="344">
        <v>155623</v>
      </c>
      <c r="AE43" s="344">
        <v>0</v>
      </c>
      <c r="AF43" s="344">
        <v>-63172</v>
      </c>
      <c r="AI43" s="341">
        <v>0</v>
      </c>
    </row>
    <row r="44" spans="1:35" ht="30" x14ac:dyDescent="0.25">
      <c r="A44" s="363">
        <v>333</v>
      </c>
      <c r="B44" s="341" t="s">
        <v>443</v>
      </c>
      <c r="C44" s="342" t="s">
        <v>249</v>
      </c>
      <c r="D44" s="344">
        <v>243223</v>
      </c>
      <c r="E44" s="344">
        <v>0</v>
      </c>
      <c r="F44" s="344">
        <v>0</v>
      </c>
      <c r="G44" s="344">
        <v>830146</v>
      </c>
      <c r="H44" s="344">
        <v>0</v>
      </c>
      <c r="I44" s="344">
        <v>0</v>
      </c>
      <c r="J44" s="344">
        <v>0</v>
      </c>
      <c r="K44" s="344">
        <v>0</v>
      </c>
      <c r="L44" s="344">
        <v>0</v>
      </c>
      <c r="M44" s="344">
        <v>13169</v>
      </c>
      <c r="N44" s="344">
        <v>0</v>
      </c>
      <c r="O44" s="344">
        <v>0</v>
      </c>
      <c r="P44" s="344">
        <v>0</v>
      </c>
      <c r="Q44" s="344">
        <v>0</v>
      </c>
      <c r="R44" s="344">
        <v>0</v>
      </c>
      <c r="S44" s="344">
        <v>0</v>
      </c>
      <c r="T44" s="344">
        <v>0</v>
      </c>
      <c r="U44" s="344">
        <v>0</v>
      </c>
      <c r="V44" s="344">
        <v>0</v>
      </c>
      <c r="W44" s="344">
        <v>0</v>
      </c>
      <c r="X44" s="344">
        <v>0</v>
      </c>
      <c r="Y44" s="344">
        <v>0</v>
      </c>
      <c r="Z44" s="344">
        <v>0</v>
      </c>
      <c r="AA44" s="344">
        <v>0</v>
      </c>
      <c r="AB44" s="344">
        <v>0</v>
      </c>
      <c r="AC44" s="344">
        <v>0</v>
      </c>
      <c r="AD44" s="344">
        <v>0</v>
      </c>
      <c r="AE44" s="344">
        <v>84155</v>
      </c>
      <c r="AF44" s="344">
        <v>0</v>
      </c>
      <c r="AI44" s="341">
        <v>0</v>
      </c>
    </row>
    <row r="45" spans="1:35" ht="45" x14ac:dyDescent="0.25">
      <c r="B45" s="341" t="s">
        <v>444</v>
      </c>
      <c r="C45" s="342" t="s">
        <v>250</v>
      </c>
      <c r="D45" s="344">
        <v>0</v>
      </c>
      <c r="E45" s="344">
        <v>0</v>
      </c>
      <c r="F45" s="344">
        <v>0</v>
      </c>
      <c r="G45" s="344">
        <v>0</v>
      </c>
      <c r="H45" s="344">
        <v>0</v>
      </c>
      <c r="I45" s="344">
        <v>0</v>
      </c>
      <c r="J45" s="344">
        <v>0</v>
      </c>
      <c r="K45" s="344">
        <v>0</v>
      </c>
      <c r="L45" s="344">
        <v>0</v>
      </c>
      <c r="M45" s="344">
        <v>0</v>
      </c>
      <c r="N45" s="344">
        <v>0</v>
      </c>
      <c r="O45" s="344">
        <v>0</v>
      </c>
      <c r="P45" s="344">
        <v>0</v>
      </c>
      <c r="Q45" s="344">
        <v>0</v>
      </c>
      <c r="R45" s="344">
        <v>0</v>
      </c>
      <c r="S45" s="344">
        <v>0</v>
      </c>
      <c r="T45" s="344">
        <v>0</v>
      </c>
      <c r="U45" s="344">
        <v>0</v>
      </c>
      <c r="V45" s="344">
        <v>0</v>
      </c>
      <c r="W45" s="344">
        <v>0</v>
      </c>
      <c r="X45" s="344">
        <v>0</v>
      </c>
      <c r="Y45" s="344">
        <v>0</v>
      </c>
      <c r="Z45" s="344">
        <v>0</v>
      </c>
      <c r="AA45" s="344">
        <v>0</v>
      </c>
      <c r="AB45" s="344">
        <v>0</v>
      </c>
      <c r="AC45" s="344">
        <v>0</v>
      </c>
      <c r="AD45" s="344">
        <v>0</v>
      </c>
      <c r="AE45" s="344">
        <v>0</v>
      </c>
      <c r="AF45" s="344">
        <v>0</v>
      </c>
      <c r="AI45" s="341">
        <v>0</v>
      </c>
    </row>
    <row r="46" spans="1:35" ht="45" x14ac:dyDescent="0.25">
      <c r="A46" s="363">
        <v>335</v>
      </c>
      <c r="B46" s="341" t="s">
        <v>445</v>
      </c>
      <c r="C46" s="342" t="s">
        <v>251</v>
      </c>
      <c r="D46" s="344">
        <v>11810</v>
      </c>
      <c r="E46" s="344">
        <v>0</v>
      </c>
      <c r="F46" s="344">
        <v>0</v>
      </c>
      <c r="G46" s="344">
        <v>17890</v>
      </c>
      <c r="H46" s="344">
        <v>0</v>
      </c>
      <c r="I46" s="344">
        <v>0</v>
      </c>
      <c r="J46" s="344">
        <v>0</v>
      </c>
      <c r="K46" s="344">
        <v>0</v>
      </c>
      <c r="L46" s="344">
        <v>0</v>
      </c>
      <c r="M46" s="344">
        <v>3270</v>
      </c>
      <c r="N46" s="344">
        <v>0</v>
      </c>
      <c r="O46" s="344">
        <v>0</v>
      </c>
      <c r="P46" s="344">
        <v>0</v>
      </c>
      <c r="Q46" s="344">
        <v>0</v>
      </c>
      <c r="R46" s="344">
        <v>0</v>
      </c>
      <c r="S46" s="344">
        <v>0</v>
      </c>
      <c r="T46" s="344">
        <v>0</v>
      </c>
      <c r="U46" s="344">
        <v>0</v>
      </c>
      <c r="V46" s="344">
        <v>0</v>
      </c>
      <c r="W46" s="344">
        <v>0</v>
      </c>
      <c r="X46" s="344">
        <v>0</v>
      </c>
      <c r="Y46" s="344">
        <v>0</v>
      </c>
      <c r="Z46" s="344">
        <v>0</v>
      </c>
      <c r="AA46" s="344">
        <v>0</v>
      </c>
      <c r="AB46" s="344">
        <v>0</v>
      </c>
      <c r="AC46" s="344">
        <v>0</v>
      </c>
      <c r="AD46" s="344">
        <v>0</v>
      </c>
      <c r="AE46" s="344">
        <v>0</v>
      </c>
      <c r="AF46" s="344">
        <v>0</v>
      </c>
      <c r="AI46" s="341">
        <v>0</v>
      </c>
    </row>
    <row r="47" spans="1:35" ht="75" x14ac:dyDescent="0.25">
      <c r="A47" s="359">
        <v>336</v>
      </c>
      <c r="B47" s="341" t="s">
        <v>446</v>
      </c>
      <c r="C47" s="342" t="s">
        <v>252</v>
      </c>
      <c r="D47" s="344">
        <v>335290</v>
      </c>
      <c r="E47" s="344">
        <v>0</v>
      </c>
      <c r="F47" s="344">
        <v>0</v>
      </c>
      <c r="G47" s="344">
        <v>60649</v>
      </c>
      <c r="H47" s="344">
        <v>0</v>
      </c>
      <c r="I47" s="344">
        <v>0</v>
      </c>
      <c r="J47" s="344">
        <v>0</v>
      </c>
      <c r="K47" s="344">
        <v>0</v>
      </c>
      <c r="L47" s="344">
        <v>0</v>
      </c>
      <c r="M47" s="344">
        <v>22060</v>
      </c>
      <c r="N47" s="344">
        <v>0</v>
      </c>
      <c r="O47" s="344">
        <v>0</v>
      </c>
      <c r="P47" s="344">
        <v>0</v>
      </c>
      <c r="Q47" s="344">
        <v>0</v>
      </c>
      <c r="R47" s="344">
        <v>0</v>
      </c>
      <c r="S47" s="344">
        <v>0</v>
      </c>
      <c r="T47" s="344">
        <v>0</v>
      </c>
      <c r="U47" s="344">
        <v>0</v>
      </c>
      <c r="V47" s="344">
        <v>0</v>
      </c>
      <c r="W47" s="344">
        <v>0</v>
      </c>
      <c r="X47" s="344">
        <v>0</v>
      </c>
      <c r="Y47" s="344">
        <v>0</v>
      </c>
      <c r="Z47" s="344">
        <v>0</v>
      </c>
      <c r="AA47" s="344">
        <v>0</v>
      </c>
      <c r="AB47" s="344">
        <v>0</v>
      </c>
      <c r="AC47" s="344">
        <v>0</v>
      </c>
      <c r="AD47" s="344">
        <v>0</v>
      </c>
      <c r="AE47" s="344">
        <v>16126</v>
      </c>
      <c r="AF47" s="344">
        <v>0</v>
      </c>
      <c r="AI47" s="341">
        <v>0</v>
      </c>
    </row>
    <row r="48" spans="1:35" ht="45" x14ac:dyDescent="0.25">
      <c r="B48" s="341" t="s">
        <v>447</v>
      </c>
      <c r="C48" s="342" t="s">
        <v>253</v>
      </c>
      <c r="D48" s="344">
        <v>0</v>
      </c>
      <c r="E48" s="344">
        <v>0</v>
      </c>
      <c r="F48" s="344">
        <v>0</v>
      </c>
      <c r="G48" s="344">
        <v>0</v>
      </c>
      <c r="H48" s="344">
        <v>0</v>
      </c>
      <c r="I48" s="344">
        <v>0</v>
      </c>
      <c r="J48" s="344">
        <v>0</v>
      </c>
      <c r="K48" s="344">
        <v>0</v>
      </c>
      <c r="L48" s="344">
        <v>0</v>
      </c>
      <c r="M48" s="344">
        <v>0</v>
      </c>
      <c r="N48" s="344">
        <v>0</v>
      </c>
      <c r="O48" s="344">
        <v>0</v>
      </c>
      <c r="P48" s="344">
        <v>0</v>
      </c>
      <c r="Q48" s="344">
        <v>0</v>
      </c>
      <c r="R48" s="344">
        <v>0</v>
      </c>
      <c r="S48" s="344">
        <v>0</v>
      </c>
      <c r="T48" s="344">
        <v>0</v>
      </c>
      <c r="U48" s="344">
        <v>0</v>
      </c>
      <c r="V48" s="344">
        <v>0</v>
      </c>
      <c r="W48" s="344">
        <v>0</v>
      </c>
      <c r="X48" s="344">
        <v>0</v>
      </c>
      <c r="Y48" s="344">
        <v>0</v>
      </c>
      <c r="Z48" s="344">
        <v>0</v>
      </c>
      <c r="AA48" s="344">
        <v>0</v>
      </c>
      <c r="AB48" s="344">
        <v>0</v>
      </c>
      <c r="AC48" s="344">
        <v>0</v>
      </c>
      <c r="AD48" s="344">
        <v>0</v>
      </c>
      <c r="AE48" s="344">
        <v>0</v>
      </c>
      <c r="AF48" s="344">
        <v>0</v>
      </c>
    </row>
    <row r="49" spans="1:35" ht="30" x14ac:dyDescent="0.25">
      <c r="A49" s="359">
        <v>338</v>
      </c>
      <c r="B49" s="341" t="s">
        <v>448</v>
      </c>
      <c r="C49" s="342" t="s">
        <v>254</v>
      </c>
      <c r="D49" s="344">
        <v>335290</v>
      </c>
      <c r="E49" s="344">
        <v>0</v>
      </c>
      <c r="F49" s="344">
        <v>0</v>
      </c>
      <c r="G49" s="344">
        <v>97603</v>
      </c>
      <c r="H49" s="344">
        <v>0</v>
      </c>
      <c r="I49" s="344">
        <v>0</v>
      </c>
      <c r="J49" s="344">
        <v>0</v>
      </c>
      <c r="K49" s="344">
        <v>0</v>
      </c>
      <c r="L49" s="344">
        <v>0</v>
      </c>
      <c r="M49" s="344">
        <v>23290</v>
      </c>
      <c r="N49" s="344">
        <v>0</v>
      </c>
      <c r="O49" s="344">
        <v>0</v>
      </c>
      <c r="P49" s="344">
        <v>0</v>
      </c>
      <c r="Q49" s="344">
        <v>0</v>
      </c>
      <c r="R49" s="344">
        <v>0</v>
      </c>
      <c r="S49" s="344">
        <v>0</v>
      </c>
      <c r="T49" s="344">
        <v>0</v>
      </c>
      <c r="U49" s="344">
        <v>0</v>
      </c>
      <c r="V49" s="344">
        <v>0</v>
      </c>
      <c r="W49" s="344">
        <v>0</v>
      </c>
      <c r="X49" s="344">
        <v>0</v>
      </c>
      <c r="Y49" s="344">
        <v>0</v>
      </c>
      <c r="Z49" s="344">
        <v>0</v>
      </c>
      <c r="AA49" s="344">
        <v>0</v>
      </c>
      <c r="AB49" s="344">
        <v>0</v>
      </c>
      <c r="AC49" s="344">
        <v>0</v>
      </c>
      <c r="AD49" s="344">
        <v>0</v>
      </c>
      <c r="AE49" s="344">
        <v>16126</v>
      </c>
      <c r="AF49" s="344">
        <v>0</v>
      </c>
    </row>
    <row r="50" spans="1:35" ht="30" x14ac:dyDescent="0.25">
      <c r="A50" s="359">
        <v>339</v>
      </c>
      <c r="B50" s="341" t="s">
        <v>449</v>
      </c>
      <c r="C50" s="342" t="s">
        <v>255</v>
      </c>
      <c r="D50" s="344">
        <v>106053</v>
      </c>
      <c r="E50" s="344">
        <v>0</v>
      </c>
      <c r="F50" s="344">
        <v>0</v>
      </c>
      <c r="G50" s="344">
        <v>195771</v>
      </c>
      <c r="H50" s="344">
        <v>0</v>
      </c>
      <c r="I50" s="344">
        <v>0</v>
      </c>
      <c r="J50" s="344">
        <v>0</v>
      </c>
      <c r="K50" s="344">
        <v>0</v>
      </c>
      <c r="L50" s="344">
        <v>0</v>
      </c>
      <c r="M50" s="344">
        <v>204367</v>
      </c>
      <c r="N50" s="344">
        <v>0</v>
      </c>
      <c r="O50" s="344">
        <v>0</v>
      </c>
      <c r="P50" s="344">
        <v>0</v>
      </c>
      <c r="Q50" s="344">
        <v>0</v>
      </c>
      <c r="R50" s="344">
        <v>0</v>
      </c>
      <c r="S50" s="344">
        <v>0</v>
      </c>
      <c r="T50" s="344">
        <v>0</v>
      </c>
      <c r="U50" s="344">
        <v>0</v>
      </c>
      <c r="V50" s="344">
        <v>0</v>
      </c>
      <c r="W50" s="344">
        <v>0</v>
      </c>
      <c r="X50" s="344">
        <v>0</v>
      </c>
      <c r="Y50" s="344">
        <v>0</v>
      </c>
      <c r="Z50" s="344">
        <v>0</v>
      </c>
      <c r="AA50" s="344">
        <v>0</v>
      </c>
      <c r="AB50" s="344">
        <v>0</v>
      </c>
      <c r="AC50" s="344">
        <v>0</v>
      </c>
      <c r="AD50" s="344">
        <v>0</v>
      </c>
      <c r="AE50" s="344">
        <v>3936</v>
      </c>
      <c r="AF50" s="344">
        <v>0</v>
      </c>
    </row>
    <row r="51" spans="1:35" ht="30" x14ac:dyDescent="0.25">
      <c r="B51" s="341" t="s">
        <v>450</v>
      </c>
      <c r="C51" s="342" t="s">
        <v>256</v>
      </c>
      <c r="D51" s="344">
        <v>0</v>
      </c>
      <c r="E51" s="344">
        <v>0</v>
      </c>
      <c r="F51" s="344">
        <v>0</v>
      </c>
      <c r="G51" s="344">
        <v>0</v>
      </c>
      <c r="H51" s="344">
        <v>0</v>
      </c>
      <c r="I51" s="344">
        <v>0</v>
      </c>
      <c r="J51" s="344">
        <v>0</v>
      </c>
      <c r="K51" s="344">
        <v>0</v>
      </c>
      <c r="L51" s="344">
        <v>0</v>
      </c>
      <c r="M51" s="344">
        <v>0</v>
      </c>
      <c r="N51" s="344">
        <v>0</v>
      </c>
      <c r="O51" s="344">
        <v>0</v>
      </c>
      <c r="P51" s="344">
        <v>0</v>
      </c>
      <c r="Q51" s="344">
        <v>0</v>
      </c>
      <c r="R51" s="344">
        <v>0</v>
      </c>
      <c r="S51" s="344">
        <v>0</v>
      </c>
      <c r="T51" s="344">
        <v>0</v>
      </c>
      <c r="U51" s="344">
        <v>0</v>
      </c>
      <c r="V51" s="344">
        <v>0</v>
      </c>
      <c r="W51" s="344">
        <v>0</v>
      </c>
      <c r="X51" s="344">
        <v>0</v>
      </c>
      <c r="Y51" s="344">
        <v>0</v>
      </c>
      <c r="Z51" s="344">
        <v>0</v>
      </c>
      <c r="AA51" s="344">
        <v>0</v>
      </c>
      <c r="AB51" s="344">
        <v>0</v>
      </c>
      <c r="AC51" s="344">
        <v>0</v>
      </c>
      <c r="AD51" s="344">
        <v>0</v>
      </c>
      <c r="AE51" s="344">
        <v>0</v>
      </c>
      <c r="AF51" s="344">
        <v>0</v>
      </c>
    </row>
    <row r="52" spans="1:35" ht="45" x14ac:dyDescent="0.25">
      <c r="A52" s="359">
        <v>341</v>
      </c>
      <c r="B52" s="341" t="s">
        <v>451</v>
      </c>
      <c r="C52" s="342" t="s">
        <v>257</v>
      </c>
      <c r="D52" s="344">
        <v>115062</v>
      </c>
      <c r="E52" s="344">
        <v>0</v>
      </c>
      <c r="F52" s="344">
        <v>0</v>
      </c>
      <c r="G52" s="344">
        <v>125628</v>
      </c>
      <c r="H52" s="344">
        <v>0</v>
      </c>
      <c r="I52" s="344">
        <v>0</v>
      </c>
      <c r="J52" s="344">
        <v>0</v>
      </c>
      <c r="K52" s="344">
        <v>0</v>
      </c>
      <c r="L52" s="344">
        <v>0</v>
      </c>
      <c r="M52" s="344">
        <v>1747</v>
      </c>
      <c r="N52" s="344">
        <v>0</v>
      </c>
      <c r="O52" s="344">
        <v>0</v>
      </c>
      <c r="P52" s="344">
        <v>0</v>
      </c>
      <c r="Q52" s="344">
        <v>0</v>
      </c>
      <c r="R52" s="344">
        <v>0</v>
      </c>
      <c r="S52" s="344">
        <v>0</v>
      </c>
      <c r="T52" s="344">
        <v>0</v>
      </c>
      <c r="U52" s="344">
        <v>0</v>
      </c>
      <c r="V52" s="344">
        <v>0</v>
      </c>
      <c r="W52" s="344">
        <v>0</v>
      </c>
      <c r="X52" s="344">
        <v>0</v>
      </c>
      <c r="Y52" s="344">
        <v>0</v>
      </c>
      <c r="Z52" s="344">
        <v>0</v>
      </c>
      <c r="AA52" s="344">
        <v>0</v>
      </c>
      <c r="AB52" s="344">
        <v>0</v>
      </c>
      <c r="AC52" s="344">
        <v>0</v>
      </c>
      <c r="AD52" s="344">
        <v>0</v>
      </c>
      <c r="AE52" s="344">
        <v>0</v>
      </c>
      <c r="AF52" s="344">
        <v>0</v>
      </c>
    </row>
    <row r="53" spans="1:35" ht="30" x14ac:dyDescent="0.25">
      <c r="A53" s="364"/>
      <c r="B53" s="341" t="s">
        <v>452</v>
      </c>
      <c r="C53" s="342" t="s">
        <v>258</v>
      </c>
      <c r="D53" s="344">
        <v>0</v>
      </c>
      <c r="E53" s="344">
        <v>0</v>
      </c>
      <c r="F53" s="344">
        <v>0</v>
      </c>
      <c r="G53" s="344">
        <v>0</v>
      </c>
      <c r="H53" s="344">
        <v>0</v>
      </c>
      <c r="I53" s="344">
        <v>0</v>
      </c>
      <c r="J53" s="344">
        <v>0</v>
      </c>
      <c r="K53" s="344">
        <v>0</v>
      </c>
      <c r="L53" s="344">
        <v>0</v>
      </c>
      <c r="M53" s="344">
        <v>0</v>
      </c>
      <c r="N53" s="344">
        <v>0</v>
      </c>
      <c r="O53" s="344">
        <v>0</v>
      </c>
      <c r="P53" s="344">
        <v>0</v>
      </c>
      <c r="Q53" s="344">
        <v>0</v>
      </c>
      <c r="R53" s="344">
        <v>0</v>
      </c>
      <c r="S53" s="344">
        <v>0</v>
      </c>
      <c r="T53" s="344">
        <v>0</v>
      </c>
      <c r="U53" s="344">
        <v>0</v>
      </c>
      <c r="V53" s="344">
        <v>0</v>
      </c>
      <c r="W53" s="344">
        <v>0</v>
      </c>
      <c r="X53" s="344">
        <v>0</v>
      </c>
      <c r="Y53" s="344">
        <v>0</v>
      </c>
      <c r="Z53" s="344">
        <v>0</v>
      </c>
      <c r="AA53" s="344">
        <v>0</v>
      </c>
      <c r="AB53" s="344">
        <v>0</v>
      </c>
      <c r="AC53" s="344">
        <v>0</v>
      </c>
      <c r="AD53" s="344">
        <v>0</v>
      </c>
      <c r="AE53" s="344">
        <v>0</v>
      </c>
      <c r="AF53" s="344">
        <v>0</v>
      </c>
    </row>
    <row r="54" spans="1:35" ht="30" x14ac:dyDescent="0.25">
      <c r="A54" s="364"/>
      <c r="B54" s="341" t="s">
        <v>453</v>
      </c>
      <c r="C54" s="342" t="s">
        <v>259</v>
      </c>
      <c r="D54" s="344">
        <v>0</v>
      </c>
      <c r="E54" s="344">
        <v>0</v>
      </c>
      <c r="F54" s="344">
        <v>0</v>
      </c>
      <c r="G54" s="344">
        <v>0</v>
      </c>
      <c r="H54" s="344">
        <v>0</v>
      </c>
      <c r="I54" s="344">
        <v>0</v>
      </c>
      <c r="J54" s="344">
        <v>0</v>
      </c>
      <c r="K54" s="344">
        <v>0</v>
      </c>
      <c r="L54" s="344">
        <v>0</v>
      </c>
      <c r="M54" s="344">
        <v>0</v>
      </c>
      <c r="N54" s="344">
        <v>0</v>
      </c>
      <c r="O54" s="344">
        <v>0</v>
      </c>
      <c r="P54" s="344">
        <v>0</v>
      </c>
      <c r="Q54" s="344">
        <v>0</v>
      </c>
      <c r="R54" s="344">
        <v>0</v>
      </c>
      <c r="S54" s="344">
        <v>0</v>
      </c>
      <c r="T54" s="344">
        <v>0</v>
      </c>
      <c r="U54" s="344">
        <v>0</v>
      </c>
      <c r="V54" s="344">
        <v>0</v>
      </c>
      <c r="W54" s="344">
        <v>0</v>
      </c>
      <c r="X54" s="344">
        <v>0</v>
      </c>
      <c r="Y54" s="344">
        <v>0</v>
      </c>
      <c r="Z54" s="344">
        <v>0</v>
      </c>
      <c r="AA54" s="344">
        <v>0</v>
      </c>
      <c r="AB54" s="344">
        <v>0</v>
      </c>
      <c r="AC54" s="344">
        <v>0</v>
      </c>
      <c r="AD54" s="344">
        <v>0</v>
      </c>
      <c r="AE54" s="344">
        <v>0</v>
      </c>
      <c r="AF54" s="344">
        <v>0</v>
      </c>
    </row>
    <row r="55" spans="1:35" ht="30" x14ac:dyDescent="0.25">
      <c r="A55" s="364"/>
      <c r="B55" s="341" t="s">
        <v>454</v>
      </c>
      <c r="C55" s="342" t="s">
        <v>260</v>
      </c>
      <c r="D55" s="344">
        <v>0</v>
      </c>
      <c r="E55" s="344">
        <v>0</v>
      </c>
      <c r="F55" s="344">
        <v>0</v>
      </c>
      <c r="G55" s="344">
        <v>0</v>
      </c>
      <c r="H55" s="344">
        <v>0</v>
      </c>
      <c r="I55" s="344">
        <v>0</v>
      </c>
      <c r="J55" s="344">
        <v>0</v>
      </c>
      <c r="K55" s="344">
        <v>0</v>
      </c>
      <c r="L55" s="344">
        <v>0</v>
      </c>
      <c r="M55" s="344">
        <v>0</v>
      </c>
      <c r="N55" s="344">
        <v>0</v>
      </c>
      <c r="O55" s="344">
        <v>0</v>
      </c>
      <c r="P55" s="344">
        <v>0</v>
      </c>
      <c r="Q55" s="344">
        <v>0</v>
      </c>
      <c r="R55" s="344">
        <v>0</v>
      </c>
      <c r="S55" s="344">
        <v>0</v>
      </c>
      <c r="T55" s="344">
        <v>0</v>
      </c>
      <c r="U55" s="344">
        <v>0</v>
      </c>
      <c r="V55" s="344">
        <v>0</v>
      </c>
      <c r="W55" s="344">
        <v>0</v>
      </c>
      <c r="X55" s="344">
        <v>0</v>
      </c>
      <c r="Y55" s="344">
        <v>0</v>
      </c>
      <c r="Z55" s="344">
        <v>0</v>
      </c>
      <c r="AA55" s="344">
        <v>0</v>
      </c>
      <c r="AB55" s="344">
        <v>0</v>
      </c>
      <c r="AC55" s="344">
        <v>0</v>
      </c>
      <c r="AD55" s="344">
        <v>0</v>
      </c>
      <c r="AE55" s="344">
        <v>0</v>
      </c>
      <c r="AF55" s="344">
        <v>0</v>
      </c>
    </row>
    <row r="56" spans="1:35" x14ac:dyDescent="0.25">
      <c r="A56" s="364"/>
      <c r="B56" s="341" t="s">
        <v>455</v>
      </c>
      <c r="C56" s="342" t="s">
        <v>171</v>
      </c>
      <c r="D56" s="344">
        <v>0</v>
      </c>
      <c r="E56" s="344">
        <v>0</v>
      </c>
      <c r="F56" s="344">
        <v>0</v>
      </c>
      <c r="G56" s="344">
        <v>0</v>
      </c>
      <c r="H56" s="344">
        <v>0</v>
      </c>
      <c r="I56" s="344">
        <v>0</v>
      </c>
      <c r="J56" s="344">
        <v>0</v>
      </c>
      <c r="K56" s="344">
        <v>0</v>
      </c>
      <c r="L56" s="344">
        <v>0</v>
      </c>
      <c r="M56" s="344">
        <v>0</v>
      </c>
      <c r="N56" s="344">
        <v>0</v>
      </c>
      <c r="O56" s="344">
        <v>0</v>
      </c>
      <c r="P56" s="344">
        <v>0</v>
      </c>
      <c r="Q56" s="344">
        <v>0</v>
      </c>
      <c r="R56" s="344">
        <v>0</v>
      </c>
      <c r="S56" s="344">
        <v>0</v>
      </c>
      <c r="T56" s="344">
        <v>0</v>
      </c>
      <c r="U56" s="344">
        <v>0</v>
      </c>
      <c r="V56" s="344">
        <v>0</v>
      </c>
      <c r="W56" s="344">
        <v>0</v>
      </c>
      <c r="X56" s="344">
        <v>0</v>
      </c>
      <c r="Y56" s="344">
        <v>0</v>
      </c>
      <c r="Z56" s="344">
        <v>0</v>
      </c>
      <c r="AA56" s="344">
        <v>0</v>
      </c>
      <c r="AB56" s="344">
        <v>0</v>
      </c>
      <c r="AC56" s="344">
        <v>0</v>
      </c>
      <c r="AD56" s="344">
        <v>0</v>
      </c>
      <c r="AE56" s="344">
        <v>0</v>
      </c>
      <c r="AF56" s="344">
        <v>0</v>
      </c>
    </row>
    <row r="57" spans="1:35" ht="30" x14ac:dyDescent="0.25">
      <c r="A57" s="364"/>
      <c r="B57" s="341" t="s">
        <v>456</v>
      </c>
      <c r="C57" s="342" t="s">
        <v>261</v>
      </c>
      <c r="D57" s="344">
        <v>0</v>
      </c>
      <c r="E57" s="344">
        <v>0</v>
      </c>
      <c r="F57" s="344">
        <v>0</v>
      </c>
      <c r="G57" s="344">
        <v>0</v>
      </c>
      <c r="H57" s="344">
        <v>0</v>
      </c>
      <c r="I57" s="344">
        <v>0</v>
      </c>
      <c r="J57" s="344">
        <v>0</v>
      </c>
      <c r="K57" s="344">
        <v>0</v>
      </c>
      <c r="L57" s="344">
        <v>0</v>
      </c>
      <c r="M57" s="344">
        <v>0</v>
      </c>
      <c r="N57" s="344">
        <v>0</v>
      </c>
      <c r="O57" s="344">
        <v>0</v>
      </c>
      <c r="P57" s="344">
        <v>0</v>
      </c>
      <c r="Q57" s="344">
        <v>0</v>
      </c>
      <c r="R57" s="344">
        <v>0</v>
      </c>
      <c r="S57" s="344">
        <v>0</v>
      </c>
      <c r="T57" s="344">
        <v>0</v>
      </c>
      <c r="U57" s="344">
        <v>0</v>
      </c>
      <c r="V57" s="344">
        <v>0</v>
      </c>
      <c r="W57" s="344">
        <v>0</v>
      </c>
      <c r="X57" s="344">
        <v>0</v>
      </c>
      <c r="Y57" s="344">
        <v>0</v>
      </c>
      <c r="Z57" s="344">
        <v>0</v>
      </c>
      <c r="AA57" s="344">
        <v>0</v>
      </c>
      <c r="AB57" s="344">
        <v>0</v>
      </c>
      <c r="AC57" s="344">
        <v>0</v>
      </c>
      <c r="AD57" s="344">
        <v>0</v>
      </c>
      <c r="AE57" s="344">
        <v>0</v>
      </c>
      <c r="AF57" s="344">
        <v>0</v>
      </c>
    </row>
    <row r="58" spans="1:35" ht="30" x14ac:dyDescent="0.25">
      <c r="A58" s="364"/>
      <c r="B58" s="341" t="s">
        <v>457</v>
      </c>
      <c r="C58" s="342" t="s">
        <v>172</v>
      </c>
      <c r="D58" s="344">
        <v>0</v>
      </c>
      <c r="E58" s="344">
        <v>0</v>
      </c>
      <c r="F58" s="344">
        <v>0</v>
      </c>
      <c r="G58" s="344">
        <v>0</v>
      </c>
      <c r="H58" s="344">
        <v>0</v>
      </c>
      <c r="I58" s="344">
        <v>0</v>
      </c>
      <c r="J58" s="344">
        <v>0</v>
      </c>
      <c r="K58" s="344">
        <v>0</v>
      </c>
      <c r="L58" s="344">
        <v>0</v>
      </c>
      <c r="M58" s="344">
        <v>0</v>
      </c>
      <c r="N58" s="344">
        <v>0</v>
      </c>
      <c r="O58" s="344">
        <v>0</v>
      </c>
      <c r="P58" s="344">
        <v>0</v>
      </c>
      <c r="Q58" s="344">
        <v>0</v>
      </c>
      <c r="R58" s="344">
        <v>0</v>
      </c>
      <c r="S58" s="344">
        <v>0</v>
      </c>
      <c r="T58" s="344">
        <v>0</v>
      </c>
      <c r="U58" s="344">
        <v>0</v>
      </c>
      <c r="V58" s="344">
        <v>0</v>
      </c>
      <c r="W58" s="344">
        <v>0</v>
      </c>
      <c r="X58" s="344">
        <v>0</v>
      </c>
      <c r="Y58" s="344">
        <v>0</v>
      </c>
      <c r="Z58" s="344">
        <v>0</v>
      </c>
      <c r="AA58" s="344">
        <v>0</v>
      </c>
      <c r="AB58" s="344">
        <v>0</v>
      </c>
      <c r="AC58" s="344">
        <v>0</v>
      </c>
      <c r="AD58" s="344">
        <v>0</v>
      </c>
      <c r="AE58" s="344">
        <v>0</v>
      </c>
      <c r="AF58" s="344">
        <v>0</v>
      </c>
      <c r="AI58" s="341" t="s">
        <v>372</v>
      </c>
    </row>
    <row r="59" spans="1:35" ht="30" x14ac:dyDescent="0.25">
      <c r="A59" s="364"/>
      <c r="B59" s="341" t="s">
        <v>458</v>
      </c>
      <c r="C59" s="342" t="s">
        <v>262</v>
      </c>
      <c r="D59" s="344">
        <v>0</v>
      </c>
      <c r="E59" s="344">
        <v>0</v>
      </c>
      <c r="F59" s="344">
        <v>0</v>
      </c>
      <c r="G59" s="344">
        <v>0</v>
      </c>
      <c r="H59" s="344">
        <v>0</v>
      </c>
      <c r="I59" s="344">
        <v>0</v>
      </c>
      <c r="J59" s="344">
        <v>0</v>
      </c>
      <c r="K59" s="344">
        <v>0</v>
      </c>
      <c r="L59" s="344">
        <v>0</v>
      </c>
      <c r="M59" s="344">
        <v>0</v>
      </c>
      <c r="N59" s="344">
        <v>0</v>
      </c>
      <c r="O59" s="344">
        <v>0</v>
      </c>
      <c r="P59" s="344">
        <v>0</v>
      </c>
      <c r="Q59" s="344">
        <v>0</v>
      </c>
      <c r="R59" s="344">
        <v>0</v>
      </c>
      <c r="S59" s="344">
        <v>0</v>
      </c>
      <c r="T59" s="344">
        <v>0</v>
      </c>
      <c r="U59" s="344">
        <v>0</v>
      </c>
      <c r="V59" s="344">
        <v>0</v>
      </c>
      <c r="W59" s="344">
        <v>0</v>
      </c>
      <c r="X59" s="344">
        <v>0</v>
      </c>
      <c r="Y59" s="344">
        <v>0</v>
      </c>
      <c r="Z59" s="344">
        <v>0</v>
      </c>
      <c r="AA59" s="344">
        <v>0</v>
      </c>
      <c r="AB59" s="344">
        <v>0</v>
      </c>
      <c r="AC59" s="344">
        <v>0</v>
      </c>
      <c r="AD59" s="344">
        <v>0</v>
      </c>
      <c r="AE59" s="344">
        <v>0</v>
      </c>
      <c r="AF59" s="344">
        <v>0</v>
      </c>
      <c r="AI59" s="341" t="s">
        <v>372</v>
      </c>
    </row>
    <row r="60" spans="1:35" ht="30" x14ac:dyDescent="0.25">
      <c r="A60" s="364"/>
      <c r="B60" s="341" t="s">
        <v>459</v>
      </c>
      <c r="C60" s="342" t="s">
        <v>263</v>
      </c>
      <c r="D60" s="344">
        <v>0</v>
      </c>
      <c r="E60" s="344">
        <v>0</v>
      </c>
      <c r="F60" s="344">
        <v>0</v>
      </c>
      <c r="G60" s="344">
        <v>0</v>
      </c>
      <c r="H60" s="344">
        <v>0</v>
      </c>
      <c r="I60" s="344">
        <v>0</v>
      </c>
      <c r="J60" s="344">
        <v>0</v>
      </c>
      <c r="K60" s="344">
        <v>0</v>
      </c>
      <c r="L60" s="344">
        <v>0</v>
      </c>
      <c r="M60" s="344">
        <v>0</v>
      </c>
      <c r="N60" s="344">
        <v>0</v>
      </c>
      <c r="O60" s="344">
        <v>0</v>
      </c>
      <c r="P60" s="344">
        <v>0</v>
      </c>
      <c r="Q60" s="344">
        <v>0</v>
      </c>
      <c r="R60" s="344">
        <v>0</v>
      </c>
      <c r="S60" s="344">
        <v>0</v>
      </c>
      <c r="T60" s="344">
        <v>0</v>
      </c>
      <c r="U60" s="344">
        <v>0</v>
      </c>
      <c r="V60" s="344">
        <v>0</v>
      </c>
      <c r="W60" s="344">
        <v>0</v>
      </c>
      <c r="X60" s="344">
        <v>0</v>
      </c>
      <c r="Y60" s="344">
        <v>0</v>
      </c>
      <c r="Z60" s="344">
        <v>0</v>
      </c>
      <c r="AA60" s="344">
        <v>0</v>
      </c>
      <c r="AB60" s="344">
        <v>0</v>
      </c>
      <c r="AC60" s="344">
        <v>0</v>
      </c>
      <c r="AD60" s="344">
        <v>0</v>
      </c>
      <c r="AE60" s="344">
        <v>0</v>
      </c>
      <c r="AF60" s="344">
        <v>0</v>
      </c>
      <c r="AI60" s="341" t="s">
        <v>372</v>
      </c>
    </row>
    <row r="61" spans="1:35" ht="30" x14ac:dyDescent="0.25">
      <c r="A61" s="364"/>
      <c r="B61" s="341" t="s">
        <v>460</v>
      </c>
      <c r="C61" s="342" t="s">
        <v>264</v>
      </c>
      <c r="D61" s="344">
        <v>0</v>
      </c>
      <c r="E61" s="344">
        <v>0</v>
      </c>
      <c r="F61" s="344">
        <v>0</v>
      </c>
      <c r="G61" s="344">
        <v>0</v>
      </c>
      <c r="H61" s="344">
        <v>0</v>
      </c>
      <c r="I61" s="344">
        <v>0</v>
      </c>
      <c r="J61" s="344">
        <v>0</v>
      </c>
      <c r="K61" s="344">
        <v>0</v>
      </c>
      <c r="L61" s="344">
        <v>0</v>
      </c>
      <c r="M61" s="344">
        <v>0</v>
      </c>
      <c r="N61" s="344">
        <v>0</v>
      </c>
      <c r="O61" s="344">
        <v>0</v>
      </c>
      <c r="P61" s="344">
        <v>0</v>
      </c>
      <c r="Q61" s="344">
        <v>0</v>
      </c>
      <c r="R61" s="344">
        <v>0</v>
      </c>
      <c r="S61" s="344">
        <v>0</v>
      </c>
      <c r="T61" s="344">
        <v>0</v>
      </c>
      <c r="U61" s="344">
        <v>0</v>
      </c>
      <c r="V61" s="344">
        <v>0</v>
      </c>
      <c r="W61" s="344">
        <v>0</v>
      </c>
      <c r="X61" s="344">
        <v>0</v>
      </c>
      <c r="Y61" s="344">
        <v>0</v>
      </c>
      <c r="Z61" s="344">
        <v>0</v>
      </c>
      <c r="AA61" s="344">
        <v>0</v>
      </c>
      <c r="AB61" s="344">
        <v>0</v>
      </c>
      <c r="AC61" s="344">
        <v>0</v>
      </c>
      <c r="AD61" s="344">
        <v>0</v>
      </c>
      <c r="AE61" s="344">
        <v>0</v>
      </c>
      <c r="AF61" s="344">
        <v>0</v>
      </c>
      <c r="AI61" s="341" t="s">
        <v>372</v>
      </c>
    </row>
    <row r="62" spans="1:35" ht="30" x14ac:dyDescent="0.25">
      <c r="A62" s="364"/>
      <c r="B62" s="341" t="s">
        <v>461</v>
      </c>
      <c r="C62" s="342" t="s">
        <v>173</v>
      </c>
      <c r="D62" s="344">
        <v>0</v>
      </c>
      <c r="E62" s="344">
        <v>0</v>
      </c>
      <c r="F62" s="344">
        <v>0</v>
      </c>
      <c r="G62" s="344">
        <v>0</v>
      </c>
      <c r="H62" s="344">
        <v>0</v>
      </c>
      <c r="I62" s="344">
        <v>0</v>
      </c>
      <c r="J62" s="344">
        <v>0</v>
      </c>
      <c r="K62" s="344">
        <v>0</v>
      </c>
      <c r="L62" s="344">
        <v>0</v>
      </c>
      <c r="M62" s="344">
        <v>0</v>
      </c>
      <c r="N62" s="344">
        <v>0</v>
      </c>
      <c r="O62" s="344">
        <v>0</v>
      </c>
      <c r="P62" s="344">
        <v>0</v>
      </c>
      <c r="Q62" s="344">
        <v>0</v>
      </c>
      <c r="R62" s="344">
        <v>0</v>
      </c>
      <c r="S62" s="344">
        <v>0</v>
      </c>
      <c r="T62" s="344">
        <v>0</v>
      </c>
      <c r="U62" s="344">
        <v>0</v>
      </c>
      <c r="V62" s="344">
        <v>0</v>
      </c>
      <c r="W62" s="344">
        <v>0</v>
      </c>
      <c r="X62" s="344">
        <v>0</v>
      </c>
      <c r="Y62" s="344">
        <v>0</v>
      </c>
      <c r="Z62" s="344">
        <v>0</v>
      </c>
      <c r="AA62" s="344">
        <v>0</v>
      </c>
      <c r="AB62" s="344">
        <v>0</v>
      </c>
      <c r="AC62" s="344">
        <v>0</v>
      </c>
      <c r="AD62" s="344">
        <v>0</v>
      </c>
      <c r="AE62" s="344">
        <v>0</v>
      </c>
      <c r="AF62" s="344">
        <v>0</v>
      </c>
      <c r="AI62" s="341" t="s">
        <v>372</v>
      </c>
    </row>
    <row r="63" spans="1:35" ht="30" x14ac:dyDescent="0.25">
      <c r="A63" s="359">
        <v>376</v>
      </c>
      <c r="B63" s="341" t="s">
        <v>462</v>
      </c>
      <c r="C63" s="342" t="s">
        <v>265</v>
      </c>
      <c r="D63" s="344">
        <v>0</v>
      </c>
      <c r="E63" s="344">
        <v>0</v>
      </c>
      <c r="F63" s="344">
        <v>0</v>
      </c>
      <c r="G63" s="344">
        <v>0</v>
      </c>
      <c r="H63" s="344">
        <v>0</v>
      </c>
      <c r="I63" s="344">
        <v>0</v>
      </c>
      <c r="J63" s="344">
        <v>0</v>
      </c>
      <c r="K63" s="344">
        <v>0</v>
      </c>
      <c r="L63" s="344">
        <v>0</v>
      </c>
      <c r="M63" s="344">
        <v>0</v>
      </c>
      <c r="N63" s="344">
        <v>0</v>
      </c>
      <c r="O63" s="344">
        <v>0</v>
      </c>
      <c r="P63" s="344">
        <v>0</v>
      </c>
      <c r="Q63" s="344">
        <v>0</v>
      </c>
      <c r="R63" s="344">
        <v>0</v>
      </c>
      <c r="S63" s="344">
        <v>0</v>
      </c>
      <c r="T63" s="344">
        <v>0</v>
      </c>
      <c r="U63" s="344">
        <v>0</v>
      </c>
      <c r="V63" s="344">
        <v>0</v>
      </c>
      <c r="W63" s="344">
        <v>0</v>
      </c>
      <c r="X63" s="344">
        <v>0</v>
      </c>
      <c r="Y63" s="344">
        <v>0</v>
      </c>
      <c r="Z63" s="344">
        <v>0</v>
      </c>
      <c r="AA63" s="344">
        <v>0</v>
      </c>
      <c r="AB63" s="344">
        <v>0</v>
      </c>
      <c r="AC63" s="344">
        <v>0</v>
      </c>
      <c r="AD63" s="344">
        <v>0</v>
      </c>
      <c r="AE63" s="344">
        <v>0</v>
      </c>
      <c r="AF63" s="344">
        <v>0</v>
      </c>
      <c r="AI63" s="341" t="s">
        <v>372</v>
      </c>
    </row>
    <row r="64" spans="1:35" x14ac:dyDescent="0.25">
      <c r="A64" s="359">
        <v>379</v>
      </c>
      <c r="B64" s="341" t="s">
        <v>463</v>
      </c>
      <c r="C64" s="342" t="s">
        <v>266</v>
      </c>
      <c r="D64" s="344">
        <v>610513</v>
      </c>
      <c r="E64" s="344">
        <v>0</v>
      </c>
      <c r="F64" s="344">
        <v>0</v>
      </c>
      <c r="G64" s="344">
        <v>186397</v>
      </c>
      <c r="H64" s="344">
        <v>0</v>
      </c>
      <c r="I64" s="344">
        <v>0</v>
      </c>
      <c r="J64" s="344">
        <v>0</v>
      </c>
      <c r="K64" s="344">
        <v>0</v>
      </c>
      <c r="L64" s="344">
        <v>0</v>
      </c>
      <c r="M64" s="344">
        <v>210113</v>
      </c>
      <c r="N64" s="344">
        <v>0</v>
      </c>
      <c r="O64" s="344">
        <v>0</v>
      </c>
      <c r="P64" s="344">
        <v>0</v>
      </c>
      <c r="Q64" s="344">
        <v>0</v>
      </c>
      <c r="R64" s="344">
        <v>0</v>
      </c>
      <c r="S64" s="344">
        <v>0</v>
      </c>
      <c r="T64" s="344">
        <v>0</v>
      </c>
      <c r="U64" s="344">
        <v>0</v>
      </c>
      <c r="V64" s="344">
        <v>0</v>
      </c>
      <c r="W64" s="344">
        <v>0</v>
      </c>
      <c r="X64" s="344">
        <v>0</v>
      </c>
      <c r="Y64" s="344">
        <v>0</v>
      </c>
      <c r="Z64" s="344">
        <v>0</v>
      </c>
      <c r="AA64" s="344">
        <v>0</v>
      </c>
      <c r="AB64" s="344">
        <v>0</v>
      </c>
      <c r="AC64" s="344">
        <v>0</v>
      </c>
      <c r="AD64" s="344">
        <v>0</v>
      </c>
      <c r="AE64" s="344">
        <v>40069</v>
      </c>
      <c r="AF64" s="344">
        <v>0</v>
      </c>
      <c r="AI64" s="341" t="s">
        <v>372</v>
      </c>
    </row>
    <row r="65" spans="1:35" ht="30" x14ac:dyDescent="0.25">
      <c r="A65" s="359">
        <v>380</v>
      </c>
      <c r="B65" s="341" t="s">
        <v>464</v>
      </c>
      <c r="C65" s="342" t="s">
        <v>267</v>
      </c>
      <c r="D65" s="344">
        <v>0</v>
      </c>
      <c r="E65" s="344">
        <v>0</v>
      </c>
      <c r="F65" s="344">
        <v>0</v>
      </c>
      <c r="G65" s="344">
        <v>0</v>
      </c>
      <c r="H65" s="344">
        <v>0</v>
      </c>
      <c r="I65" s="344">
        <v>0</v>
      </c>
      <c r="J65" s="344">
        <v>0</v>
      </c>
      <c r="K65" s="344">
        <v>0</v>
      </c>
      <c r="L65" s="344">
        <v>0</v>
      </c>
      <c r="M65" s="344">
        <v>0</v>
      </c>
      <c r="N65" s="344">
        <v>0</v>
      </c>
      <c r="O65" s="344">
        <v>0</v>
      </c>
      <c r="P65" s="344">
        <v>0</v>
      </c>
      <c r="Q65" s="344">
        <v>0</v>
      </c>
      <c r="R65" s="344">
        <v>0</v>
      </c>
      <c r="S65" s="344">
        <v>0</v>
      </c>
      <c r="T65" s="344">
        <v>0</v>
      </c>
      <c r="U65" s="344">
        <v>0</v>
      </c>
      <c r="V65" s="344">
        <v>0</v>
      </c>
      <c r="W65" s="344">
        <v>0</v>
      </c>
      <c r="X65" s="344">
        <v>0</v>
      </c>
      <c r="Y65" s="344">
        <v>0</v>
      </c>
      <c r="Z65" s="344">
        <v>0</v>
      </c>
      <c r="AA65" s="344">
        <v>0</v>
      </c>
      <c r="AB65" s="344">
        <v>0</v>
      </c>
      <c r="AC65" s="344">
        <v>0</v>
      </c>
      <c r="AD65" s="344">
        <v>0</v>
      </c>
      <c r="AE65" s="344">
        <v>0</v>
      </c>
      <c r="AF65" s="344">
        <v>0</v>
      </c>
      <c r="AI65" s="341" t="s">
        <v>372</v>
      </c>
    </row>
    <row r="66" spans="1:35" x14ac:dyDescent="0.25">
      <c r="A66" s="359">
        <v>385</v>
      </c>
      <c r="B66" s="341" t="s">
        <v>465</v>
      </c>
      <c r="C66" s="342" t="s">
        <v>268</v>
      </c>
      <c r="D66" s="344">
        <v>7581947</v>
      </c>
      <c r="E66" s="344">
        <v>0</v>
      </c>
      <c r="F66" s="344">
        <v>0</v>
      </c>
      <c r="G66" s="344">
        <v>14201702</v>
      </c>
      <c r="H66" s="344">
        <v>0</v>
      </c>
      <c r="I66" s="344">
        <v>0</v>
      </c>
      <c r="J66" s="344">
        <v>0</v>
      </c>
      <c r="K66" s="344">
        <v>0</v>
      </c>
      <c r="L66" s="344">
        <v>0</v>
      </c>
      <c r="M66" s="344">
        <v>318864</v>
      </c>
      <c r="N66" s="344">
        <v>0</v>
      </c>
      <c r="O66" s="344">
        <v>0</v>
      </c>
      <c r="P66" s="344">
        <v>0</v>
      </c>
      <c r="Q66" s="344">
        <v>0</v>
      </c>
      <c r="R66" s="344">
        <v>0</v>
      </c>
      <c r="S66" s="344">
        <v>0</v>
      </c>
      <c r="T66" s="344">
        <v>0</v>
      </c>
      <c r="U66" s="344">
        <v>0</v>
      </c>
      <c r="V66" s="344">
        <v>0</v>
      </c>
      <c r="W66" s="344">
        <v>0</v>
      </c>
      <c r="X66" s="344">
        <v>0</v>
      </c>
      <c r="Y66" s="344">
        <v>0</v>
      </c>
      <c r="Z66" s="344">
        <v>0</v>
      </c>
      <c r="AA66" s="344">
        <v>0</v>
      </c>
      <c r="AB66" s="344">
        <v>0</v>
      </c>
      <c r="AC66" s="344">
        <v>0</v>
      </c>
      <c r="AD66" s="344">
        <v>0</v>
      </c>
      <c r="AE66" s="344">
        <v>2741019</v>
      </c>
      <c r="AF66" s="344">
        <v>0</v>
      </c>
      <c r="AI66" s="341" t="s">
        <v>372</v>
      </c>
    </row>
    <row r="67" spans="1:35" x14ac:dyDescent="0.25">
      <c r="A67" s="363">
        <v>386</v>
      </c>
      <c r="B67" s="341" t="s">
        <v>466</v>
      </c>
      <c r="C67" s="342" t="s">
        <v>174</v>
      </c>
      <c r="D67" s="344">
        <v>0</v>
      </c>
      <c r="E67" s="344">
        <v>0</v>
      </c>
      <c r="F67" s="344">
        <v>0</v>
      </c>
      <c r="G67" s="344">
        <v>0</v>
      </c>
      <c r="H67" s="344">
        <v>0</v>
      </c>
      <c r="I67" s="344">
        <v>0</v>
      </c>
      <c r="J67" s="344">
        <v>0</v>
      </c>
      <c r="K67" s="344">
        <v>0</v>
      </c>
      <c r="L67" s="344">
        <v>0</v>
      </c>
      <c r="M67" s="344">
        <v>0</v>
      </c>
      <c r="N67" s="344">
        <v>0</v>
      </c>
      <c r="O67" s="344">
        <v>0</v>
      </c>
      <c r="P67" s="344">
        <v>0</v>
      </c>
      <c r="Q67" s="344">
        <v>0</v>
      </c>
      <c r="R67" s="344">
        <v>0</v>
      </c>
      <c r="S67" s="344">
        <v>0</v>
      </c>
      <c r="T67" s="344">
        <v>0</v>
      </c>
      <c r="U67" s="344">
        <v>0</v>
      </c>
      <c r="V67" s="344">
        <v>0</v>
      </c>
      <c r="W67" s="344">
        <v>0</v>
      </c>
      <c r="X67" s="344">
        <v>0</v>
      </c>
      <c r="Y67" s="344">
        <v>0</v>
      </c>
      <c r="Z67" s="344">
        <v>0</v>
      </c>
      <c r="AA67" s="344">
        <v>0</v>
      </c>
      <c r="AB67" s="344">
        <v>0</v>
      </c>
      <c r="AC67" s="344">
        <v>0</v>
      </c>
      <c r="AD67" s="344">
        <v>0</v>
      </c>
      <c r="AE67" s="344">
        <v>0</v>
      </c>
      <c r="AF67" s="344">
        <v>0</v>
      </c>
      <c r="AI67" s="341" t="s">
        <v>372</v>
      </c>
    </row>
    <row r="68" spans="1:35" ht="30" x14ac:dyDescent="0.25">
      <c r="A68" s="359">
        <v>387</v>
      </c>
      <c r="B68" s="341" t="s">
        <v>467</v>
      </c>
      <c r="C68" s="342" t="s">
        <v>269</v>
      </c>
      <c r="D68" s="344">
        <v>0</v>
      </c>
      <c r="E68" s="344">
        <v>0</v>
      </c>
      <c r="F68" s="344">
        <v>0</v>
      </c>
      <c r="G68" s="344">
        <v>0</v>
      </c>
      <c r="H68" s="344">
        <v>0</v>
      </c>
      <c r="I68" s="344">
        <v>0</v>
      </c>
      <c r="J68" s="344">
        <v>0</v>
      </c>
      <c r="K68" s="344">
        <v>0</v>
      </c>
      <c r="L68" s="344">
        <v>0</v>
      </c>
      <c r="M68" s="344">
        <v>0</v>
      </c>
      <c r="N68" s="344">
        <v>0</v>
      </c>
      <c r="O68" s="344">
        <v>0</v>
      </c>
      <c r="P68" s="344">
        <v>0</v>
      </c>
      <c r="Q68" s="344">
        <v>0</v>
      </c>
      <c r="R68" s="344">
        <v>0</v>
      </c>
      <c r="S68" s="344">
        <v>0</v>
      </c>
      <c r="T68" s="344">
        <v>0</v>
      </c>
      <c r="U68" s="344">
        <v>0</v>
      </c>
      <c r="V68" s="344">
        <v>0</v>
      </c>
      <c r="W68" s="344">
        <v>0</v>
      </c>
      <c r="X68" s="344">
        <v>0</v>
      </c>
      <c r="Y68" s="344">
        <v>0</v>
      </c>
      <c r="Z68" s="344">
        <v>0</v>
      </c>
      <c r="AA68" s="344">
        <v>0</v>
      </c>
      <c r="AB68" s="344">
        <v>0</v>
      </c>
      <c r="AC68" s="344">
        <v>0</v>
      </c>
      <c r="AD68" s="344">
        <v>0</v>
      </c>
      <c r="AE68" s="344">
        <v>0</v>
      </c>
      <c r="AF68" s="344">
        <v>0</v>
      </c>
      <c r="AI68" s="341" t="s">
        <v>372</v>
      </c>
    </row>
    <row r="69" spans="1:35" ht="30" x14ac:dyDescent="0.25">
      <c r="A69" s="363">
        <v>388</v>
      </c>
      <c r="B69" s="341" t="s">
        <v>468</v>
      </c>
      <c r="C69" s="342" t="s">
        <v>270</v>
      </c>
      <c r="D69" s="344">
        <v>287925</v>
      </c>
      <c r="E69" s="344">
        <v>0</v>
      </c>
      <c r="F69" s="344">
        <v>0</v>
      </c>
      <c r="G69" s="344">
        <v>928870</v>
      </c>
      <c r="H69" s="344">
        <v>0</v>
      </c>
      <c r="I69" s="344">
        <v>0</v>
      </c>
      <c r="J69" s="344">
        <v>0</v>
      </c>
      <c r="K69" s="344">
        <v>0</v>
      </c>
      <c r="L69" s="344">
        <v>0</v>
      </c>
      <c r="M69" s="344">
        <v>301215</v>
      </c>
      <c r="N69" s="344">
        <v>0</v>
      </c>
      <c r="O69" s="344">
        <v>0</v>
      </c>
      <c r="P69" s="344">
        <v>0</v>
      </c>
      <c r="Q69" s="344">
        <v>0</v>
      </c>
      <c r="R69" s="344">
        <v>0</v>
      </c>
      <c r="S69" s="344">
        <v>0</v>
      </c>
      <c r="T69" s="344">
        <v>0</v>
      </c>
      <c r="U69" s="344">
        <v>0</v>
      </c>
      <c r="V69" s="344">
        <v>0</v>
      </c>
      <c r="W69" s="344">
        <v>0</v>
      </c>
      <c r="X69" s="344">
        <v>0</v>
      </c>
      <c r="Y69" s="344">
        <v>0</v>
      </c>
      <c r="Z69" s="344">
        <v>0</v>
      </c>
      <c r="AA69" s="344">
        <v>0</v>
      </c>
      <c r="AB69" s="344">
        <v>0</v>
      </c>
      <c r="AC69" s="344">
        <v>0</v>
      </c>
      <c r="AD69" s="344">
        <v>0</v>
      </c>
      <c r="AE69" s="344">
        <v>87791</v>
      </c>
      <c r="AF69" s="344">
        <v>0</v>
      </c>
      <c r="AI69" s="341" t="s">
        <v>372</v>
      </c>
    </row>
    <row r="70" spans="1:35" ht="30" x14ac:dyDescent="0.25">
      <c r="A70" s="363">
        <v>389</v>
      </c>
      <c r="B70" s="341" t="s">
        <v>469</v>
      </c>
      <c r="C70" s="342" t="s">
        <v>175</v>
      </c>
      <c r="D70" s="344">
        <v>0</v>
      </c>
      <c r="E70" s="344">
        <v>0</v>
      </c>
      <c r="F70" s="344">
        <v>0</v>
      </c>
      <c r="G70" s="344">
        <v>0</v>
      </c>
      <c r="H70" s="344">
        <v>0</v>
      </c>
      <c r="I70" s="344">
        <v>0</v>
      </c>
      <c r="J70" s="344">
        <v>0</v>
      </c>
      <c r="K70" s="344">
        <v>0</v>
      </c>
      <c r="L70" s="344">
        <v>0</v>
      </c>
      <c r="M70" s="344">
        <v>0</v>
      </c>
      <c r="N70" s="344">
        <v>0</v>
      </c>
      <c r="O70" s="344">
        <v>0</v>
      </c>
      <c r="P70" s="344">
        <v>0</v>
      </c>
      <c r="Q70" s="344">
        <v>0</v>
      </c>
      <c r="R70" s="344">
        <v>0</v>
      </c>
      <c r="S70" s="344">
        <v>0</v>
      </c>
      <c r="T70" s="344">
        <v>0</v>
      </c>
      <c r="U70" s="344">
        <v>0</v>
      </c>
      <c r="V70" s="344">
        <v>0</v>
      </c>
      <c r="W70" s="344">
        <v>0</v>
      </c>
      <c r="X70" s="344">
        <v>0</v>
      </c>
      <c r="Y70" s="344">
        <v>0</v>
      </c>
      <c r="Z70" s="344">
        <v>0</v>
      </c>
      <c r="AA70" s="344">
        <v>0</v>
      </c>
      <c r="AB70" s="344">
        <v>0</v>
      </c>
      <c r="AC70" s="344">
        <v>0</v>
      </c>
      <c r="AD70" s="344">
        <v>0</v>
      </c>
      <c r="AE70" s="344">
        <v>0</v>
      </c>
      <c r="AF70" s="344">
        <v>0</v>
      </c>
    </row>
    <row r="71" spans="1:35" ht="30" x14ac:dyDescent="0.25">
      <c r="A71" s="363"/>
      <c r="B71" s="341" t="s">
        <v>470</v>
      </c>
      <c r="C71" s="342" t="s">
        <v>271</v>
      </c>
      <c r="D71" s="344">
        <v>0</v>
      </c>
      <c r="E71" s="344">
        <v>0</v>
      </c>
      <c r="F71" s="344">
        <v>0</v>
      </c>
      <c r="G71" s="344">
        <v>0</v>
      </c>
      <c r="H71" s="344">
        <v>0</v>
      </c>
      <c r="I71" s="344">
        <v>0</v>
      </c>
      <c r="J71" s="344">
        <v>0</v>
      </c>
      <c r="K71" s="344">
        <v>0</v>
      </c>
      <c r="L71" s="344">
        <v>0</v>
      </c>
      <c r="M71" s="344">
        <v>0</v>
      </c>
      <c r="N71" s="344">
        <v>0</v>
      </c>
      <c r="O71" s="344">
        <v>0</v>
      </c>
      <c r="P71" s="344">
        <v>0</v>
      </c>
      <c r="Q71" s="344">
        <v>0</v>
      </c>
      <c r="R71" s="344">
        <v>0</v>
      </c>
      <c r="S71" s="344">
        <v>0</v>
      </c>
      <c r="T71" s="344">
        <v>0</v>
      </c>
      <c r="U71" s="344">
        <v>0</v>
      </c>
      <c r="V71" s="344">
        <v>0</v>
      </c>
      <c r="W71" s="344">
        <v>0</v>
      </c>
      <c r="X71" s="344">
        <v>0</v>
      </c>
      <c r="Y71" s="344">
        <v>0</v>
      </c>
      <c r="Z71" s="344">
        <v>0</v>
      </c>
      <c r="AA71" s="344">
        <v>0</v>
      </c>
      <c r="AB71" s="344">
        <v>0</v>
      </c>
      <c r="AC71" s="344">
        <v>0</v>
      </c>
      <c r="AD71" s="344">
        <v>0</v>
      </c>
      <c r="AE71" s="344">
        <v>0</v>
      </c>
      <c r="AF71" s="344">
        <v>0</v>
      </c>
    </row>
    <row r="72" spans="1:35" ht="30" x14ac:dyDescent="0.25">
      <c r="A72" s="363">
        <v>391</v>
      </c>
      <c r="B72" s="341" t="s">
        <v>471</v>
      </c>
      <c r="C72" s="342" t="s">
        <v>176</v>
      </c>
      <c r="D72" s="344">
        <v>353116</v>
      </c>
      <c r="E72" s="344">
        <v>0</v>
      </c>
      <c r="F72" s="344">
        <v>0</v>
      </c>
      <c r="G72" s="344">
        <v>4935</v>
      </c>
      <c r="H72" s="344">
        <v>0</v>
      </c>
      <c r="I72" s="344">
        <v>0</v>
      </c>
      <c r="J72" s="344">
        <v>0</v>
      </c>
      <c r="K72" s="344">
        <v>0</v>
      </c>
      <c r="L72" s="344">
        <v>0</v>
      </c>
      <c r="M72" s="344">
        <v>173304</v>
      </c>
      <c r="N72" s="344">
        <v>0</v>
      </c>
      <c r="O72" s="344">
        <v>0</v>
      </c>
      <c r="P72" s="344">
        <v>0</v>
      </c>
      <c r="Q72" s="344">
        <v>0</v>
      </c>
      <c r="R72" s="344">
        <v>0</v>
      </c>
      <c r="S72" s="344">
        <v>0</v>
      </c>
      <c r="T72" s="344">
        <v>0</v>
      </c>
      <c r="U72" s="344">
        <v>0</v>
      </c>
      <c r="V72" s="344">
        <v>0</v>
      </c>
      <c r="W72" s="344">
        <v>0</v>
      </c>
      <c r="X72" s="344">
        <v>0</v>
      </c>
      <c r="Y72" s="344">
        <v>0</v>
      </c>
      <c r="Z72" s="344">
        <v>0</v>
      </c>
      <c r="AA72" s="344">
        <v>0</v>
      </c>
      <c r="AB72" s="344">
        <v>0</v>
      </c>
      <c r="AC72" s="344">
        <v>0</v>
      </c>
      <c r="AD72" s="344">
        <v>0</v>
      </c>
      <c r="AE72" s="344">
        <v>17</v>
      </c>
      <c r="AF72" s="344">
        <v>0</v>
      </c>
    </row>
    <row r="73" spans="1:35" ht="60" x14ac:dyDescent="0.25">
      <c r="A73" s="363"/>
      <c r="B73" s="341" t="s">
        <v>472</v>
      </c>
      <c r="C73" s="342" t="s">
        <v>272</v>
      </c>
      <c r="D73" s="344"/>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344"/>
      <c r="AC73" s="344"/>
      <c r="AD73" s="344"/>
      <c r="AE73" s="344"/>
      <c r="AF73" s="344"/>
    </row>
    <row r="74" spans="1:35" ht="45" x14ac:dyDescent="0.25">
      <c r="A74" s="363"/>
      <c r="B74" s="341" t="s">
        <v>473</v>
      </c>
      <c r="C74" s="342" t="s">
        <v>273</v>
      </c>
      <c r="D74" s="344"/>
      <c r="E74" s="344"/>
      <c r="F74" s="344"/>
      <c r="G74" s="344"/>
      <c r="H74" s="344"/>
      <c r="I74" s="344"/>
      <c r="J74" s="344"/>
      <c r="K74" s="344"/>
      <c r="L74" s="344"/>
      <c r="M74" s="344"/>
      <c r="N74" s="344"/>
      <c r="O74" s="344"/>
      <c r="P74" s="344"/>
      <c r="Q74" s="344"/>
      <c r="R74" s="344"/>
      <c r="S74" s="344"/>
      <c r="T74" s="344"/>
      <c r="U74" s="344"/>
      <c r="V74" s="344"/>
      <c r="W74" s="344"/>
      <c r="X74" s="344"/>
      <c r="Y74" s="344"/>
      <c r="Z74" s="344"/>
      <c r="AA74" s="344"/>
      <c r="AB74" s="344"/>
      <c r="AC74" s="344"/>
      <c r="AD74" s="344"/>
      <c r="AE74" s="344"/>
      <c r="AF74" s="344"/>
    </row>
    <row r="75" spans="1:35" ht="30" x14ac:dyDescent="0.25">
      <c r="A75" s="363">
        <v>500</v>
      </c>
      <c r="B75" s="341" t="s">
        <v>474</v>
      </c>
      <c r="C75" s="342" t="s">
        <v>112</v>
      </c>
      <c r="D75" s="344">
        <v>0</v>
      </c>
      <c r="E75" s="344">
        <v>0</v>
      </c>
      <c r="F75" s="344">
        <v>0</v>
      </c>
      <c r="G75" s="344">
        <v>101499</v>
      </c>
      <c r="H75" s="344">
        <v>0</v>
      </c>
      <c r="I75" s="344">
        <v>0</v>
      </c>
      <c r="J75" s="344">
        <v>0</v>
      </c>
      <c r="K75" s="344">
        <v>0</v>
      </c>
      <c r="L75" s="344">
        <v>0</v>
      </c>
      <c r="M75" s="344">
        <v>1230</v>
      </c>
      <c r="N75" s="344">
        <v>0</v>
      </c>
      <c r="O75" s="344">
        <v>0</v>
      </c>
      <c r="P75" s="344">
        <v>0</v>
      </c>
      <c r="Q75" s="344">
        <v>0</v>
      </c>
      <c r="R75" s="344">
        <v>0</v>
      </c>
      <c r="S75" s="344">
        <v>0</v>
      </c>
      <c r="T75" s="344">
        <v>0</v>
      </c>
      <c r="U75" s="344">
        <v>0</v>
      </c>
      <c r="V75" s="344">
        <v>0</v>
      </c>
      <c r="W75" s="344">
        <v>0</v>
      </c>
      <c r="X75" s="344">
        <v>0</v>
      </c>
      <c r="Y75" s="344">
        <v>0</v>
      </c>
      <c r="Z75" s="344">
        <v>0</v>
      </c>
      <c r="AA75" s="344">
        <v>0</v>
      </c>
      <c r="AB75" s="344">
        <v>0</v>
      </c>
      <c r="AC75" s="344">
        <v>0</v>
      </c>
      <c r="AD75" s="344">
        <v>0</v>
      </c>
      <c r="AE75" s="344">
        <v>0</v>
      </c>
      <c r="AF75" s="344">
        <v>0</v>
      </c>
    </row>
    <row r="76" spans="1:35" x14ac:dyDescent="0.25">
      <c r="A76" s="363"/>
      <c r="B76" s="341" t="s">
        <v>475</v>
      </c>
      <c r="C76" s="342" t="s">
        <v>113</v>
      </c>
      <c r="D76" s="344">
        <v>0</v>
      </c>
      <c r="E76" s="344">
        <v>0</v>
      </c>
      <c r="F76" s="344">
        <v>0</v>
      </c>
      <c r="G76" s="344">
        <v>0</v>
      </c>
      <c r="H76" s="344">
        <v>0</v>
      </c>
      <c r="I76" s="344">
        <v>0</v>
      </c>
      <c r="J76" s="344">
        <v>0</v>
      </c>
      <c r="K76" s="344">
        <v>0</v>
      </c>
      <c r="L76" s="344">
        <v>0</v>
      </c>
      <c r="M76" s="344">
        <v>0</v>
      </c>
      <c r="N76" s="344">
        <v>0</v>
      </c>
      <c r="O76" s="344">
        <v>0</v>
      </c>
      <c r="P76" s="344">
        <v>0</v>
      </c>
      <c r="Q76" s="344">
        <v>0</v>
      </c>
      <c r="R76" s="344">
        <v>0</v>
      </c>
      <c r="S76" s="344">
        <v>0</v>
      </c>
      <c r="T76" s="344">
        <v>0</v>
      </c>
      <c r="U76" s="344">
        <v>0</v>
      </c>
      <c r="V76" s="344">
        <v>0</v>
      </c>
      <c r="W76" s="344">
        <v>0</v>
      </c>
      <c r="X76" s="344">
        <v>0</v>
      </c>
      <c r="Y76" s="344">
        <v>0</v>
      </c>
      <c r="Z76" s="344">
        <v>0</v>
      </c>
      <c r="AA76" s="344">
        <v>0</v>
      </c>
      <c r="AB76" s="344">
        <v>0</v>
      </c>
      <c r="AC76" s="344">
        <v>0</v>
      </c>
      <c r="AD76" s="344">
        <v>0</v>
      </c>
      <c r="AE76" s="344">
        <v>0</v>
      </c>
      <c r="AF76" s="344">
        <v>0</v>
      </c>
    </row>
    <row r="77" spans="1:35" ht="30" x14ac:dyDescent="0.25">
      <c r="A77" s="363">
        <v>502</v>
      </c>
      <c r="B77" s="341" t="s">
        <v>476</v>
      </c>
      <c r="C77" s="342" t="s">
        <v>114</v>
      </c>
      <c r="D77" s="344">
        <v>0</v>
      </c>
      <c r="E77" s="344">
        <v>15641727</v>
      </c>
      <c r="F77" s="344">
        <v>108598</v>
      </c>
      <c r="G77" s="344">
        <v>0</v>
      </c>
      <c r="H77" s="344">
        <v>489282</v>
      </c>
      <c r="I77" s="344">
        <v>819626</v>
      </c>
      <c r="J77" s="344">
        <v>4615079</v>
      </c>
      <c r="K77" s="344">
        <v>316108</v>
      </c>
      <c r="L77" s="344">
        <v>2263397</v>
      </c>
      <c r="M77" s="344">
        <v>0</v>
      </c>
      <c r="N77" s="344">
        <v>1140323</v>
      </c>
      <c r="O77" s="344">
        <v>0</v>
      </c>
      <c r="P77" s="344">
        <v>202109</v>
      </c>
      <c r="Q77" s="344">
        <v>486906</v>
      </c>
      <c r="R77" s="344">
        <v>2637118</v>
      </c>
      <c r="S77" s="344">
        <v>539616</v>
      </c>
      <c r="T77" s="344">
        <v>545222</v>
      </c>
      <c r="U77" s="344">
        <v>94997</v>
      </c>
      <c r="V77" s="344">
        <v>2285821</v>
      </c>
      <c r="W77" s="344">
        <v>0</v>
      </c>
      <c r="X77" s="344">
        <v>27977511</v>
      </c>
      <c r="Y77" s="344">
        <v>62799945</v>
      </c>
      <c r="Z77" s="344">
        <v>2831363</v>
      </c>
      <c r="AA77" s="344">
        <v>0</v>
      </c>
      <c r="AB77" s="344">
        <v>249520</v>
      </c>
      <c r="AC77" s="344">
        <v>213498</v>
      </c>
      <c r="AD77" s="344">
        <v>428113</v>
      </c>
      <c r="AE77" s="344">
        <v>0</v>
      </c>
      <c r="AF77" s="344">
        <v>117985</v>
      </c>
    </row>
    <row r="78" spans="1:35" ht="30" x14ac:dyDescent="0.25">
      <c r="A78" s="363">
        <v>503</v>
      </c>
      <c r="B78" s="341" t="s">
        <v>477</v>
      </c>
      <c r="C78" s="342" t="s">
        <v>115</v>
      </c>
      <c r="D78" s="344">
        <v>0</v>
      </c>
      <c r="E78" s="344">
        <v>16561028</v>
      </c>
      <c r="F78" s="344">
        <v>0</v>
      </c>
      <c r="G78" s="344">
        <v>0</v>
      </c>
      <c r="H78" s="344">
        <v>12726</v>
      </c>
      <c r="I78" s="344">
        <v>0</v>
      </c>
      <c r="J78" s="344">
        <v>0</v>
      </c>
      <c r="K78" s="344">
        <v>0</v>
      </c>
      <c r="L78" s="344">
        <v>0</v>
      </c>
      <c r="M78" s="344">
        <v>0</v>
      </c>
      <c r="N78" s="344">
        <v>0</v>
      </c>
      <c r="O78" s="344">
        <v>0</v>
      </c>
      <c r="P78" s="344">
        <v>0</v>
      </c>
      <c r="Q78" s="344">
        <v>0</v>
      </c>
      <c r="R78" s="344">
        <v>0</v>
      </c>
      <c r="S78" s="344">
        <v>0</v>
      </c>
      <c r="T78" s="344">
        <v>130863</v>
      </c>
      <c r="U78" s="344">
        <v>0</v>
      </c>
      <c r="V78" s="344">
        <v>0</v>
      </c>
      <c r="W78" s="344">
        <v>5300</v>
      </c>
      <c r="X78" s="344">
        <v>13104412</v>
      </c>
      <c r="Y78" s="344">
        <v>18383932</v>
      </c>
      <c r="Z78" s="344">
        <v>344700</v>
      </c>
      <c r="AA78" s="344">
        <v>0</v>
      </c>
      <c r="AB78" s="344">
        <v>0</v>
      </c>
      <c r="AC78" s="344">
        <v>321540</v>
      </c>
      <c r="AD78" s="344">
        <v>165389</v>
      </c>
      <c r="AE78" s="344">
        <v>0</v>
      </c>
      <c r="AF78" s="344">
        <v>0</v>
      </c>
    </row>
    <row r="79" spans="1:35" ht="30" x14ac:dyDescent="0.25">
      <c r="A79" s="363">
        <v>504</v>
      </c>
      <c r="B79" s="341" t="s">
        <v>478</v>
      </c>
      <c r="C79" s="342" t="s">
        <v>118</v>
      </c>
      <c r="D79" s="344">
        <v>0</v>
      </c>
      <c r="E79" s="344">
        <v>0</v>
      </c>
      <c r="F79" s="344">
        <v>0</v>
      </c>
      <c r="G79" s="344">
        <v>30950</v>
      </c>
      <c r="H79" s="344">
        <v>0</v>
      </c>
      <c r="I79" s="344">
        <v>0</v>
      </c>
      <c r="J79" s="344">
        <v>0</v>
      </c>
      <c r="K79" s="344">
        <v>0</v>
      </c>
      <c r="L79" s="344">
        <v>0</v>
      </c>
      <c r="M79" s="344">
        <v>189357</v>
      </c>
      <c r="N79" s="344">
        <v>0</v>
      </c>
      <c r="O79" s="344">
        <v>0</v>
      </c>
      <c r="P79" s="344">
        <v>0</v>
      </c>
      <c r="Q79" s="344">
        <v>0</v>
      </c>
      <c r="R79" s="344">
        <v>0</v>
      </c>
      <c r="S79" s="344">
        <v>0</v>
      </c>
      <c r="T79" s="344">
        <v>0</v>
      </c>
      <c r="U79" s="344">
        <v>0</v>
      </c>
      <c r="V79" s="344">
        <v>0</v>
      </c>
      <c r="W79" s="344">
        <v>0</v>
      </c>
      <c r="X79" s="344">
        <v>0</v>
      </c>
      <c r="Y79" s="344">
        <v>0</v>
      </c>
      <c r="Z79" s="344">
        <v>0</v>
      </c>
      <c r="AA79" s="344">
        <v>0</v>
      </c>
      <c r="AB79" s="344">
        <v>0</v>
      </c>
      <c r="AC79" s="344">
        <v>0</v>
      </c>
      <c r="AD79" s="344">
        <v>0</v>
      </c>
      <c r="AE79" s="344">
        <v>11750</v>
      </c>
      <c r="AF79" s="344">
        <v>0</v>
      </c>
    </row>
    <row r="80" spans="1:35" ht="30" x14ac:dyDescent="0.25">
      <c r="A80" s="363">
        <v>505</v>
      </c>
      <c r="B80" s="341" t="s">
        <v>479</v>
      </c>
      <c r="C80" s="342" t="s">
        <v>119</v>
      </c>
      <c r="D80" s="344">
        <v>1596441</v>
      </c>
      <c r="E80" s="344">
        <v>0</v>
      </c>
      <c r="F80" s="344">
        <v>0</v>
      </c>
      <c r="G80" s="344">
        <v>1252509</v>
      </c>
      <c r="H80" s="344">
        <v>0</v>
      </c>
      <c r="I80" s="344">
        <v>0</v>
      </c>
      <c r="J80" s="344">
        <v>0</v>
      </c>
      <c r="K80" s="344">
        <v>0</v>
      </c>
      <c r="L80" s="344">
        <v>0</v>
      </c>
      <c r="M80" s="344">
        <v>0</v>
      </c>
      <c r="N80" s="344">
        <v>0</v>
      </c>
      <c r="O80" s="344">
        <v>0</v>
      </c>
      <c r="P80" s="344">
        <v>0</v>
      </c>
      <c r="Q80" s="344">
        <v>0</v>
      </c>
      <c r="R80" s="344">
        <v>0</v>
      </c>
      <c r="S80" s="344">
        <v>0</v>
      </c>
      <c r="T80" s="344">
        <v>0</v>
      </c>
      <c r="U80" s="344">
        <v>0</v>
      </c>
      <c r="V80" s="344">
        <v>0</v>
      </c>
      <c r="W80" s="344">
        <v>0</v>
      </c>
      <c r="X80" s="344">
        <v>0</v>
      </c>
      <c r="Y80" s="344">
        <v>0</v>
      </c>
      <c r="Z80" s="344">
        <v>0</v>
      </c>
      <c r="AA80" s="344">
        <v>0</v>
      </c>
      <c r="AB80" s="344">
        <v>0</v>
      </c>
      <c r="AC80" s="344">
        <v>0</v>
      </c>
      <c r="AD80" s="344">
        <v>0</v>
      </c>
      <c r="AE80" s="344">
        <v>235765</v>
      </c>
      <c r="AF80" s="344">
        <v>0</v>
      </c>
    </row>
    <row r="81" spans="1:32" ht="30" x14ac:dyDescent="0.25">
      <c r="A81" s="363">
        <v>506</v>
      </c>
      <c r="B81" s="341" t="s">
        <v>480</v>
      </c>
      <c r="C81" s="342" t="s">
        <v>125</v>
      </c>
      <c r="D81" s="344">
        <v>243223</v>
      </c>
      <c r="E81" s="344">
        <v>0</v>
      </c>
      <c r="F81" s="344">
        <v>0</v>
      </c>
      <c r="G81" s="344">
        <v>180354</v>
      </c>
      <c r="H81" s="344">
        <v>0</v>
      </c>
      <c r="I81" s="344">
        <v>0</v>
      </c>
      <c r="J81" s="344">
        <v>0</v>
      </c>
      <c r="K81" s="344">
        <v>0</v>
      </c>
      <c r="L81" s="344">
        <v>0</v>
      </c>
      <c r="M81" s="344">
        <v>13169</v>
      </c>
      <c r="N81" s="344">
        <v>0</v>
      </c>
      <c r="O81" s="344">
        <v>0</v>
      </c>
      <c r="P81" s="344">
        <v>0</v>
      </c>
      <c r="Q81" s="344">
        <v>0</v>
      </c>
      <c r="R81" s="344">
        <v>0</v>
      </c>
      <c r="S81" s="344">
        <v>0</v>
      </c>
      <c r="T81" s="344">
        <v>0</v>
      </c>
      <c r="U81" s="344">
        <v>0</v>
      </c>
      <c r="V81" s="344">
        <v>0</v>
      </c>
      <c r="W81" s="344">
        <v>0</v>
      </c>
      <c r="X81" s="344">
        <v>0</v>
      </c>
      <c r="Y81" s="344">
        <v>0</v>
      </c>
      <c r="Z81" s="344">
        <v>0</v>
      </c>
      <c r="AA81" s="344">
        <v>0</v>
      </c>
      <c r="AB81" s="344">
        <v>0</v>
      </c>
      <c r="AC81" s="344">
        <v>0</v>
      </c>
      <c r="AD81" s="344">
        <v>0</v>
      </c>
      <c r="AE81" s="344">
        <v>35023</v>
      </c>
      <c r="AF81" s="344">
        <v>0</v>
      </c>
    </row>
    <row r="82" spans="1:32" ht="30" x14ac:dyDescent="0.25">
      <c r="A82" s="359">
        <v>507</v>
      </c>
      <c r="B82" s="341" t="s">
        <v>481</v>
      </c>
      <c r="C82" s="342" t="s">
        <v>140</v>
      </c>
      <c r="D82" s="344">
        <v>0</v>
      </c>
      <c r="E82" s="344">
        <v>0</v>
      </c>
      <c r="F82" s="344">
        <v>0</v>
      </c>
      <c r="G82" s="344">
        <v>0</v>
      </c>
      <c r="H82" s="344">
        <v>0</v>
      </c>
      <c r="I82" s="344">
        <v>0</v>
      </c>
      <c r="J82" s="344">
        <v>0</v>
      </c>
      <c r="K82" s="344">
        <v>0</v>
      </c>
      <c r="L82" s="344">
        <v>0</v>
      </c>
      <c r="M82" s="344">
        <v>0</v>
      </c>
      <c r="N82" s="344">
        <v>0</v>
      </c>
      <c r="O82" s="344">
        <v>0</v>
      </c>
      <c r="P82" s="344">
        <v>0</v>
      </c>
      <c r="Q82" s="344">
        <v>0</v>
      </c>
      <c r="R82" s="344">
        <v>0</v>
      </c>
      <c r="S82" s="344">
        <v>0</v>
      </c>
      <c r="T82" s="344">
        <v>0</v>
      </c>
      <c r="U82" s="344">
        <v>0</v>
      </c>
      <c r="V82" s="344">
        <v>0</v>
      </c>
      <c r="W82" s="344">
        <v>0</v>
      </c>
      <c r="X82" s="344">
        <v>0</v>
      </c>
      <c r="Y82" s="344">
        <v>0</v>
      </c>
      <c r="Z82" s="344">
        <v>0</v>
      </c>
      <c r="AA82" s="344">
        <v>0</v>
      </c>
      <c r="AB82" s="344">
        <v>0</v>
      </c>
      <c r="AC82" s="344">
        <v>0</v>
      </c>
      <c r="AD82" s="344">
        <v>0</v>
      </c>
      <c r="AE82" s="344">
        <v>0</v>
      </c>
      <c r="AF82" s="344">
        <v>0</v>
      </c>
    </row>
    <row r="83" spans="1:32" x14ac:dyDescent="0.25">
      <c r="A83" s="363">
        <v>508</v>
      </c>
      <c r="B83" s="341" t="s">
        <v>482</v>
      </c>
      <c r="C83" s="342" t="s">
        <v>137</v>
      </c>
      <c r="D83" s="344">
        <v>0</v>
      </c>
      <c r="E83" s="344">
        <v>0</v>
      </c>
      <c r="F83" s="344">
        <v>0</v>
      </c>
      <c r="G83" s="344">
        <v>0</v>
      </c>
      <c r="H83" s="344">
        <v>0</v>
      </c>
      <c r="I83" s="344">
        <v>0</v>
      </c>
      <c r="J83" s="344">
        <v>0</v>
      </c>
      <c r="K83" s="344">
        <v>0</v>
      </c>
      <c r="L83" s="344">
        <v>0</v>
      </c>
      <c r="M83" s="344">
        <v>0</v>
      </c>
      <c r="N83" s="344">
        <v>0</v>
      </c>
      <c r="O83" s="344">
        <v>0</v>
      </c>
      <c r="P83" s="344">
        <v>0</v>
      </c>
      <c r="Q83" s="344">
        <v>0</v>
      </c>
      <c r="R83" s="344">
        <v>0</v>
      </c>
      <c r="S83" s="344">
        <v>0</v>
      </c>
      <c r="T83" s="344">
        <v>0</v>
      </c>
      <c r="U83" s="344">
        <v>0</v>
      </c>
      <c r="V83" s="344">
        <v>0</v>
      </c>
      <c r="W83" s="344">
        <v>0</v>
      </c>
      <c r="X83" s="344">
        <v>0</v>
      </c>
      <c r="Y83" s="344">
        <v>0</v>
      </c>
      <c r="Z83" s="344">
        <v>0</v>
      </c>
      <c r="AA83" s="344">
        <v>0</v>
      </c>
      <c r="AB83" s="344">
        <v>0</v>
      </c>
      <c r="AC83" s="344">
        <v>0</v>
      </c>
      <c r="AD83" s="344">
        <v>0</v>
      </c>
      <c r="AE83" s="344">
        <v>0</v>
      </c>
      <c r="AF83" s="344">
        <v>0</v>
      </c>
    </row>
    <row r="84" spans="1:32" x14ac:dyDescent="0.25">
      <c r="A84" s="363">
        <v>509</v>
      </c>
      <c r="B84" s="341" t="s">
        <v>483</v>
      </c>
      <c r="C84" s="342" t="s">
        <v>138</v>
      </c>
      <c r="D84" s="344">
        <v>0</v>
      </c>
      <c r="E84" s="344">
        <v>0</v>
      </c>
      <c r="F84" s="344">
        <v>0</v>
      </c>
      <c r="G84" s="344">
        <v>0</v>
      </c>
      <c r="H84" s="344">
        <v>0</v>
      </c>
      <c r="I84" s="344">
        <v>0</v>
      </c>
      <c r="J84" s="344">
        <v>0</v>
      </c>
      <c r="K84" s="344">
        <v>0</v>
      </c>
      <c r="L84" s="344">
        <v>0</v>
      </c>
      <c r="M84" s="344">
        <v>0</v>
      </c>
      <c r="N84" s="344">
        <v>0</v>
      </c>
      <c r="O84" s="344">
        <v>0</v>
      </c>
      <c r="P84" s="344">
        <v>0</v>
      </c>
      <c r="Q84" s="344">
        <v>0</v>
      </c>
      <c r="R84" s="344">
        <v>0</v>
      </c>
      <c r="S84" s="344">
        <v>0</v>
      </c>
      <c r="T84" s="344">
        <v>0</v>
      </c>
      <c r="U84" s="344">
        <v>0</v>
      </c>
      <c r="V84" s="344">
        <v>0</v>
      </c>
      <c r="W84" s="344">
        <v>0</v>
      </c>
      <c r="X84" s="344">
        <v>0</v>
      </c>
      <c r="Y84" s="344">
        <v>0</v>
      </c>
      <c r="Z84" s="344">
        <v>0</v>
      </c>
      <c r="AA84" s="344">
        <v>0</v>
      </c>
      <c r="AB84" s="344">
        <v>0</v>
      </c>
      <c r="AC84" s="344">
        <v>0</v>
      </c>
      <c r="AD84" s="344">
        <v>0</v>
      </c>
      <c r="AE84" s="344">
        <v>0</v>
      </c>
      <c r="AF84" s="344">
        <v>0</v>
      </c>
    </row>
    <row r="85" spans="1:32" ht="30" x14ac:dyDescent="0.25">
      <c r="A85" s="364"/>
      <c r="B85" s="341" t="s">
        <v>484</v>
      </c>
      <c r="C85" s="342" t="s">
        <v>141</v>
      </c>
      <c r="D85" s="344">
        <v>0</v>
      </c>
      <c r="E85" s="344">
        <v>0</v>
      </c>
      <c r="F85" s="344">
        <v>0</v>
      </c>
      <c r="G85" s="344">
        <v>0</v>
      </c>
      <c r="H85" s="344">
        <v>0</v>
      </c>
      <c r="I85" s="344">
        <v>0</v>
      </c>
      <c r="J85" s="344">
        <v>0</v>
      </c>
      <c r="K85" s="344">
        <v>0</v>
      </c>
      <c r="L85" s="344">
        <v>0</v>
      </c>
      <c r="M85" s="344">
        <v>0</v>
      </c>
      <c r="N85" s="344">
        <v>0</v>
      </c>
      <c r="O85" s="344">
        <v>0</v>
      </c>
      <c r="P85" s="344">
        <v>0</v>
      </c>
      <c r="Q85" s="344">
        <v>0</v>
      </c>
      <c r="R85" s="344">
        <v>0</v>
      </c>
      <c r="S85" s="344">
        <v>0</v>
      </c>
      <c r="T85" s="344">
        <v>0</v>
      </c>
      <c r="U85" s="344">
        <v>0</v>
      </c>
      <c r="V85" s="344">
        <v>0</v>
      </c>
      <c r="W85" s="344">
        <v>0</v>
      </c>
      <c r="X85" s="344">
        <v>0</v>
      </c>
      <c r="Y85" s="344">
        <v>0</v>
      </c>
      <c r="Z85" s="344">
        <v>0</v>
      </c>
      <c r="AA85" s="344">
        <v>0</v>
      </c>
      <c r="AB85" s="344">
        <v>0</v>
      </c>
      <c r="AC85" s="344">
        <v>0</v>
      </c>
      <c r="AD85" s="344">
        <v>0</v>
      </c>
      <c r="AE85" s="344">
        <v>0</v>
      </c>
      <c r="AF85" s="344">
        <v>0</v>
      </c>
    </row>
    <row r="86" spans="1:32" ht="30" x14ac:dyDescent="0.25">
      <c r="A86" s="364"/>
      <c r="B86" s="341" t="s">
        <v>485</v>
      </c>
      <c r="C86" s="342" t="s">
        <v>142</v>
      </c>
      <c r="D86" s="344">
        <v>0</v>
      </c>
      <c r="E86" s="344">
        <v>0</v>
      </c>
      <c r="F86" s="344">
        <v>0</v>
      </c>
      <c r="G86" s="344">
        <v>0</v>
      </c>
      <c r="H86" s="344">
        <v>0</v>
      </c>
      <c r="I86" s="344">
        <v>0</v>
      </c>
      <c r="J86" s="344">
        <v>0</v>
      </c>
      <c r="K86" s="344">
        <v>0</v>
      </c>
      <c r="L86" s="344">
        <v>0</v>
      </c>
      <c r="M86" s="344">
        <v>0</v>
      </c>
      <c r="N86" s="344">
        <v>0</v>
      </c>
      <c r="O86" s="344">
        <v>0</v>
      </c>
      <c r="P86" s="344">
        <v>0</v>
      </c>
      <c r="Q86" s="344">
        <v>0</v>
      </c>
      <c r="R86" s="344">
        <v>0</v>
      </c>
      <c r="S86" s="344">
        <v>0</v>
      </c>
      <c r="T86" s="344">
        <v>0</v>
      </c>
      <c r="U86" s="344">
        <v>0</v>
      </c>
      <c r="V86" s="344">
        <v>0</v>
      </c>
      <c r="W86" s="344">
        <v>0</v>
      </c>
      <c r="X86" s="344">
        <v>0</v>
      </c>
      <c r="Y86" s="344">
        <v>0</v>
      </c>
      <c r="Z86" s="344">
        <v>0</v>
      </c>
      <c r="AA86" s="344">
        <v>0</v>
      </c>
      <c r="AB86" s="344">
        <v>0</v>
      </c>
      <c r="AC86" s="344">
        <v>0</v>
      </c>
      <c r="AD86" s="344">
        <v>0</v>
      </c>
      <c r="AE86" s="344">
        <v>0</v>
      </c>
      <c r="AF86" s="344">
        <v>0</v>
      </c>
    </row>
    <row r="87" spans="1:32" x14ac:dyDescent="0.25">
      <c r="A87" s="359">
        <v>512</v>
      </c>
      <c r="B87" s="341" t="s">
        <v>486</v>
      </c>
      <c r="C87" s="342" t="s">
        <v>143</v>
      </c>
      <c r="D87" s="344">
        <v>0</v>
      </c>
      <c r="E87" s="344">
        <v>0</v>
      </c>
      <c r="F87" s="344">
        <v>0</v>
      </c>
      <c r="G87" s="344">
        <v>0</v>
      </c>
      <c r="H87" s="344">
        <v>0</v>
      </c>
      <c r="I87" s="344">
        <v>0</v>
      </c>
      <c r="J87" s="344">
        <v>0</v>
      </c>
      <c r="K87" s="344">
        <v>0</v>
      </c>
      <c r="L87" s="344">
        <v>0</v>
      </c>
      <c r="M87" s="344">
        <v>0</v>
      </c>
      <c r="N87" s="344">
        <v>0</v>
      </c>
      <c r="O87" s="344">
        <v>0</v>
      </c>
      <c r="P87" s="344">
        <v>0</v>
      </c>
      <c r="Q87" s="344">
        <v>0</v>
      </c>
      <c r="R87" s="344">
        <v>0</v>
      </c>
      <c r="S87" s="344">
        <v>0</v>
      </c>
      <c r="T87" s="344">
        <v>0</v>
      </c>
      <c r="U87" s="344">
        <v>0</v>
      </c>
      <c r="V87" s="344">
        <v>0</v>
      </c>
      <c r="W87" s="344">
        <v>0</v>
      </c>
      <c r="X87" s="344">
        <v>0</v>
      </c>
      <c r="Y87" s="344">
        <v>0</v>
      </c>
      <c r="Z87" s="344">
        <v>0</v>
      </c>
      <c r="AA87" s="344">
        <v>0</v>
      </c>
      <c r="AB87" s="344">
        <v>0</v>
      </c>
      <c r="AC87" s="344">
        <v>0</v>
      </c>
      <c r="AD87" s="344">
        <v>0</v>
      </c>
      <c r="AE87" s="344">
        <v>0</v>
      </c>
      <c r="AF87" s="344">
        <v>0</v>
      </c>
    </row>
    <row r="88" spans="1:32" ht="30" x14ac:dyDescent="0.25">
      <c r="A88" s="363">
        <v>532</v>
      </c>
      <c r="B88" s="341" t="s">
        <v>487</v>
      </c>
      <c r="C88" s="342" t="s">
        <v>145</v>
      </c>
      <c r="D88" s="344">
        <v>0</v>
      </c>
      <c r="E88" s="344">
        <v>0</v>
      </c>
      <c r="F88" s="344">
        <v>0</v>
      </c>
      <c r="G88" s="344">
        <v>0</v>
      </c>
      <c r="H88" s="344">
        <v>0</v>
      </c>
      <c r="I88" s="344">
        <v>0</v>
      </c>
      <c r="J88" s="344">
        <v>0</v>
      </c>
      <c r="K88" s="344">
        <v>0</v>
      </c>
      <c r="L88" s="344">
        <v>0</v>
      </c>
      <c r="M88" s="344">
        <v>0</v>
      </c>
      <c r="N88" s="344">
        <v>0</v>
      </c>
      <c r="O88" s="344">
        <v>0</v>
      </c>
      <c r="P88" s="344">
        <v>0</v>
      </c>
      <c r="Q88" s="344">
        <v>0</v>
      </c>
      <c r="R88" s="344">
        <v>0</v>
      </c>
      <c r="S88" s="344">
        <v>0</v>
      </c>
      <c r="T88" s="344">
        <v>0</v>
      </c>
      <c r="U88" s="344">
        <v>0</v>
      </c>
      <c r="V88" s="344">
        <v>0</v>
      </c>
      <c r="W88" s="344">
        <v>0</v>
      </c>
      <c r="X88" s="344">
        <v>0</v>
      </c>
      <c r="Y88" s="344">
        <v>0</v>
      </c>
      <c r="Z88" s="344">
        <v>0</v>
      </c>
      <c r="AA88" s="344">
        <v>0</v>
      </c>
      <c r="AB88" s="344">
        <v>0</v>
      </c>
      <c r="AC88" s="344">
        <v>0</v>
      </c>
      <c r="AD88" s="344">
        <v>0</v>
      </c>
      <c r="AE88" s="344">
        <v>0</v>
      </c>
      <c r="AF88" s="344">
        <v>0</v>
      </c>
    </row>
    <row r="89" spans="1:32" ht="30" x14ac:dyDescent="0.25">
      <c r="A89" s="363"/>
      <c r="B89" s="341" t="s">
        <v>488</v>
      </c>
      <c r="C89" s="342" t="s">
        <v>146</v>
      </c>
      <c r="D89" s="344">
        <v>0</v>
      </c>
      <c r="E89" s="344">
        <v>0</v>
      </c>
      <c r="F89" s="344">
        <v>0</v>
      </c>
      <c r="G89" s="344">
        <v>0</v>
      </c>
      <c r="H89" s="344">
        <v>0</v>
      </c>
      <c r="I89" s="344">
        <v>0</v>
      </c>
      <c r="J89" s="344">
        <v>0</v>
      </c>
      <c r="K89" s="344">
        <v>0</v>
      </c>
      <c r="L89" s="344">
        <v>0</v>
      </c>
      <c r="M89" s="344">
        <v>0</v>
      </c>
      <c r="N89" s="344">
        <v>0</v>
      </c>
      <c r="O89" s="344">
        <v>0</v>
      </c>
      <c r="P89" s="344">
        <v>0</v>
      </c>
      <c r="Q89" s="344">
        <v>0</v>
      </c>
      <c r="R89" s="344">
        <v>0</v>
      </c>
      <c r="S89" s="344">
        <v>0</v>
      </c>
      <c r="T89" s="344">
        <v>0</v>
      </c>
      <c r="U89" s="344">
        <v>0</v>
      </c>
      <c r="V89" s="344">
        <v>0</v>
      </c>
      <c r="W89" s="344">
        <v>0</v>
      </c>
      <c r="X89" s="344">
        <v>0</v>
      </c>
      <c r="Y89" s="344">
        <v>0</v>
      </c>
      <c r="Z89" s="344">
        <v>0</v>
      </c>
      <c r="AA89" s="344">
        <v>0</v>
      </c>
      <c r="AB89" s="344">
        <v>0</v>
      </c>
      <c r="AC89" s="344">
        <v>0</v>
      </c>
      <c r="AD89" s="344">
        <v>0</v>
      </c>
      <c r="AE89" s="344">
        <v>0</v>
      </c>
      <c r="AF89" s="344">
        <v>0</v>
      </c>
    </row>
    <row r="90" spans="1:32" x14ac:dyDescent="0.25">
      <c r="A90" s="363"/>
      <c r="B90" s="341" t="s">
        <v>489</v>
      </c>
      <c r="C90" s="342" t="s">
        <v>153</v>
      </c>
      <c r="D90" s="344">
        <v>0</v>
      </c>
      <c r="E90" s="344">
        <v>0</v>
      </c>
      <c r="F90" s="344">
        <v>0</v>
      </c>
      <c r="G90" s="344">
        <v>0</v>
      </c>
      <c r="H90" s="344">
        <v>0</v>
      </c>
      <c r="I90" s="344">
        <v>0</v>
      </c>
      <c r="J90" s="344">
        <v>0</v>
      </c>
      <c r="K90" s="344">
        <v>0</v>
      </c>
      <c r="L90" s="344">
        <v>0</v>
      </c>
      <c r="M90" s="344">
        <v>0</v>
      </c>
      <c r="N90" s="344">
        <v>0</v>
      </c>
      <c r="O90" s="344">
        <v>0</v>
      </c>
      <c r="P90" s="344">
        <v>0</v>
      </c>
      <c r="Q90" s="344">
        <v>0</v>
      </c>
      <c r="R90" s="344">
        <v>0</v>
      </c>
      <c r="S90" s="344">
        <v>0</v>
      </c>
      <c r="T90" s="344">
        <v>0</v>
      </c>
      <c r="U90" s="344">
        <v>0</v>
      </c>
      <c r="V90" s="344">
        <v>0</v>
      </c>
      <c r="W90" s="344">
        <v>0</v>
      </c>
      <c r="X90" s="344">
        <v>0</v>
      </c>
      <c r="Y90" s="344">
        <v>0</v>
      </c>
      <c r="Z90" s="344">
        <v>0</v>
      </c>
      <c r="AA90" s="344">
        <v>0</v>
      </c>
      <c r="AB90" s="344">
        <v>0</v>
      </c>
      <c r="AC90" s="344">
        <v>0</v>
      </c>
      <c r="AD90" s="344">
        <v>0</v>
      </c>
      <c r="AE90" s="344">
        <v>0</v>
      </c>
      <c r="AF90" s="344">
        <v>0</v>
      </c>
    </row>
    <row r="91" spans="1:32" ht="30" x14ac:dyDescent="0.25">
      <c r="A91" s="363"/>
      <c r="B91" s="341" t="s">
        <v>490</v>
      </c>
      <c r="C91" s="342" t="s">
        <v>154</v>
      </c>
      <c r="D91" s="344">
        <v>0</v>
      </c>
      <c r="E91" s="344">
        <v>0</v>
      </c>
      <c r="F91" s="344">
        <v>0</v>
      </c>
      <c r="G91" s="344">
        <v>0</v>
      </c>
      <c r="H91" s="344">
        <v>0</v>
      </c>
      <c r="I91" s="344">
        <v>0</v>
      </c>
      <c r="J91" s="344">
        <v>0</v>
      </c>
      <c r="K91" s="344">
        <v>0</v>
      </c>
      <c r="L91" s="344">
        <v>0</v>
      </c>
      <c r="M91" s="344">
        <v>0</v>
      </c>
      <c r="N91" s="344">
        <v>0</v>
      </c>
      <c r="O91" s="344">
        <v>0</v>
      </c>
      <c r="P91" s="344">
        <v>0</v>
      </c>
      <c r="Q91" s="344">
        <v>0</v>
      </c>
      <c r="R91" s="344">
        <v>0</v>
      </c>
      <c r="S91" s="344">
        <v>0</v>
      </c>
      <c r="T91" s="344">
        <v>0</v>
      </c>
      <c r="U91" s="344">
        <v>0</v>
      </c>
      <c r="V91" s="344">
        <v>0</v>
      </c>
      <c r="W91" s="344">
        <v>0</v>
      </c>
      <c r="X91" s="344">
        <v>0</v>
      </c>
      <c r="Y91" s="344">
        <v>0</v>
      </c>
      <c r="Z91" s="344">
        <v>0</v>
      </c>
      <c r="AA91" s="344">
        <v>0</v>
      </c>
      <c r="AB91" s="344">
        <v>0</v>
      </c>
      <c r="AC91" s="344">
        <v>0</v>
      </c>
      <c r="AD91" s="344">
        <v>0</v>
      </c>
      <c r="AE91" s="344">
        <v>0</v>
      </c>
      <c r="AF91" s="344">
        <v>0</v>
      </c>
    </row>
    <row r="92" spans="1:32" x14ac:dyDescent="0.25">
      <c r="A92" s="363"/>
      <c r="B92" s="341" t="s">
        <v>491</v>
      </c>
      <c r="C92" s="342" t="s">
        <v>155</v>
      </c>
      <c r="D92" s="344">
        <v>0</v>
      </c>
      <c r="E92" s="344">
        <v>0</v>
      </c>
      <c r="F92" s="344">
        <v>0</v>
      </c>
      <c r="G92" s="344">
        <v>0</v>
      </c>
      <c r="H92" s="344">
        <v>0</v>
      </c>
      <c r="I92" s="344">
        <v>0</v>
      </c>
      <c r="J92" s="344">
        <v>0</v>
      </c>
      <c r="K92" s="344">
        <v>0</v>
      </c>
      <c r="L92" s="344">
        <v>0</v>
      </c>
      <c r="M92" s="344">
        <v>0</v>
      </c>
      <c r="N92" s="344">
        <v>0</v>
      </c>
      <c r="O92" s="344">
        <v>0</v>
      </c>
      <c r="P92" s="344">
        <v>0</v>
      </c>
      <c r="Q92" s="344">
        <v>0</v>
      </c>
      <c r="R92" s="344">
        <v>0</v>
      </c>
      <c r="S92" s="344">
        <v>0</v>
      </c>
      <c r="T92" s="344">
        <v>0</v>
      </c>
      <c r="U92" s="344">
        <v>0</v>
      </c>
      <c r="V92" s="344">
        <v>0</v>
      </c>
      <c r="W92" s="344">
        <v>0</v>
      </c>
      <c r="X92" s="344">
        <v>0</v>
      </c>
      <c r="Y92" s="344">
        <v>0</v>
      </c>
      <c r="Z92" s="344">
        <v>0</v>
      </c>
      <c r="AA92" s="344">
        <v>0</v>
      </c>
      <c r="AB92" s="344">
        <v>0</v>
      </c>
      <c r="AC92" s="344">
        <v>0</v>
      </c>
      <c r="AD92" s="344">
        <v>0</v>
      </c>
      <c r="AE92" s="344">
        <v>0</v>
      </c>
      <c r="AF92" s="344">
        <v>0</v>
      </c>
    </row>
    <row r="93" spans="1:32" ht="30" x14ac:dyDescent="0.25">
      <c r="A93" s="363"/>
      <c r="B93" s="341" t="s">
        <v>492</v>
      </c>
      <c r="C93" s="342" t="s">
        <v>156</v>
      </c>
      <c r="D93" s="344">
        <v>0</v>
      </c>
      <c r="E93" s="344">
        <v>0</v>
      </c>
      <c r="F93" s="344">
        <v>0</v>
      </c>
      <c r="G93" s="344">
        <v>0</v>
      </c>
      <c r="H93" s="344">
        <v>0</v>
      </c>
      <c r="I93" s="344">
        <v>0</v>
      </c>
      <c r="J93" s="344">
        <v>0</v>
      </c>
      <c r="K93" s="344">
        <v>0</v>
      </c>
      <c r="L93" s="344">
        <v>0</v>
      </c>
      <c r="M93" s="344">
        <v>0</v>
      </c>
      <c r="N93" s="344">
        <v>0</v>
      </c>
      <c r="O93" s="344">
        <v>0</v>
      </c>
      <c r="P93" s="344">
        <v>0</v>
      </c>
      <c r="Q93" s="344">
        <v>0</v>
      </c>
      <c r="R93" s="344">
        <v>0</v>
      </c>
      <c r="S93" s="344">
        <v>0</v>
      </c>
      <c r="T93" s="344">
        <v>0</v>
      </c>
      <c r="U93" s="344">
        <v>0</v>
      </c>
      <c r="V93" s="344">
        <v>0</v>
      </c>
      <c r="W93" s="344">
        <v>0</v>
      </c>
      <c r="X93" s="344">
        <v>0</v>
      </c>
      <c r="Y93" s="344">
        <v>0</v>
      </c>
      <c r="Z93" s="344">
        <v>0</v>
      </c>
      <c r="AA93" s="344">
        <v>0</v>
      </c>
      <c r="AB93" s="344">
        <v>0</v>
      </c>
      <c r="AC93" s="344">
        <v>0</v>
      </c>
      <c r="AD93" s="344">
        <v>0</v>
      </c>
      <c r="AE93" s="344">
        <v>0</v>
      </c>
      <c r="AF93" s="344">
        <v>0</v>
      </c>
    </row>
    <row r="94" spans="1:32" x14ac:dyDescent="0.25">
      <c r="A94" s="363"/>
      <c r="B94" s="341" t="s">
        <v>493</v>
      </c>
      <c r="C94" s="342" t="s">
        <v>157</v>
      </c>
      <c r="D94" s="344">
        <v>0</v>
      </c>
      <c r="E94" s="344">
        <v>0</v>
      </c>
      <c r="F94" s="344">
        <v>0</v>
      </c>
      <c r="G94" s="344">
        <v>0</v>
      </c>
      <c r="H94" s="344">
        <v>0</v>
      </c>
      <c r="I94" s="344">
        <v>0</v>
      </c>
      <c r="J94" s="344">
        <v>0</v>
      </c>
      <c r="K94" s="344">
        <v>0</v>
      </c>
      <c r="L94" s="344">
        <v>0</v>
      </c>
      <c r="M94" s="344">
        <v>0</v>
      </c>
      <c r="N94" s="344">
        <v>0</v>
      </c>
      <c r="O94" s="344">
        <v>0</v>
      </c>
      <c r="P94" s="344">
        <v>0</v>
      </c>
      <c r="Q94" s="344">
        <v>0</v>
      </c>
      <c r="R94" s="344">
        <v>0</v>
      </c>
      <c r="S94" s="344">
        <v>0</v>
      </c>
      <c r="T94" s="344">
        <v>0</v>
      </c>
      <c r="U94" s="344">
        <v>0</v>
      </c>
      <c r="V94" s="344">
        <v>0</v>
      </c>
      <c r="W94" s="344">
        <v>0</v>
      </c>
      <c r="X94" s="344">
        <v>0</v>
      </c>
      <c r="Y94" s="344">
        <v>0</v>
      </c>
      <c r="Z94" s="344">
        <v>0</v>
      </c>
      <c r="AA94" s="344">
        <v>0</v>
      </c>
      <c r="AB94" s="344">
        <v>0</v>
      </c>
      <c r="AC94" s="344">
        <v>0</v>
      </c>
      <c r="AD94" s="344">
        <v>0</v>
      </c>
      <c r="AE94" s="344">
        <v>0</v>
      </c>
      <c r="AF94" s="344">
        <v>0</v>
      </c>
    </row>
    <row r="95" spans="1:32" ht="30" x14ac:dyDescent="0.25">
      <c r="A95" s="363"/>
      <c r="B95" s="341" t="s">
        <v>494</v>
      </c>
      <c r="C95" s="342" t="s">
        <v>158</v>
      </c>
      <c r="D95" s="344">
        <v>0</v>
      </c>
      <c r="E95" s="344">
        <v>0</v>
      </c>
      <c r="F95" s="344">
        <v>0</v>
      </c>
      <c r="G95" s="344">
        <v>0</v>
      </c>
      <c r="H95" s="344">
        <v>0</v>
      </c>
      <c r="I95" s="344">
        <v>0</v>
      </c>
      <c r="J95" s="344">
        <v>0</v>
      </c>
      <c r="K95" s="344">
        <v>0</v>
      </c>
      <c r="L95" s="344">
        <v>0</v>
      </c>
      <c r="M95" s="344">
        <v>0</v>
      </c>
      <c r="N95" s="344">
        <v>0</v>
      </c>
      <c r="O95" s="344">
        <v>0</v>
      </c>
      <c r="P95" s="344">
        <v>0</v>
      </c>
      <c r="Q95" s="344">
        <v>0</v>
      </c>
      <c r="R95" s="344">
        <v>0</v>
      </c>
      <c r="S95" s="344">
        <v>0</v>
      </c>
      <c r="T95" s="344">
        <v>0</v>
      </c>
      <c r="U95" s="344">
        <v>0</v>
      </c>
      <c r="V95" s="344">
        <v>0</v>
      </c>
      <c r="W95" s="344">
        <v>0</v>
      </c>
      <c r="X95" s="344">
        <v>0</v>
      </c>
      <c r="Y95" s="344">
        <v>0</v>
      </c>
      <c r="Z95" s="344">
        <v>0</v>
      </c>
      <c r="AA95" s="344">
        <v>0</v>
      </c>
      <c r="AB95" s="344">
        <v>0</v>
      </c>
      <c r="AC95" s="344">
        <v>0</v>
      </c>
      <c r="AD95" s="344">
        <v>0</v>
      </c>
      <c r="AE95" s="344">
        <v>0</v>
      </c>
      <c r="AF95" s="344">
        <v>0</v>
      </c>
    </row>
    <row r="96" spans="1:32" x14ac:dyDescent="0.25">
      <c r="A96" s="363"/>
      <c r="B96" s="341" t="s">
        <v>495</v>
      </c>
      <c r="C96" s="342" t="s">
        <v>159</v>
      </c>
      <c r="D96" s="344">
        <v>0</v>
      </c>
      <c r="E96" s="344">
        <v>0</v>
      </c>
      <c r="F96" s="344">
        <v>0</v>
      </c>
      <c r="G96" s="344">
        <v>0</v>
      </c>
      <c r="H96" s="344">
        <v>0</v>
      </c>
      <c r="I96" s="344">
        <v>0</v>
      </c>
      <c r="J96" s="344">
        <v>0</v>
      </c>
      <c r="K96" s="344">
        <v>0</v>
      </c>
      <c r="L96" s="344">
        <v>0</v>
      </c>
      <c r="M96" s="344">
        <v>0</v>
      </c>
      <c r="N96" s="344">
        <v>0</v>
      </c>
      <c r="O96" s="344">
        <v>0</v>
      </c>
      <c r="P96" s="344">
        <v>0</v>
      </c>
      <c r="Q96" s="344">
        <v>0</v>
      </c>
      <c r="R96" s="344">
        <v>0</v>
      </c>
      <c r="S96" s="344">
        <v>0</v>
      </c>
      <c r="T96" s="344">
        <v>0</v>
      </c>
      <c r="U96" s="344">
        <v>0</v>
      </c>
      <c r="V96" s="344">
        <v>0</v>
      </c>
      <c r="W96" s="344">
        <v>0</v>
      </c>
      <c r="X96" s="344">
        <v>0</v>
      </c>
      <c r="Y96" s="344">
        <v>0</v>
      </c>
      <c r="Z96" s="344">
        <v>0</v>
      </c>
      <c r="AA96" s="344">
        <v>0</v>
      </c>
      <c r="AB96" s="344">
        <v>0</v>
      </c>
      <c r="AC96" s="344">
        <v>0</v>
      </c>
      <c r="AD96" s="344">
        <v>0</v>
      </c>
      <c r="AE96" s="344">
        <v>0</v>
      </c>
      <c r="AF96" s="344">
        <v>0</v>
      </c>
    </row>
    <row r="97" spans="1:32" ht="30" x14ac:dyDescent="0.25">
      <c r="A97" s="363"/>
      <c r="B97" s="341" t="s">
        <v>496</v>
      </c>
      <c r="C97" s="342" t="s">
        <v>160</v>
      </c>
      <c r="D97" s="344">
        <v>0</v>
      </c>
      <c r="E97" s="344">
        <v>0</v>
      </c>
      <c r="F97" s="344">
        <v>0</v>
      </c>
      <c r="G97" s="344">
        <v>0</v>
      </c>
      <c r="H97" s="344">
        <v>0</v>
      </c>
      <c r="I97" s="344">
        <v>0</v>
      </c>
      <c r="J97" s="344">
        <v>0</v>
      </c>
      <c r="K97" s="344">
        <v>0</v>
      </c>
      <c r="L97" s="344">
        <v>0</v>
      </c>
      <c r="M97" s="344">
        <v>0</v>
      </c>
      <c r="N97" s="344">
        <v>0</v>
      </c>
      <c r="O97" s="344">
        <v>0</v>
      </c>
      <c r="P97" s="344">
        <v>0</v>
      </c>
      <c r="Q97" s="344">
        <v>0</v>
      </c>
      <c r="R97" s="344">
        <v>0</v>
      </c>
      <c r="S97" s="344">
        <v>0</v>
      </c>
      <c r="T97" s="344">
        <v>0</v>
      </c>
      <c r="U97" s="344">
        <v>0</v>
      </c>
      <c r="V97" s="344">
        <v>0</v>
      </c>
      <c r="W97" s="344">
        <v>0</v>
      </c>
      <c r="X97" s="344">
        <v>0</v>
      </c>
      <c r="Y97" s="344">
        <v>0</v>
      </c>
      <c r="Z97" s="344">
        <v>0</v>
      </c>
      <c r="AA97" s="344">
        <v>0</v>
      </c>
      <c r="AB97" s="344">
        <v>0</v>
      </c>
      <c r="AC97" s="344">
        <v>0</v>
      </c>
      <c r="AD97" s="344">
        <v>0</v>
      </c>
      <c r="AE97" s="344">
        <v>0</v>
      </c>
      <c r="AF97" s="344">
        <v>0</v>
      </c>
    </row>
    <row r="98" spans="1:32" x14ac:dyDescent="0.25">
      <c r="A98" s="363"/>
      <c r="B98" s="341" t="s">
        <v>497</v>
      </c>
      <c r="C98" s="342" t="s">
        <v>161</v>
      </c>
      <c r="D98" s="344">
        <v>0</v>
      </c>
      <c r="E98" s="344">
        <v>0</v>
      </c>
      <c r="F98" s="344">
        <v>0</v>
      </c>
      <c r="G98" s="344">
        <v>0</v>
      </c>
      <c r="H98" s="344">
        <v>0</v>
      </c>
      <c r="I98" s="344">
        <v>0</v>
      </c>
      <c r="J98" s="344">
        <v>0</v>
      </c>
      <c r="K98" s="344">
        <v>0</v>
      </c>
      <c r="L98" s="344">
        <v>0</v>
      </c>
      <c r="M98" s="344">
        <v>0</v>
      </c>
      <c r="N98" s="344">
        <v>0</v>
      </c>
      <c r="O98" s="344">
        <v>0</v>
      </c>
      <c r="P98" s="344">
        <v>0</v>
      </c>
      <c r="Q98" s="344">
        <v>0</v>
      </c>
      <c r="R98" s="344">
        <v>0</v>
      </c>
      <c r="S98" s="344">
        <v>0</v>
      </c>
      <c r="T98" s="344">
        <v>0</v>
      </c>
      <c r="U98" s="344">
        <v>0</v>
      </c>
      <c r="V98" s="344">
        <v>0</v>
      </c>
      <c r="W98" s="344">
        <v>0</v>
      </c>
      <c r="X98" s="344">
        <v>0</v>
      </c>
      <c r="Y98" s="344">
        <v>0</v>
      </c>
      <c r="Z98" s="344">
        <v>0</v>
      </c>
      <c r="AA98" s="344">
        <v>0</v>
      </c>
      <c r="AB98" s="344">
        <v>0</v>
      </c>
      <c r="AC98" s="344">
        <v>0</v>
      </c>
      <c r="AD98" s="344">
        <v>0</v>
      </c>
      <c r="AE98" s="344">
        <v>0</v>
      </c>
      <c r="AF98" s="344">
        <v>0</v>
      </c>
    </row>
    <row r="99" spans="1:32" ht="30" x14ac:dyDescent="0.25">
      <c r="A99" s="363"/>
      <c r="B99" s="341" t="s">
        <v>498</v>
      </c>
      <c r="C99" s="342" t="s">
        <v>162</v>
      </c>
      <c r="D99" s="344">
        <v>0</v>
      </c>
      <c r="E99" s="344">
        <v>0</v>
      </c>
      <c r="F99" s="344">
        <v>0</v>
      </c>
      <c r="G99" s="344">
        <v>0</v>
      </c>
      <c r="H99" s="344">
        <v>0</v>
      </c>
      <c r="I99" s="344">
        <v>0</v>
      </c>
      <c r="J99" s="344">
        <v>0</v>
      </c>
      <c r="K99" s="344">
        <v>0</v>
      </c>
      <c r="L99" s="344">
        <v>0</v>
      </c>
      <c r="M99" s="344">
        <v>0</v>
      </c>
      <c r="N99" s="344">
        <v>0</v>
      </c>
      <c r="O99" s="344">
        <v>0</v>
      </c>
      <c r="P99" s="344">
        <v>0</v>
      </c>
      <c r="Q99" s="344">
        <v>0</v>
      </c>
      <c r="R99" s="344">
        <v>0</v>
      </c>
      <c r="S99" s="344">
        <v>0</v>
      </c>
      <c r="T99" s="344">
        <v>0</v>
      </c>
      <c r="U99" s="344">
        <v>0</v>
      </c>
      <c r="V99" s="344">
        <v>0</v>
      </c>
      <c r="W99" s="344">
        <v>0</v>
      </c>
      <c r="X99" s="344">
        <v>0</v>
      </c>
      <c r="Y99" s="344">
        <v>0</v>
      </c>
      <c r="Z99" s="344">
        <v>0</v>
      </c>
      <c r="AA99" s="344">
        <v>0</v>
      </c>
      <c r="AB99" s="344">
        <v>0</v>
      </c>
      <c r="AC99" s="344">
        <v>0</v>
      </c>
      <c r="AD99" s="344">
        <v>0</v>
      </c>
      <c r="AE99" s="344">
        <v>0</v>
      </c>
      <c r="AF99" s="344">
        <v>0</v>
      </c>
    </row>
    <row r="100" spans="1:32" x14ac:dyDescent="0.25">
      <c r="A100" s="363"/>
      <c r="B100" s="341" t="s">
        <v>499</v>
      </c>
      <c r="C100" s="342" t="s">
        <v>163</v>
      </c>
      <c r="D100" s="344">
        <v>0</v>
      </c>
      <c r="E100" s="344">
        <v>0</v>
      </c>
      <c r="F100" s="344">
        <v>0</v>
      </c>
      <c r="G100" s="344">
        <v>0</v>
      </c>
      <c r="H100" s="344">
        <v>0</v>
      </c>
      <c r="I100" s="344">
        <v>0</v>
      </c>
      <c r="J100" s="344">
        <v>0</v>
      </c>
      <c r="K100" s="344">
        <v>0</v>
      </c>
      <c r="L100" s="344">
        <v>0</v>
      </c>
      <c r="M100" s="344">
        <v>0</v>
      </c>
      <c r="N100" s="344">
        <v>0</v>
      </c>
      <c r="O100" s="344">
        <v>0</v>
      </c>
      <c r="P100" s="344">
        <v>0</v>
      </c>
      <c r="Q100" s="344">
        <v>0</v>
      </c>
      <c r="R100" s="344">
        <v>0</v>
      </c>
      <c r="S100" s="344">
        <v>0</v>
      </c>
      <c r="T100" s="344">
        <v>0</v>
      </c>
      <c r="U100" s="344">
        <v>0</v>
      </c>
      <c r="V100" s="344">
        <v>0</v>
      </c>
      <c r="W100" s="344">
        <v>0</v>
      </c>
      <c r="X100" s="344">
        <v>0</v>
      </c>
      <c r="Y100" s="344">
        <v>0</v>
      </c>
      <c r="Z100" s="344">
        <v>0</v>
      </c>
      <c r="AA100" s="344">
        <v>0</v>
      </c>
      <c r="AB100" s="344">
        <v>0</v>
      </c>
      <c r="AC100" s="344">
        <v>0</v>
      </c>
      <c r="AD100" s="344">
        <v>0</v>
      </c>
      <c r="AE100" s="344">
        <v>0</v>
      </c>
      <c r="AF100" s="344">
        <v>0</v>
      </c>
    </row>
    <row r="101" spans="1:32" ht="30" x14ac:dyDescent="0.25">
      <c r="A101" s="363"/>
      <c r="B101" s="341" t="s">
        <v>500</v>
      </c>
      <c r="C101" s="342" t="s">
        <v>164</v>
      </c>
      <c r="D101" s="344">
        <v>0</v>
      </c>
      <c r="E101" s="344">
        <v>0</v>
      </c>
      <c r="F101" s="344">
        <v>0</v>
      </c>
      <c r="G101" s="344">
        <v>0</v>
      </c>
      <c r="H101" s="344">
        <v>0</v>
      </c>
      <c r="I101" s="344">
        <v>0</v>
      </c>
      <c r="J101" s="344">
        <v>0</v>
      </c>
      <c r="K101" s="344">
        <v>0</v>
      </c>
      <c r="L101" s="344">
        <v>0</v>
      </c>
      <c r="M101" s="344">
        <v>0</v>
      </c>
      <c r="N101" s="344">
        <v>0</v>
      </c>
      <c r="O101" s="344">
        <v>0</v>
      </c>
      <c r="P101" s="344">
        <v>0</v>
      </c>
      <c r="Q101" s="344">
        <v>0</v>
      </c>
      <c r="R101" s="344">
        <v>0</v>
      </c>
      <c r="S101" s="344">
        <v>0</v>
      </c>
      <c r="T101" s="344">
        <v>0</v>
      </c>
      <c r="U101" s="344">
        <v>0</v>
      </c>
      <c r="V101" s="344">
        <v>0</v>
      </c>
      <c r="W101" s="344">
        <v>0</v>
      </c>
      <c r="X101" s="344">
        <v>0</v>
      </c>
      <c r="Y101" s="344">
        <v>0</v>
      </c>
      <c r="Z101" s="344">
        <v>0</v>
      </c>
      <c r="AA101" s="344">
        <v>0</v>
      </c>
      <c r="AB101" s="344">
        <v>0</v>
      </c>
      <c r="AC101" s="344">
        <v>0</v>
      </c>
      <c r="AD101" s="344">
        <v>0</v>
      </c>
      <c r="AE101" s="344">
        <v>0</v>
      </c>
      <c r="AF101" s="344">
        <v>0</v>
      </c>
    </row>
    <row r="102" spans="1:32" ht="30" x14ac:dyDescent="0.25">
      <c r="A102" s="363"/>
      <c r="B102" s="341" t="s">
        <v>501</v>
      </c>
      <c r="C102" s="342" t="s">
        <v>165</v>
      </c>
      <c r="D102" s="344">
        <v>0</v>
      </c>
      <c r="E102" s="344">
        <v>0</v>
      </c>
      <c r="F102" s="344">
        <v>0</v>
      </c>
      <c r="G102" s="344">
        <v>0</v>
      </c>
      <c r="H102" s="344">
        <v>0</v>
      </c>
      <c r="I102" s="344">
        <v>0</v>
      </c>
      <c r="J102" s="344">
        <v>0</v>
      </c>
      <c r="K102" s="344">
        <v>0</v>
      </c>
      <c r="L102" s="344">
        <v>0</v>
      </c>
      <c r="M102" s="344">
        <v>0</v>
      </c>
      <c r="N102" s="344">
        <v>0</v>
      </c>
      <c r="O102" s="344">
        <v>0</v>
      </c>
      <c r="P102" s="344">
        <v>0</v>
      </c>
      <c r="Q102" s="344">
        <v>0</v>
      </c>
      <c r="R102" s="344">
        <v>0</v>
      </c>
      <c r="S102" s="344">
        <v>0</v>
      </c>
      <c r="T102" s="344">
        <v>0</v>
      </c>
      <c r="U102" s="344">
        <v>0</v>
      </c>
      <c r="V102" s="344">
        <v>0</v>
      </c>
      <c r="W102" s="344">
        <v>0</v>
      </c>
      <c r="X102" s="344">
        <v>0</v>
      </c>
      <c r="Y102" s="344">
        <v>0</v>
      </c>
      <c r="Z102" s="344">
        <v>0</v>
      </c>
      <c r="AA102" s="344">
        <v>0</v>
      </c>
      <c r="AB102" s="344">
        <v>0</v>
      </c>
      <c r="AC102" s="344">
        <v>0</v>
      </c>
      <c r="AD102" s="344">
        <v>0</v>
      </c>
      <c r="AE102" s="344">
        <v>0</v>
      </c>
      <c r="AF102" s="344">
        <v>0</v>
      </c>
    </row>
    <row r="103" spans="1:32" ht="30" x14ac:dyDescent="0.25">
      <c r="A103" s="363"/>
      <c r="B103" s="341" t="s">
        <v>502</v>
      </c>
      <c r="C103" s="342" t="s">
        <v>148</v>
      </c>
      <c r="D103" s="344">
        <v>0</v>
      </c>
      <c r="E103" s="344">
        <v>0</v>
      </c>
      <c r="F103" s="344">
        <v>0</v>
      </c>
      <c r="G103" s="344">
        <v>0</v>
      </c>
      <c r="H103" s="344">
        <v>0</v>
      </c>
      <c r="I103" s="344">
        <v>0</v>
      </c>
      <c r="J103" s="344">
        <v>0</v>
      </c>
      <c r="K103" s="344">
        <v>0</v>
      </c>
      <c r="L103" s="344">
        <v>0</v>
      </c>
      <c r="M103" s="344">
        <v>0</v>
      </c>
      <c r="N103" s="344">
        <v>0</v>
      </c>
      <c r="O103" s="344">
        <v>0</v>
      </c>
      <c r="P103" s="344">
        <v>0</v>
      </c>
      <c r="Q103" s="344">
        <v>0</v>
      </c>
      <c r="R103" s="344">
        <v>0</v>
      </c>
      <c r="S103" s="344">
        <v>0</v>
      </c>
      <c r="T103" s="344">
        <v>0</v>
      </c>
      <c r="U103" s="344">
        <v>0</v>
      </c>
      <c r="V103" s="344">
        <v>0</v>
      </c>
      <c r="W103" s="344">
        <v>0</v>
      </c>
      <c r="X103" s="344">
        <v>0</v>
      </c>
      <c r="Y103" s="344">
        <v>0</v>
      </c>
      <c r="Z103" s="344">
        <v>0</v>
      </c>
      <c r="AA103" s="344">
        <v>0</v>
      </c>
      <c r="AB103" s="344">
        <v>0</v>
      </c>
      <c r="AC103" s="344">
        <v>0</v>
      </c>
      <c r="AD103" s="344">
        <v>0</v>
      </c>
      <c r="AE103" s="344">
        <v>0</v>
      </c>
      <c r="AF103" s="344">
        <v>0</v>
      </c>
    </row>
    <row r="104" spans="1:32" ht="30" x14ac:dyDescent="0.25">
      <c r="A104" s="363"/>
      <c r="B104" s="341" t="s">
        <v>503</v>
      </c>
      <c r="C104" s="342" t="s">
        <v>149</v>
      </c>
      <c r="D104" s="344">
        <v>0</v>
      </c>
      <c r="E104" s="344">
        <v>0</v>
      </c>
      <c r="F104" s="344">
        <v>0</v>
      </c>
      <c r="G104" s="344">
        <v>0</v>
      </c>
      <c r="H104" s="344">
        <v>0</v>
      </c>
      <c r="I104" s="344">
        <v>0</v>
      </c>
      <c r="J104" s="344">
        <v>0</v>
      </c>
      <c r="K104" s="344">
        <v>0</v>
      </c>
      <c r="L104" s="344">
        <v>0</v>
      </c>
      <c r="M104" s="344">
        <v>0</v>
      </c>
      <c r="N104" s="344">
        <v>0</v>
      </c>
      <c r="O104" s="344">
        <v>0</v>
      </c>
      <c r="P104" s="344">
        <v>0</v>
      </c>
      <c r="Q104" s="344">
        <v>0</v>
      </c>
      <c r="R104" s="344">
        <v>0</v>
      </c>
      <c r="S104" s="344">
        <v>0</v>
      </c>
      <c r="T104" s="344">
        <v>0</v>
      </c>
      <c r="U104" s="344">
        <v>0</v>
      </c>
      <c r="V104" s="344">
        <v>0</v>
      </c>
      <c r="W104" s="344">
        <v>0</v>
      </c>
      <c r="X104" s="344">
        <v>0</v>
      </c>
      <c r="Y104" s="344">
        <v>0</v>
      </c>
      <c r="Z104" s="344">
        <v>0</v>
      </c>
      <c r="AA104" s="344">
        <v>0</v>
      </c>
      <c r="AB104" s="344">
        <v>0</v>
      </c>
      <c r="AC104" s="344">
        <v>0</v>
      </c>
      <c r="AD104" s="344">
        <v>0</v>
      </c>
      <c r="AE104" s="344">
        <v>0</v>
      </c>
      <c r="AF104" s="344">
        <v>0</v>
      </c>
    </row>
    <row r="105" spans="1:32" ht="30" x14ac:dyDescent="0.25">
      <c r="A105" s="363"/>
      <c r="B105" s="341" t="s">
        <v>504</v>
      </c>
      <c r="C105" s="342" t="s">
        <v>150</v>
      </c>
      <c r="D105" s="344">
        <v>0</v>
      </c>
      <c r="E105" s="344">
        <v>0</v>
      </c>
      <c r="F105" s="344">
        <v>0</v>
      </c>
      <c r="G105" s="344">
        <v>0</v>
      </c>
      <c r="H105" s="344">
        <v>0</v>
      </c>
      <c r="I105" s="344">
        <v>0</v>
      </c>
      <c r="J105" s="344">
        <v>0</v>
      </c>
      <c r="K105" s="344">
        <v>0</v>
      </c>
      <c r="L105" s="344">
        <v>0</v>
      </c>
      <c r="M105" s="344">
        <v>0</v>
      </c>
      <c r="N105" s="344">
        <v>0</v>
      </c>
      <c r="O105" s="344">
        <v>0</v>
      </c>
      <c r="P105" s="344">
        <v>0</v>
      </c>
      <c r="Q105" s="344">
        <v>0</v>
      </c>
      <c r="R105" s="344">
        <v>0</v>
      </c>
      <c r="S105" s="344">
        <v>0</v>
      </c>
      <c r="T105" s="344">
        <v>0</v>
      </c>
      <c r="U105" s="344">
        <v>0</v>
      </c>
      <c r="V105" s="344">
        <v>0</v>
      </c>
      <c r="W105" s="344">
        <v>0</v>
      </c>
      <c r="X105" s="344">
        <v>0</v>
      </c>
      <c r="Y105" s="344">
        <v>0</v>
      </c>
      <c r="Z105" s="344">
        <v>0</v>
      </c>
      <c r="AA105" s="344">
        <v>0</v>
      </c>
      <c r="AB105" s="344">
        <v>0</v>
      </c>
      <c r="AC105" s="344">
        <v>0</v>
      </c>
      <c r="AD105" s="344">
        <v>0</v>
      </c>
      <c r="AE105" s="344">
        <v>0</v>
      </c>
      <c r="AF105" s="344">
        <v>0</v>
      </c>
    </row>
    <row r="106" spans="1:32" ht="30" x14ac:dyDescent="0.25">
      <c r="A106" s="363"/>
      <c r="B106" s="341" t="s">
        <v>505</v>
      </c>
      <c r="C106" s="342" t="s">
        <v>151</v>
      </c>
      <c r="D106" s="344">
        <v>0</v>
      </c>
      <c r="E106" s="344">
        <v>0</v>
      </c>
      <c r="F106" s="344">
        <v>0</v>
      </c>
      <c r="G106" s="344">
        <v>0</v>
      </c>
      <c r="H106" s="344">
        <v>0</v>
      </c>
      <c r="I106" s="344">
        <v>0</v>
      </c>
      <c r="J106" s="344">
        <v>0</v>
      </c>
      <c r="K106" s="344">
        <v>0</v>
      </c>
      <c r="L106" s="344">
        <v>0</v>
      </c>
      <c r="M106" s="344">
        <v>0</v>
      </c>
      <c r="N106" s="344">
        <v>0</v>
      </c>
      <c r="O106" s="344">
        <v>0</v>
      </c>
      <c r="P106" s="344">
        <v>0</v>
      </c>
      <c r="Q106" s="344">
        <v>0</v>
      </c>
      <c r="R106" s="344">
        <v>0</v>
      </c>
      <c r="S106" s="344">
        <v>0</v>
      </c>
      <c r="T106" s="344">
        <v>0</v>
      </c>
      <c r="U106" s="344">
        <v>0</v>
      </c>
      <c r="V106" s="344">
        <v>0</v>
      </c>
      <c r="W106" s="344">
        <v>0</v>
      </c>
      <c r="X106" s="344">
        <v>0</v>
      </c>
      <c r="Y106" s="344">
        <v>0</v>
      </c>
      <c r="Z106" s="344">
        <v>0</v>
      </c>
      <c r="AA106" s="344">
        <v>0</v>
      </c>
      <c r="AB106" s="344">
        <v>0</v>
      </c>
      <c r="AC106" s="344">
        <v>0</v>
      </c>
      <c r="AD106" s="344">
        <v>0</v>
      </c>
      <c r="AE106" s="344">
        <v>0</v>
      </c>
      <c r="AF106" s="344">
        <v>0</v>
      </c>
    </row>
    <row r="107" spans="1:32" ht="30" x14ac:dyDescent="0.25">
      <c r="A107" s="363"/>
      <c r="B107" s="341" t="s">
        <v>506</v>
      </c>
      <c r="C107" s="342" t="s">
        <v>131</v>
      </c>
      <c r="D107" s="344">
        <v>145311</v>
      </c>
      <c r="E107" s="344">
        <v>0</v>
      </c>
      <c r="F107" s="344">
        <v>0</v>
      </c>
      <c r="G107" s="344">
        <v>316692</v>
      </c>
      <c r="H107" s="344">
        <v>0</v>
      </c>
      <c r="I107" s="344">
        <v>0</v>
      </c>
      <c r="J107" s="344">
        <v>0</v>
      </c>
      <c r="K107" s="344">
        <v>0</v>
      </c>
      <c r="L107" s="344">
        <v>0</v>
      </c>
      <c r="M107" s="344">
        <v>397173</v>
      </c>
      <c r="N107" s="344">
        <v>0</v>
      </c>
      <c r="O107" s="344">
        <v>0</v>
      </c>
      <c r="P107" s="344">
        <v>0</v>
      </c>
      <c r="Q107" s="344">
        <v>0</v>
      </c>
      <c r="R107" s="344">
        <v>0</v>
      </c>
      <c r="S107" s="344">
        <v>0</v>
      </c>
      <c r="T107" s="344">
        <v>0</v>
      </c>
      <c r="U107" s="344">
        <v>0</v>
      </c>
      <c r="V107" s="344">
        <v>0</v>
      </c>
      <c r="W107" s="344">
        <v>0</v>
      </c>
      <c r="X107" s="344">
        <v>0</v>
      </c>
      <c r="Y107" s="344">
        <v>0</v>
      </c>
      <c r="Z107" s="344">
        <v>0</v>
      </c>
      <c r="AA107" s="344">
        <v>0</v>
      </c>
      <c r="AB107" s="344">
        <v>0</v>
      </c>
      <c r="AC107" s="344">
        <v>0</v>
      </c>
      <c r="AD107" s="344">
        <v>0</v>
      </c>
      <c r="AE107" s="344">
        <v>9270</v>
      </c>
      <c r="AF107" s="344">
        <v>0</v>
      </c>
    </row>
    <row r="108" spans="1:32" ht="30" x14ac:dyDescent="0.25">
      <c r="A108" s="363">
        <v>533</v>
      </c>
      <c r="B108" s="341" t="s">
        <v>507</v>
      </c>
      <c r="C108" s="342" t="s">
        <v>177</v>
      </c>
      <c r="D108" s="344">
        <v>0</v>
      </c>
      <c r="E108" s="344">
        <v>0</v>
      </c>
      <c r="F108" s="344">
        <v>0</v>
      </c>
      <c r="G108" s="344">
        <v>0</v>
      </c>
      <c r="H108" s="344">
        <v>0</v>
      </c>
      <c r="I108" s="344">
        <v>0</v>
      </c>
      <c r="J108" s="344">
        <v>0</v>
      </c>
      <c r="K108" s="344">
        <v>0</v>
      </c>
      <c r="L108" s="344">
        <v>0</v>
      </c>
      <c r="M108" s="344">
        <v>0</v>
      </c>
      <c r="N108" s="344">
        <v>0</v>
      </c>
      <c r="O108" s="344">
        <v>0</v>
      </c>
      <c r="P108" s="344">
        <v>0</v>
      </c>
      <c r="Q108" s="344">
        <v>0</v>
      </c>
      <c r="R108" s="344">
        <v>0</v>
      </c>
      <c r="S108" s="344">
        <v>0</v>
      </c>
      <c r="T108" s="344">
        <v>0</v>
      </c>
      <c r="U108" s="344">
        <v>0</v>
      </c>
      <c r="V108" s="344">
        <v>0</v>
      </c>
      <c r="W108" s="344">
        <v>0</v>
      </c>
      <c r="X108" s="344">
        <v>0</v>
      </c>
      <c r="Y108" s="344">
        <v>0</v>
      </c>
      <c r="Z108" s="344">
        <v>0</v>
      </c>
      <c r="AA108" s="344">
        <v>0</v>
      </c>
      <c r="AB108" s="344">
        <v>0</v>
      </c>
      <c r="AC108" s="344">
        <v>0</v>
      </c>
      <c r="AD108" s="344">
        <v>0</v>
      </c>
      <c r="AE108" s="344">
        <v>0</v>
      </c>
      <c r="AF108" s="344">
        <v>0</v>
      </c>
    </row>
    <row r="109" spans="1:32" ht="45" x14ac:dyDescent="0.25">
      <c r="A109" s="359">
        <v>534</v>
      </c>
      <c r="B109" s="341" t="s">
        <v>508</v>
      </c>
      <c r="C109" s="342" t="s">
        <v>152</v>
      </c>
      <c r="D109" s="344">
        <v>0</v>
      </c>
      <c r="E109" s="344">
        <v>128745</v>
      </c>
      <c r="F109" s="344">
        <v>0</v>
      </c>
      <c r="G109" s="344">
        <v>0</v>
      </c>
      <c r="H109" s="344">
        <v>58061</v>
      </c>
      <c r="I109" s="344">
        <v>8761</v>
      </c>
      <c r="J109" s="344">
        <v>42381</v>
      </c>
      <c r="K109" s="344">
        <v>0</v>
      </c>
      <c r="L109" s="344">
        <v>99756</v>
      </c>
      <c r="M109" s="344">
        <v>0</v>
      </c>
      <c r="N109" s="344">
        <v>59262</v>
      </c>
      <c r="O109" s="344">
        <v>0</v>
      </c>
      <c r="P109" s="344">
        <v>0</v>
      </c>
      <c r="Q109" s="344">
        <v>37715</v>
      </c>
      <c r="R109" s="344">
        <v>31045</v>
      </c>
      <c r="S109" s="344">
        <v>44743</v>
      </c>
      <c r="T109" s="344">
        <v>43368</v>
      </c>
      <c r="U109" s="344">
        <v>0</v>
      </c>
      <c r="V109" s="344">
        <v>74428</v>
      </c>
      <c r="W109" s="344">
        <v>0</v>
      </c>
      <c r="X109" s="344">
        <v>419583</v>
      </c>
      <c r="Y109" s="344">
        <v>222077</v>
      </c>
      <c r="Z109" s="344">
        <v>105151</v>
      </c>
      <c r="AA109" s="344">
        <v>0</v>
      </c>
      <c r="AB109" s="344">
        <v>36102</v>
      </c>
      <c r="AC109" s="344">
        <v>0</v>
      </c>
      <c r="AD109" s="344">
        <v>50192</v>
      </c>
      <c r="AE109" s="344">
        <v>0</v>
      </c>
      <c r="AF109" s="344">
        <v>4673</v>
      </c>
    </row>
    <row r="110" spans="1:32" ht="30" x14ac:dyDescent="0.25">
      <c r="B110" s="341" t="s">
        <v>509</v>
      </c>
      <c r="C110" s="342" t="s">
        <v>274</v>
      </c>
      <c r="D110" s="344">
        <v>0</v>
      </c>
      <c r="E110" s="344">
        <v>0</v>
      </c>
      <c r="F110" s="344">
        <v>0</v>
      </c>
      <c r="G110" s="344">
        <v>0</v>
      </c>
      <c r="H110" s="344">
        <v>0</v>
      </c>
      <c r="I110" s="344">
        <v>0</v>
      </c>
      <c r="J110" s="344">
        <v>0</v>
      </c>
      <c r="K110" s="344">
        <v>0</v>
      </c>
      <c r="L110" s="344">
        <v>0</v>
      </c>
      <c r="M110" s="344">
        <v>0</v>
      </c>
      <c r="N110" s="344">
        <v>0</v>
      </c>
      <c r="O110" s="344">
        <v>0</v>
      </c>
      <c r="P110" s="344">
        <v>0</v>
      </c>
      <c r="Q110" s="344">
        <v>0</v>
      </c>
      <c r="R110" s="344">
        <v>0</v>
      </c>
      <c r="S110" s="344">
        <v>0</v>
      </c>
      <c r="T110" s="344">
        <v>0</v>
      </c>
      <c r="U110" s="344">
        <v>0</v>
      </c>
      <c r="V110" s="344">
        <v>0</v>
      </c>
      <c r="W110" s="344">
        <v>0</v>
      </c>
      <c r="X110" s="344">
        <v>0</v>
      </c>
      <c r="Y110" s="344">
        <v>0</v>
      </c>
      <c r="Z110" s="344">
        <v>0</v>
      </c>
      <c r="AA110" s="344">
        <v>0</v>
      </c>
      <c r="AB110" s="344">
        <v>0</v>
      </c>
      <c r="AC110" s="344">
        <v>0</v>
      </c>
      <c r="AD110" s="344">
        <v>0</v>
      </c>
      <c r="AE110" s="344">
        <v>0</v>
      </c>
      <c r="AF110" s="344">
        <v>0</v>
      </c>
    </row>
    <row r="111" spans="1:32" ht="30" x14ac:dyDescent="0.25">
      <c r="A111" s="363">
        <v>536</v>
      </c>
      <c r="B111" s="341" t="s">
        <v>510</v>
      </c>
      <c r="C111" s="342" t="s">
        <v>126</v>
      </c>
      <c r="D111" s="344">
        <v>0</v>
      </c>
      <c r="E111" s="344">
        <v>0</v>
      </c>
      <c r="F111" s="344">
        <v>0</v>
      </c>
      <c r="G111" s="344">
        <v>0</v>
      </c>
      <c r="H111" s="344">
        <v>0</v>
      </c>
      <c r="I111" s="344">
        <v>0</v>
      </c>
      <c r="J111" s="344">
        <v>0</v>
      </c>
      <c r="K111" s="344">
        <v>0</v>
      </c>
      <c r="L111" s="344">
        <v>0</v>
      </c>
      <c r="M111" s="344">
        <v>1230</v>
      </c>
      <c r="N111" s="344">
        <v>0</v>
      </c>
      <c r="O111" s="344">
        <v>0</v>
      </c>
      <c r="P111" s="344">
        <v>0</v>
      </c>
      <c r="Q111" s="344">
        <v>0</v>
      </c>
      <c r="R111" s="344">
        <v>0</v>
      </c>
      <c r="S111" s="344">
        <v>0</v>
      </c>
      <c r="T111" s="344">
        <v>0</v>
      </c>
      <c r="U111" s="344">
        <v>0</v>
      </c>
      <c r="V111" s="344">
        <v>0</v>
      </c>
      <c r="W111" s="344">
        <v>0</v>
      </c>
      <c r="X111" s="344">
        <v>0</v>
      </c>
      <c r="Y111" s="344">
        <v>0</v>
      </c>
      <c r="Z111" s="344">
        <v>0</v>
      </c>
      <c r="AA111" s="344">
        <v>0</v>
      </c>
      <c r="AB111" s="344">
        <v>0</v>
      </c>
      <c r="AC111" s="344">
        <v>0</v>
      </c>
      <c r="AD111" s="344">
        <v>0</v>
      </c>
      <c r="AE111" s="344">
        <v>0</v>
      </c>
      <c r="AF111" s="344">
        <v>0</v>
      </c>
    </row>
    <row r="112" spans="1:32" x14ac:dyDescent="0.25">
      <c r="A112" s="364"/>
      <c r="B112" s="341" t="s">
        <v>511</v>
      </c>
      <c r="C112" s="342" t="s">
        <v>275</v>
      </c>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c r="AA112" s="344"/>
      <c r="AB112" s="344"/>
      <c r="AC112" s="344"/>
      <c r="AD112" s="344"/>
      <c r="AE112" s="344"/>
      <c r="AF112" s="344"/>
    </row>
    <row r="113" spans="1:32" ht="30" x14ac:dyDescent="0.25">
      <c r="A113" s="364"/>
      <c r="B113" s="341" t="s">
        <v>512</v>
      </c>
      <c r="C113" s="342" t="s">
        <v>276</v>
      </c>
      <c r="D113" s="344"/>
      <c r="E113" s="344"/>
      <c r="F113" s="344"/>
      <c r="G113" s="344"/>
      <c r="H113" s="344"/>
      <c r="I113" s="344"/>
      <c r="J113" s="344"/>
      <c r="K113" s="344"/>
      <c r="L113" s="344"/>
      <c r="M113" s="344"/>
      <c r="N113" s="344"/>
      <c r="O113" s="344"/>
      <c r="P113" s="344"/>
      <c r="Q113" s="344"/>
      <c r="R113" s="344"/>
      <c r="S113" s="344"/>
      <c r="T113" s="344"/>
      <c r="U113" s="344"/>
      <c r="V113" s="344"/>
      <c r="W113" s="344"/>
      <c r="X113" s="344"/>
      <c r="Y113" s="344"/>
      <c r="Z113" s="344"/>
      <c r="AA113" s="344"/>
      <c r="AB113" s="344"/>
      <c r="AC113" s="344"/>
      <c r="AD113" s="344"/>
      <c r="AE113" s="344"/>
      <c r="AF113" s="344"/>
    </row>
    <row r="114" spans="1:32" x14ac:dyDescent="0.25">
      <c r="A114" s="364"/>
      <c r="B114" s="341" t="s">
        <v>513</v>
      </c>
      <c r="C114" s="342" t="s">
        <v>277</v>
      </c>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c r="AC114" s="344"/>
      <c r="AD114" s="344"/>
      <c r="AE114" s="344"/>
      <c r="AF114" s="344"/>
    </row>
    <row r="115" spans="1:32" ht="30" x14ac:dyDescent="0.25">
      <c r="A115" s="364"/>
      <c r="B115" s="341">
        <v>539</v>
      </c>
      <c r="C115" s="342" t="s">
        <v>278</v>
      </c>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c r="AA115" s="344"/>
      <c r="AB115" s="344"/>
      <c r="AC115" s="344"/>
      <c r="AD115" s="344"/>
      <c r="AE115" s="344"/>
      <c r="AF115" s="344"/>
    </row>
    <row r="116" spans="1:32" ht="90" x14ac:dyDescent="0.25">
      <c r="A116" s="359">
        <v>547</v>
      </c>
      <c r="B116" s="341">
        <v>547</v>
      </c>
      <c r="C116" s="342" t="s">
        <v>279</v>
      </c>
      <c r="D116" s="344">
        <v>2</v>
      </c>
      <c r="E116" s="344">
        <v>3</v>
      </c>
      <c r="F116" s="344">
        <v>2</v>
      </c>
      <c r="G116" s="344">
        <v>2</v>
      </c>
      <c r="H116" s="344">
        <v>2</v>
      </c>
      <c r="I116" s="344">
        <v>2</v>
      </c>
      <c r="J116" s="344">
        <v>3</v>
      </c>
      <c r="K116" s="344">
        <v>2</v>
      </c>
      <c r="L116" s="344">
        <v>2</v>
      </c>
      <c r="M116" s="344">
        <v>2</v>
      </c>
      <c r="N116" s="344">
        <v>2</v>
      </c>
      <c r="O116" s="344">
        <v>0</v>
      </c>
      <c r="P116" s="344">
        <v>2</v>
      </c>
      <c r="Q116" s="344">
        <v>3</v>
      </c>
      <c r="R116" s="344">
        <v>1</v>
      </c>
      <c r="S116" s="344">
        <v>2</v>
      </c>
      <c r="T116" s="344">
        <v>2</v>
      </c>
      <c r="U116" s="344">
        <v>2</v>
      </c>
      <c r="V116" s="344">
        <v>3</v>
      </c>
      <c r="W116" s="344">
        <v>2</v>
      </c>
      <c r="X116" s="344">
        <v>3</v>
      </c>
      <c r="Y116" s="344">
        <v>2</v>
      </c>
      <c r="Z116" s="344">
        <v>3</v>
      </c>
      <c r="AA116" s="344">
        <v>0</v>
      </c>
      <c r="AB116" s="344">
        <v>2</v>
      </c>
      <c r="AC116" s="344">
        <v>2</v>
      </c>
      <c r="AD116" s="344">
        <v>2</v>
      </c>
      <c r="AE116" s="344">
        <v>2</v>
      </c>
      <c r="AF116" s="344">
        <v>2</v>
      </c>
    </row>
    <row r="117" spans="1:32" ht="45" x14ac:dyDescent="0.25">
      <c r="B117" s="341">
        <v>549</v>
      </c>
      <c r="C117" s="342" t="s">
        <v>280</v>
      </c>
      <c r="D117" s="344">
        <v>0</v>
      </c>
      <c r="E117" s="344">
        <v>0</v>
      </c>
      <c r="F117" s="344">
        <v>0</v>
      </c>
      <c r="G117" s="344">
        <v>0</v>
      </c>
      <c r="H117" s="344">
        <v>0</v>
      </c>
      <c r="I117" s="344">
        <v>0</v>
      </c>
      <c r="J117" s="344">
        <v>0</v>
      </c>
      <c r="K117" s="344">
        <v>0</v>
      </c>
      <c r="L117" s="344">
        <v>0</v>
      </c>
      <c r="M117" s="344">
        <v>0</v>
      </c>
      <c r="N117" s="344">
        <v>0</v>
      </c>
      <c r="O117" s="344">
        <v>0</v>
      </c>
      <c r="P117" s="344">
        <v>0</v>
      </c>
      <c r="Q117" s="344">
        <v>0</v>
      </c>
      <c r="R117" s="344">
        <v>0</v>
      </c>
      <c r="S117" s="344">
        <v>0</v>
      </c>
      <c r="T117" s="344">
        <v>0</v>
      </c>
      <c r="U117" s="344">
        <v>0</v>
      </c>
      <c r="V117" s="344">
        <v>0</v>
      </c>
      <c r="W117" s="344">
        <v>0</v>
      </c>
      <c r="X117" s="344">
        <v>0</v>
      </c>
      <c r="Y117" s="344">
        <v>0</v>
      </c>
      <c r="Z117" s="344">
        <v>0</v>
      </c>
      <c r="AA117" s="344">
        <v>0</v>
      </c>
      <c r="AB117" s="344">
        <v>0</v>
      </c>
      <c r="AC117" s="344">
        <v>0</v>
      </c>
      <c r="AD117" s="344">
        <v>0</v>
      </c>
      <c r="AE117" s="344">
        <v>0</v>
      </c>
      <c r="AF117" s="344">
        <v>0</v>
      </c>
    </row>
    <row r="118" spans="1:32" ht="64.5" x14ac:dyDescent="0.25">
      <c r="B118" s="341">
        <v>551</v>
      </c>
      <c r="C118" s="365" t="s">
        <v>315</v>
      </c>
      <c r="D118" s="344"/>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row>
    <row r="119" spans="1:32" s="351" customFormat="1" x14ac:dyDescent="0.25">
      <c r="A119" s="363">
        <v>998</v>
      </c>
      <c r="B119" s="351">
        <v>998</v>
      </c>
      <c r="C119" s="352" t="s">
        <v>166</v>
      </c>
      <c r="D119" s="349">
        <v>54</v>
      </c>
      <c r="E119" s="349">
        <v>54</v>
      </c>
      <c r="F119" s="349">
        <v>54</v>
      </c>
      <c r="G119" s="349">
        <v>54</v>
      </c>
      <c r="H119" s="349">
        <v>54</v>
      </c>
      <c r="I119" s="349">
        <v>54</v>
      </c>
      <c r="J119" s="349">
        <v>54</v>
      </c>
      <c r="K119" s="349">
        <v>54</v>
      </c>
      <c r="L119" s="349">
        <v>54</v>
      </c>
      <c r="M119" s="349">
        <v>54</v>
      </c>
      <c r="N119" s="349">
        <v>54</v>
      </c>
      <c r="O119" s="349">
        <v>0</v>
      </c>
      <c r="P119" s="349">
        <v>54</v>
      </c>
      <c r="Q119" s="349">
        <v>54</v>
      </c>
      <c r="R119" s="349">
        <v>54</v>
      </c>
      <c r="S119" s="349">
        <v>54</v>
      </c>
      <c r="T119" s="349">
        <v>54</v>
      </c>
      <c r="U119" s="349">
        <v>54</v>
      </c>
      <c r="V119" s="349">
        <v>54</v>
      </c>
      <c r="W119" s="349">
        <v>54</v>
      </c>
      <c r="X119" s="349">
        <v>54</v>
      </c>
      <c r="Y119" s="349">
        <v>54</v>
      </c>
      <c r="Z119" s="349">
        <v>54</v>
      </c>
      <c r="AA119" s="349">
        <v>0</v>
      </c>
      <c r="AB119" s="349">
        <v>54</v>
      </c>
      <c r="AC119" s="349">
        <v>54</v>
      </c>
      <c r="AD119" s="349">
        <v>54</v>
      </c>
      <c r="AE119" s="349">
        <v>54</v>
      </c>
      <c r="AF119" s="349">
        <v>54</v>
      </c>
    </row>
    <row r="120" spans="1:32" s="351" customFormat="1" x14ac:dyDescent="0.25">
      <c r="A120" s="363">
        <v>999</v>
      </c>
      <c r="B120" s="351">
        <v>999</v>
      </c>
      <c r="C120" s="352" t="s">
        <v>167</v>
      </c>
      <c r="D120" s="353">
        <v>541777</v>
      </c>
      <c r="E120" s="353">
        <v>541000</v>
      </c>
      <c r="F120" s="353">
        <v>54949</v>
      </c>
      <c r="G120" s="353">
        <v>54937</v>
      </c>
      <c r="H120" s="353">
        <v>541001</v>
      </c>
      <c r="I120" s="353">
        <v>541002</v>
      </c>
      <c r="J120" s="353">
        <v>541003</v>
      </c>
      <c r="K120" s="353">
        <v>544178</v>
      </c>
      <c r="L120" s="353">
        <v>541004</v>
      </c>
      <c r="M120" s="353">
        <v>541727</v>
      </c>
      <c r="N120" s="353">
        <v>541010</v>
      </c>
      <c r="O120" s="353">
        <v>0</v>
      </c>
      <c r="P120" s="353">
        <v>541025</v>
      </c>
      <c r="Q120" s="353">
        <v>541007</v>
      </c>
      <c r="R120" s="353">
        <v>541009</v>
      </c>
      <c r="S120" s="353">
        <v>541024</v>
      </c>
      <c r="T120" s="353">
        <v>541027</v>
      </c>
      <c r="U120" s="353">
        <v>541026</v>
      </c>
      <c r="V120" s="353">
        <v>541011</v>
      </c>
      <c r="W120" s="353">
        <v>541012</v>
      </c>
      <c r="X120" s="353">
        <v>541013</v>
      </c>
      <c r="Y120" s="353">
        <v>541014</v>
      </c>
      <c r="Z120" s="353">
        <v>541015</v>
      </c>
      <c r="AA120" s="353">
        <v>0</v>
      </c>
      <c r="AB120" s="353">
        <v>541017</v>
      </c>
      <c r="AC120" s="353">
        <v>541018</v>
      </c>
      <c r="AD120" s="353">
        <v>541019</v>
      </c>
      <c r="AE120" s="353">
        <v>541020</v>
      </c>
      <c r="AF120" s="353">
        <v>541022</v>
      </c>
    </row>
    <row r="121" spans="1:32" s="351" customFormat="1" ht="60" x14ac:dyDescent="0.25">
      <c r="A121" s="359">
        <v>554</v>
      </c>
      <c r="B121" s="351">
        <v>554</v>
      </c>
      <c r="C121" s="352" t="s">
        <v>281</v>
      </c>
      <c r="D121" s="349">
        <v>167761</v>
      </c>
      <c r="E121" s="349">
        <v>9019120</v>
      </c>
      <c r="F121" s="349">
        <v>0</v>
      </c>
      <c r="G121" s="349">
        <v>892738</v>
      </c>
      <c r="H121" s="349">
        <v>0</v>
      </c>
      <c r="I121" s="349">
        <v>48750</v>
      </c>
      <c r="J121" s="349">
        <v>0</v>
      </c>
      <c r="K121" s="349">
        <v>0</v>
      </c>
      <c r="L121" s="349">
        <v>0</v>
      </c>
      <c r="M121" s="349">
        <v>0</v>
      </c>
      <c r="N121" s="349">
        <v>0</v>
      </c>
      <c r="O121" s="349">
        <v>0</v>
      </c>
      <c r="P121" s="349">
        <v>0</v>
      </c>
      <c r="Q121" s="349">
        <v>649799</v>
      </c>
      <c r="R121" s="349">
        <v>13107</v>
      </c>
      <c r="S121" s="349">
        <v>0</v>
      </c>
      <c r="T121" s="349">
        <v>440190</v>
      </c>
      <c r="U121" s="349">
        <v>0</v>
      </c>
      <c r="V121" s="349">
        <v>275738</v>
      </c>
      <c r="W121" s="349">
        <v>0</v>
      </c>
      <c r="X121" s="349">
        <v>3910984</v>
      </c>
      <c r="Y121" s="349">
        <v>19240604</v>
      </c>
      <c r="Z121" s="349">
        <v>3347707</v>
      </c>
      <c r="AA121" s="349">
        <v>0</v>
      </c>
      <c r="AB121" s="349">
        <v>25906</v>
      </c>
      <c r="AC121" s="349">
        <v>4488455</v>
      </c>
      <c r="AD121" s="349">
        <v>660072</v>
      </c>
      <c r="AE121" s="349">
        <v>0</v>
      </c>
      <c r="AF121" s="349">
        <v>0</v>
      </c>
    </row>
    <row r="122" spans="1:32" s="351" customFormat="1" ht="75" x14ac:dyDescent="0.25">
      <c r="A122" s="359">
        <v>555</v>
      </c>
      <c r="B122" s="351">
        <v>555</v>
      </c>
      <c r="C122" s="352" t="s">
        <v>282</v>
      </c>
      <c r="D122" s="349">
        <v>0</v>
      </c>
      <c r="E122" s="349">
        <v>9019120</v>
      </c>
      <c r="F122" s="349">
        <v>0</v>
      </c>
      <c r="G122" s="349">
        <v>892738</v>
      </c>
      <c r="H122" s="349">
        <v>0</v>
      </c>
      <c r="I122" s="349">
        <v>0</v>
      </c>
      <c r="J122" s="349">
        <v>0</v>
      </c>
      <c r="K122" s="349">
        <v>0</v>
      </c>
      <c r="L122" s="349">
        <v>0</v>
      </c>
      <c r="M122" s="349">
        <v>0</v>
      </c>
      <c r="N122" s="349">
        <v>0</v>
      </c>
      <c r="O122" s="349">
        <v>0</v>
      </c>
      <c r="P122" s="349">
        <v>0</v>
      </c>
      <c r="Q122" s="349">
        <v>0</v>
      </c>
      <c r="R122" s="349">
        <v>0</v>
      </c>
      <c r="S122" s="349">
        <v>0</v>
      </c>
      <c r="T122" s="349">
        <v>0</v>
      </c>
      <c r="U122" s="349">
        <v>0</v>
      </c>
      <c r="V122" s="349">
        <v>0</v>
      </c>
      <c r="W122" s="349">
        <v>0</v>
      </c>
      <c r="X122" s="349">
        <v>3778297</v>
      </c>
      <c r="Y122" s="349">
        <v>18975142</v>
      </c>
      <c r="Z122" s="349">
        <v>3347707</v>
      </c>
      <c r="AA122" s="349">
        <v>0</v>
      </c>
      <c r="AB122" s="349">
        <v>0</v>
      </c>
      <c r="AC122" s="349">
        <v>4488455</v>
      </c>
      <c r="AD122" s="349">
        <v>0</v>
      </c>
      <c r="AE122" s="349">
        <v>0</v>
      </c>
      <c r="AF122" s="349">
        <v>0</v>
      </c>
    </row>
    <row r="123" spans="1:32" s="351" customFormat="1" ht="60" x14ac:dyDescent="0.25">
      <c r="A123" s="359">
        <v>556</v>
      </c>
      <c r="B123" s="351">
        <v>556</v>
      </c>
      <c r="C123" s="352" t="s">
        <v>283</v>
      </c>
      <c r="D123" s="349">
        <v>1427679</v>
      </c>
      <c r="E123" s="349">
        <v>1167369</v>
      </c>
      <c r="F123" s="349">
        <v>0</v>
      </c>
      <c r="G123" s="349">
        <v>0</v>
      </c>
      <c r="H123" s="349">
        <v>0</v>
      </c>
      <c r="I123" s="349">
        <v>2321918</v>
      </c>
      <c r="J123" s="349">
        <v>0</v>
      </c>
      <c r="K123" s="349">
        <v>0</v>
      </c>
      <c r="L123" s="349">
        <v>0</v>
      </c>
      <c r="M123" s="349">
        <v>0</v>
      </c>
      <c r="N123" s="349">
        <v>0</v>
      </c>
      <c r="O123" s="349">
        <v>0</v>
      </c>
      <c r="P123" s="349">
        <v>0</v>
      </c>
      <c r="Q123" s="349">
        <v>519006</v>
      </c>
      <c r="R123" s="349">
        <v>3536315</v>
      </c>
      <c r="S123" s="349">
        <v>0</v>
      </c>
      <c r="T123" s="349">
        <v>253726</v>
      </c>
      <c r="U123" s="349">
        <v>0</v>
      </c>
      <c r="V123" s="349">
        <v>1572211</v>
      </c>
      <c r="W123" s="349">
        <v>0</v>
      </c>
      <c r="X123" s="349">
        <v>5168089</v>
      </c>
      <c r="Y123" s="349">
        <v>5040857</v>
      </c>
      <c r="Z123" s="349">
        <v>360607</v>
      </c>
      <c r="AA123" s="349">
        <v>0</v>
      </c>
      <c r="AB123" s="349">
        <v>3551937</v>
      </c>
      <c r="AC123" s="349">
        <v>1626136</v>
      </c>
      <c r="AD123" s="349">
        <v>2982832</v>
      </c>
      <c r="AE123" s="349">
        <v>0</v>
      </c>
      <c r="AF123" s="349">
        <v>0</v>
      </c>
    </row>
    <row r="124" spans="1:32" s="351" customFormat="1" ht="75" x14ac:dyDescent="0.25">
      <c r="A124" s="359">
        <v>557</v>
      </c>
      <c r="B124" s="351">
        <v>557</v>
      </c>
      <c r="C124" s="352" t="s">
        <v>284</v>
      </c>
      <c r="D124" s="349">
        <v>1268504</v>
      </c>
      <c r="E124" s="349">
        <v>657143</v>
      </c>
      <c r="F124" s="349">
        <v>0</v>
      </c>
      <c r="G124" s="349">
        <v>0</v>
      </c>
      <c r="H124" s="349">
        <v>0</v>
      </c>
      <c r="I124" s="349">
        <v>2321918</v>
      </c>
      <c r="J124" s="349">
        <v>0</v>
      </c>
      <c r="K124" s="349">
        <v>0</v>
      </c>
      <c r="L124" s="349">
        <v>0</v>
      </c>
      <c r="M124" s="349">
        <v>0</v>
      </c>
      <c r="N124" s="349">
        <v>0</v>
      </c>
      <c r="O124" s="349">
        <v>0</v>
      </c>
      <c r="P124" s="349">
        <v>0</v>
      </c>
      <c r="Q124" s="349">
        <v>519006</v>
      </c>
      <c r="R124" s="349">
        <v>3536315</v>
      </c>
      <c r="S124" s="349">
        <v>0</v>
      </c>
      <c r="T124" s="349">
        <v>0</v>
      </c>
      <c r="U124" s="349">
        <v>0</v>
      </c>
      <c r="V124" s="349">
        <v>1572211</v>
      </c>
      <c r="W124" s="349">
        <v>0</v>
      </c>
      <c r="X124" s="349">
        <v>5123860</v>
      </c>
      <c r="Y124" s="349">
        <v>4599824</v>
      </c>
      <c r="Z124" s="349">
        <v>0</v>
      </c>
      <c r="AA124" s="349">
        <v>0</v>
      </c>
      <c r="AB124" s="349">
        <v>3551937</v>
      </c>
      <c r="AC124" s="349">
        <v>1478769</v>
      </c>
      <c r="AD124" s="349">
        <v>2982832</v>
      </c>
      <c r="AE124" s="349">
        <v>0</v>
      </c>
      <c r="AF124" s="349">
        <v>0</v>
      </c>
    </row>
    <row r="125" spans="1:32" x14ac:dyDescent="0.25">
      <c r="A125" s="359">
        <v>575</v>
      </c>
      <c r="B125" s="359">
        <v>575</v>
      </c>
      <c r="C125" s="357" t="s">
        <v>195</v>
      </c>
      <c r="D125" s="344">
        <v>0</v>
      </c>
      <c r="E125" s="344">
        <v>0</v>
      </c>
      <c r="F125" s="344">
        <v>0</v>
      </c>
      <c r="G125" s="344">
        <v>0</v>
      </c>
      <c r="H125" s="344">
        <v>0</v>
      </c>
      <c r="I125" s="344">
        <v>0</v>
      </c>
      <c r="J125" s="344">
        <v>0</v>
      </c>
      <c r="K125" s="344">
        <v>0</v>
      </c>
      <c r="L125" s="344">
        <v>0</v>
      </c>
      <c r="M125" s="344">
        <v>0</v>
      </c>
      <c r="N125" s="344">
        <v>0</v>
      </c>
      <c r="O125" s="344">
        <v>0</v>
      </c>
      <c r="P125" s="344">
        <v>0</v>
      </c>
      <c r="Q125" s="344">
        <v>0</v>
      </c>
      <c r="R125" s="344">
        <v>0</v>
      </c>
      <c r="S125" s="344">
        <v>0</v>
      </c>
      <c r="T125" s="344">
        <v>0</v>
      </c>
      <c r="U125" s="344">
        <v>0</v>
      </c>
      <c r="V125" s="344">
        <v>0</v>
      </c>
      <c r="W125" s="344">
        <v>0</v>
      </c>
      <c r="X125" s="344">
        <v>0</v>
      </c>
      <c r="Y125" s="344">
        <v>0</v>
      </c>
      <c r="Z125" s="344">
        <v>0</v>
      </c>
      <c r="AA125" s="344">
        <v>0</v>
      </c>
      <c r="AB125" s="344">
        <v>0</v>
      </c>
      <c r="AC125" s="344">
        <v>0</v>
      </c>
      <c r="AD125" s="344">
        <v>0</v>
      </c>
      <c r="AE125" s="344">
        <v>0</v>
      </c>
      <c r="AF125" s="344">
        <v>0</v>
      </c>
    </row>
    <row r="126" spans="1:32" x14ac:dyDescent="0.25">
      <c r="A126" s="359">
        <v>576</v>
      </c>
      <c r="B126" s="359">
        <v>576</v>
      </c>
      <c r="C126" s="357" t="s">
        <v>196</v>
      </c>
      <c r="D126" s="344">
        <v>0</v>
      </c>
      <c r="E126" s="344">
        <v>0</v>
      </c>
      <c r="F126" s="344">
        <v>0</v>
      </c>
      <c r="G126" s="344">
        <v>0</v>
      </c>
      <c r="H126" s="344">
        <v>0</v>
      </c>
      <c r="I126" s="344">
        <v>0</v>
      </c>
      <c r="J126" s="344">
        <v>0</v>
      </c>
      <c r="K126" s="344">
        <v>0</v>
      </c>
      <c r="L126" s="344">
        <v>0</v>
      </c>
      <c r="M126" s="344">
        <v>0</v>
      </c>
      <c r="N126" s="344">
        <v>0</v>
      </c>
      <c r="O126" s="344">
        <v>0</v>
      </c>
      <c r="P126" s="344">
        <v>0</v>
      </c>
      <c r="Q126" s="344">
        <v>0</v>
      </c>
      <c r="R126" s="344">
        <v>0</v>
      </c>
      <c r="S126" s="344">
        <v>0</v>
      </c>
      <c r="T126" s="344">
        <v>0</v>
      </c>
      <c r="U126" s="344">
        <v>0</v>
      </c>
      <c r="V126" s="344">
        <v>0</v>
      </c>
      <c r="W126" s="344">
        <v>0</v>
      </c>
      <c r="X126" s="344">
        <v>0</v>
      </c>
      <c r="Y126" s="344">
        <v>0</v>
      </c>
      <c r="Z126" s="344">
        <v>0</v>
      </c>
      <c r="AA126" s="344">
        <v>0</v>
      </c>
      <c r="AB126" s="344">
        <v>0</v>
      </c>
      <c r="AC126" s="344">
        <v>0</v>
      </c>
      <c r="AD126" s="344">
        <v>0</v>
      </c>
      <c r="AE126" s="344">
        <v>0</v>
      </c>
      <c r="AF126" s="344">
        <v>0</v>
      </c>
    </row>
    <row r="127" spans="1:32" ht="43.5" x14ac:dyDescent="0.25">
      <c r="A127" s="359">
        <v>577</v>
      </c>
      <c r="B127" s="359">
        <v>577</v>
      </c>
      <c r="C127" s="357" t="s">
        <v>335</v>
      </c>
      <c r="D127" s="344">
        <v>0</v>
      </c>
      <c r="E127" s="344">
        <v>0</v>
      </c>
      <c r="F127" s="344">
        <v>0</v>
      </c>
      <c r="G127" s="344">
        <v>0</v>
      </c>
      <c r="H127" s="344">
        <v>0</v>
      </c>
      <c r="I127" s="344">
        <v>0</v>
      </c>
      <c r="J127" s="344">
        <v>0</v>
      </c>
      <c r="K127" s="344">
        <v>0</v>
      </c>
      <c r="L127" s="344">
        <v>0</v>
      </c>
      <c r="M127" s="344">
        <v>0</v>
      </c>
      <c r="N127" s="344">
        <v>0</v>
      </c>
      <c r="O127" s="344">
        <v>0</v>
      </c>
      <c r="P127" s="344">
        <v>0</v>
      </c>
      <c r="Q127" s="344">
        <v>0</v>
      </c>
      <c r="R127" s="344">
        <v>0</v>
      </c>
      <c r="S127" s="344">
        <v>0</v>
      </c>
      <c r="T127" s="344">
        <v>0</v>
      </c>
      <c r="U127" s="344">
        <v>0</v>
      </c>
      <c r="V127" s="344">
        <v>0</v>
      </c>
      <c r="W127" s="344">
        <v>0</v>
      </c>
      <c r="X127" s="344">
        <v>0</v>
      </c>
      <c r="Y127" s="344">
        <v>0</v>
      </c>
      <c r="Z127" s="344">
        <v>0</v>
      </c>
      <c r="AA127" s="344">
        <v>0</v>
      </c>
      <c r="AB127" s="344">
        <v>0</v>
      </c>
      <c r="AC127" s="344">
        <v>0</v>
      </c>
      <c r="AD127" s="344">
        <v>0</v>
      </c>
      <c r="AE127" s="344">
        <v>0</v>
      </c>
      <c r="AF127" s="344">
        <v>0</v>
      </c>
    </row>
    <row r="128" spans="1:32" x14ac:dyDescent="0.25">
      <c r="A128" s="359">
        <v>586</v>
      </c>
      <c r="B128" s="359">
        <v>586</v>
      </c>
      <c r="C128" s="298" t="s">
        <v>334</v>
      </c>
      <c r="D128" s="344">
        <v>0</v>
      </c>
      <c r="E128" s="344">
        <v>0</v>
      </c>
      <c r="F128" s="344">
        <v>0</v>
      </c>
      <c r="G128" s="344">
        <v>0</v>
      </c>
      <c r="H128" s="344">
        <v>0</v>
      </c>
      <c r="I128" s="344">
        <v>0</v>
      </c>
      <c r="J128" s="344">
        <v>0</v>
      </c>
      <c r="K128" s="344">
        <v>0</v>
      </c>
      <c r="L128" s="344">
        <v>0</v>
      </c>
      <c r="M128" s="344">
        <v>0</v>
      </c>
      <c r="N128" s="344">
        <v>0</v>
      </c>
      <c r="O128" s="344">
        <v>0</v>
      </c>
      <c r="P128" s="344">
        <v>0</v>
      </c>
      <c r="Q128" s="344">
        <v>0</v>
      </c>
      <c r="R128" s="344">
        <v>0</v>
      </c>
      <c r="S128" s="344">
        <v>0</v>
      </c>
      <c r="T128" s="344">
        <v>0</v>
      </c>
      <c r="U128" s="344">
        <v>0</v>
      </c>
      <c r="V128" s="344">
        <v>0</v>
      </c>
      <c r="W128" s="344">
        <v>0</v>
      </c>
      <c r="X128" s="344">
        <v>0</v>
      </c>
      <c r="Y128" s="344">
        <v>0</v>
      </c>
      <c r="Z128" s="344">
        <v>0</v>
      </c>
      <c r="AA128" s="344">
        <v>0</v>
      </c>
      <c r="AB128" s="344">
        <v>0</v>
      </c>
      <c r="AC128" s="344">
        <v>0</v>
      </c>
      <c r="AD128" s="344">
        <v>0</v>
      </c>
      <c r="AE128" s="344">
        <v>0</v>
      </c>
      <c r="AF128" s="344">
        <v>0</v>
      </c>
    </row>
    <row r="129" spans="1:32" x14ac:dyDescent="0.25">
      <c r="A129" s="359">
        <v>591</v>
      </c>
      <c r="B129" s="359">
        <v>591</v>
      </c>
      <c r="C129" s="366" t="s">
        <v>326</v>
      </c>
      <c r="D129" s="344">
        <v>0</v>
      </c>
      <c r="E129" s="344">
        <v>13851380</v>
      </c>
      <c r="F129" s="344">
        <v>295849</v>
      </c>
      <c r="G129" s="344">
        <v>0</v>
      </c>
      <c r="H129" s="344">
        <v>1497916</v>
      </c>
      <c r="I129" s="344">
        <v>1384180</v>
      </c>
      <c r="J129" s="344">
        <v>1917520</v>
      </c>
      <c r="K129" s="344">
        <v>1381227</v>
      </c>
      <c r="L129" s="344">
        <v>1496737</v>
      </c>
      <c r="M129" s="344">
        <v>0</v>
      </c>
      <c r="N129" s="344">
        <v>1187703</v>
      </c>
      <c r="O129" s="344">
        <v>0</v>
      </c>
      <c r="P129" s="344">
        <v>959938</v>
      </c>
      <c r="Q129" s="344">
        <v>2208476</v>
      </c>
      <c r="R129" s="344">
        <v>1537828</v>
      </c>
      <c r="S129" s="344">
        <v>1377046</v>
      </c>
      <c r="T129" s="344">
        <v>1297185</v>
      </c>
      <c r="U129" s="344">
        <v>730352</v>
      </c>
      <c r="V129" s="344">
        <v>2948217</v>
      </c>
      <c r="W129" s="344">
        <v>647073</v>
      </c>
      <c r="X129" s="344">
        <v>15669457</v>
      </c>
      <c r="Y129" s="344">
        <v>38230625</v>
      </c>
      <c r="Z129" s="344">
        <v>5348365</v>
      </c>
      <c r="AA129" s="344">
        <v>0</v>
      </c>
      <c r="AB129" s="344">
        <v>544083</v>
      </c>
      <c r="AC129" s="344">
        <v>679400</v>
      </c>
      <c r="AD129" s="344">
        <v>1982297</v>
      </c>
      <c r="AE129" s="344">
        <v>0</v>
      </c>
      <c r="AF129" s="344">
        <v>210157</v>
      </c>
    </row>
    <row r="130" spans="1:32" ht="30" x14ac:dyDescent="0.25">
      <c r="A130" s="363">
        <v>592</v>
      </c>
      <c r="B130" s="359">
        <v>592</v>
      </c>
      <c r="C130" s="366" t="s">
        <v>325</v>
      </c>
      <c r="D130" s="344">
        <v>0</v>
      </c>
      <c r="E130" s="344">
        <v>16478945</v>
      </c>
      <c r="F130" s="344">
        <v>432556</v>
      </c>
      <c r="G130" s="344">
        <v>0</v>
      </c>
      <c r="H130" s="344">
        <v>-195469</v>
      </c>
      <c r="I130" s="344">
        <v>1779329</v>
      </c>
      <c r="J130" s="344">
        <v>112518</v>
      </c>
      <c r="K130" s="344">
        <v>-246245</v>
      </c>
      <c r="L130" s="344">
        <v>1435632</v>
      </c>
      <c r="M130" s="344">
        <v>0</v>
      </c>
      <c r="N130" s="344">
        <v>-244288</v>
      </c>
      <c r="O130" s="344">
        <v>0</v>
      </c>
      <c r="P130" s="344">
        <v>-621216</v>
      </c>
      <c r="Q130" s="344">
        <v>660702</v>
      </c>
      <c r="R130" s="344">
        <v>3381689</v>
      </c>
      <c r="S130" s="344">
        <v>-421252</v>
      </c>
      <c r="T130" s="344">
        <v>364298</v>
      </c>
      <c r="U130" s="344">
        <v>-422098</v>
      </c>
      <c r="V130" s="344">
        <v>1545580</v>
      </c>
      <c r="W130" s="344">
        <v>958986</v>
      </c>
      <c r="X130" s="344">
        <v>11377016</v>
      </c>
      <c r="Y130" s="344">
        <v>28493853</v>
      </c>
      <c r="Z130" s="344">
        <v>2683832</v>
      </c>
      <c r="AA130" s="344">
        <v>0</v>
      </c>
      <c r="AB130" s="344">
        <v>3454705</v>
      </c>
      <c r="AC130" s="344">
        <v>6424714</v>
      </c>
      <c r="AD130" s="344">
        <v>3681681</v>
      </c>
      <c r="AE130" s="344">
        <v>0</v>
      </c>
      <c r="AF130" s="344">
        <v>125908</v>
      </c>
    </row>
    <row r="131" spans="1:32" s="351" customFormat="1" ht="135" x14ac:dyDescent="0.25">
      <c r="A131" s="363"/>
      <c r="B131" s="348">
        <v>595</v>
      </c>
      <c r="C131" s="367" t="s">
        <v>351</v>
      </c>
      <c r="D131" s="344"/>
      <c r="E131" s="344"/>
      <c r="F131" s="344"/>
      <c r="G131" s="344"/>
      <c r="H131" s="344"/>
      <c r="I131" s="344"/>
      <c r="J131" s="344"/>
      <c r="K131" s="344"/>
      <c r="L131" s="344"/>
      <c r="M131" s="344"/>
      <c r="N131" s="344"/>
      <c r="O131" s="344"/>
      <c r="P131" s="344"/>
      <c r="Q131" s="344"/>
      <c r="R131" s="344"/>
      <c r="S131" s="344"/>
      <c r="T131" s="344"/>
      <c r="U131" s="344"/>
      <c r="V131" s="344"/>
      <c r="W131" s="344"/>
      <c r="X131" s="344"/>
      <c r="Y131" s="344"/>
      <c r="Z131" s="344"/>
      <c r="AA131" s="344"/>
      <c r="AB131" s="344"/>
      <c r="AC131" s="344"/>
      <c r="AD131" s="344"/>
      <c r="AE131" s="344"/>
      <c r="AF131" s="344"/>
    </row>
    <row r="132" spans="1:32" s="351" customFormat="1" ht="105" x14ac:dyDescent="0.25">
      <c r="A132" s="363"/>
      <c r="B132" s="348">
        <v>600</v>
      </c>
      <c r="C132" s="367" t="s">
        <v>332</v>
      </c>
      <c r="D132" s="344"/>
      <c r="E132" s="344"/>
      <c r="F132" s="344"/>
      <c r="G132" s="344"/>
      <c r="H132" s="344"/>
      <c r="I132" s="344"/>
      <c r="J132" s="344"/>
      <c r="K132" s="344"/>
      <c r="L132" s="344"/>
      <c r="M132" s="344"/>
      <c r="N132" s="344"/>
      <c r="O132" s="344"/>
      <c r="P132" s="344"/>
      <c r="Q132" s="344"/>
      <c r="R132" s="344"/>
      <c r="S132" s="344"/>
      <c r="T132" s="344"/>
      <c r="U132" s="344"/>
      <c r="V132" s="344"/>
      <c r="W132" s="344"/>
      <c r="X132" s="344"/>
      <c r="Y132" s="344"/>
      <c r="Z132" s="344"/>
      <c r="AA132" s="344"/>
      <c r="AB132" s="344"/>
      <c r="AC132" s="344"/>
      <c r="AD132" s="344"/>
      <c r="AE132" s="344"/>
      <c r="AF132" s="344"/>
    </row>
    <row r="133" spans="1:32" s="351" customFormat="1" ht="240" x14ac:dyDescent="0.25">
      <c r="A133" s="363"/>
      <c r="B133" s="348">
        <v>601</v>
      </c>
      <c r="C133" s="367" t="s">
        <v>333</v>
      </c>
      <c r="D133" s="344"/>
      <c r="E133" s="344"/>
      <c r="F133" s="344"/>
      <c r="G133" s="344"/>
      <c r="H133" s="344"/>
      <c r="I133" s="344"/>
      <c r="J133" s="344"/>
      <c r="K133" s="344"/>
      <c r="L133" s="344"/>
      <c r="M133" s="344"/>
      <c r="N133" s="344"/>
      <c r="O133" s="344"/>
      <c r="P133" s="344"/>
      <c r="Q133" s="344"/>
      <c r="R133" s="344"/>
      <c r="S133" s="344"/>
      <c r="T133" s="344"/>
      <c r="U133" s="344"/>
      <c r="V133" s="344"/>
      <c r="W133" s="344"/>
      <c r="X133" s="344"/>
      <c r="Y133" s="344"/>
      <c r="Z133" s="344"/>
      <c r="AA133" s="344"/>
      <c r="AB133" s="344"/>
      <c r="AC133" s="344"/>
      <c r="AD133" s="344"/>
      <c r="AE133" s="344"/>
      <c r="AF133" s="344"/>
    </row>
    <row r="134" spans="1:32" s="351" customFormat="1" ht="180" x14ac:dyDescent="0.25">
      <c r="A134" s="363">
        <v>603</v>
      </c>
      <c r="B134" s="368">
        <v>603</v>
      </c>
      <c r="C134" s="369" t="s">
        <v>348</v>
      </c>
      <c r="D134" s="344">
        <v>1</v>
      </c>
      <c r="E134" s="344">
        <v>1</v>
      </c>
      <c r="F134" s="344">
        <v>2</v>
      </c>
      <c r="G134" s="344">
        <v>1</v>
      </c>
      <c r="H134" s="344">
        <v>4</v>
      </c>
      <c r="I134" s="344">
        <v>2</v>
      </c>
      <c r="J134" s="344">
        <v>1</v>
      </c>
      <c r="K134" s="344">
        <v>1</v>
      </c>
      <c r="L134" s="344">
        <v>2</v>
      </c>
      <c r="M134" s="344">
        <v>2</v>
      </c>
      <c r="N134" s="344">
        <v>2</v>
      </c>
      <c r="O134" s="344">
        <v>0</v>
      </c>
      <c r="P134" s="344">
        <v>2</v>
      </c>
      <c r="Q134" s="344">
        <v>1</v>
      </c>
      <c r="R134" s="344">
        <v>2</v>
      </c>
      <c r="S134" s="344">
        <v>1</v>
      </c>
      <c r="T134" s="344">
        <v>1</v>
      </c>
      <c r="U134" s="344">
        <v>1</v>
      </c>
      <c r="V134" s="344">
        <v>1</v>
      </c>
      <c r="W134" s="344">
        <v>3</v>
      </c>
      <c r="X134" s="344">
        <v>1</v>
      </c>
      <c r="Y134" s="344">
        <v>1</v>
      </c>
      <c r="Z134" s="344">
        <v>5</v>
      </c>
      <c r="AA134" s="344">
        <v>0</v>
      </c>
      <c r="AB134" s="344">
        <v>2</v>
      </c>
      <c r="AC134" s="344">
        <v>3</v>
      </c>
      <c r="AD134" s="344">
        <v>2</v>
      </c>
      <c r="AE134" s="344">
        <v>1</v>
      </c>
      <c r="AF134" s="344">
        <v>1</v>
      </c>
    </row>
    <row r="135" spans="1:32" s="351" customFormat="1" ht="120" x14ac:dyDescent="0.25">
      <c r="A135" s="363"/>
      <c r="B135" s="368">
        <v>604</v>
      </c>
      <c r="C135" s="369" t="s">
        <v>349</v>
      </c>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row>
    <row r="136" spans="1:32" s="351" customFormat="1" ht="45" x14ac:dyDescent="0.25">
      <c r="A136" s="363">
        <v>605</v>
      </c>
      <c r="B136" s="368">
        <v>605</v>
      </c>
      <c r="C136" s="369" t="s">
        <v>350</v>
      </c>
      <c r="D136" s="344">
        <v>1</v>
      </c>
      <c r="E136" s="344">
        <v>1</v>
      </c>
      <c r="F136" s="344">
        <v>1</v>
      </c>
      <c r="G136" s="344">
        <v>1</v>
      </c>
      <c r="H136" s="344">
        <v>1</v>
      </c>
      <c r="I136" s="344">
        <v>1</v>
      </c>
      <c r="J136" s="344">
        <v>1</v>
      </c>
      <c r="K136" s="344">
        <v>1</v>
      </c>
      <c r="L136" s="344">
        <v>1</v>
      </c>
      <c r="M136" s="344">
        <v>1</v>
      </c>
      <c r="N136" s="344">
        <v>1</v>
      </c>
      <c r="O136" s="344">
        <v>0</v>
      </c>
      <c r="P136" s="344">
        <v>1</v>
      </c>
      <c r="Q136" s="344">
        <v>1</v>
      </c>
      <c r="R136" s="344">
        <v>1</v>
      </c>
      <c r="S136" s="344">
        <v>1</v>
      </c>
      <c r="T136" s="344">
        <v>1</v>
      </c>
      <c r="U136" s="344">
        <v>0</v>
      </c>
      <c r="V136" s="344">
        <v>1</v>
      </c>
      <c r="W136" s="344">
        <v>1</v>
      </c>
      <c r="X136" s="344">
        <v>1</v>
      </c>
      <c r="Y136" s="344">
        <v>1</v>
      </c>
      <c r="Z136" s="344">
        <v>1</v>
      </c>
      <c r="AA136" s="344">
        <v>0</v>
      </c>
      <c r="AB136" s="344">
        <v>1</v>
      </c>
      <c r="AC136" s="344">
        <v>1</v>
      </c>
      <c r="AD136" s="344">
        <v>1</v>
      </c>
      <c r="AE136" s="344">
        <v>1</v>
      </c>
      <c r="AF136" s="344">
        <v>1</v>
      </c>
    </row>
    <row r="137" spans="1:32" s="351" customFormat="1" ht="45" x14ac:dyDescent="0.25">
      <c r="A137" s="363">
        <v>606</v>
      </c>
      <c r="B137" s="370">
        <v>606</v>
      </c>
      <c r="C137" s="356" t="s">
        <v>356</v>
      </c>
      <c r="D137" s="344">
        <v>1</v>
      </c>
      <c r="E137" s="344">
        <v>1</v>
      </c>
      <c r="F137" s="344">
        <v>0</v>
      </c>
      <c r="G137" s="344">
        <v>1</v>
      </c>
      <c r="H137" s="344">
        <v>0</v>
      </c>
      <c r="I137" s="344">
        <v>1</v>
      </c>
      <c r="J137" s="344">
        <v>0</v>
      </c>
      <c r="K137" s="344">
        <v>0</v>
      </c>
      <c r="L137" s="344">
        <v>0</v>
      </c>
      <c r="M137" s="344">
        <v>0</v>
      </c>
      <c r="N137" s="344">
        <v>0</v>
      </c>
      <c r="O137" s="344">
        <v>0</v>
      </c>
      <c r="P137" s="344">
        <v>0</v>
      </c>
      <c r="Q137" s="344">
        <v>1</v>
      </c>
      <c r="R137" s="344">
        <v>1</v>
      </c>
      <c r="S137" s="344">
        <v>0</v>
      </c>
      <c r="T137" s="344">
        <v>1</v>
      </c>
      <c r="U137" s="344">
        <v>0</v>
      </c>
      <c r="V137" s="344">
        <v>1</v>
      </c>
      <c r="W137" s="344">
        <v>0</v>
      </c>
      <c r="X137" s="344">
        <v>1</v>
      </c>
      <c r="Y137" s="344">
        <v>1</v>
      </c>
      <c r="Z137" s="344">
        <v>1</v>
      </c>
      <c r="AA137" s="344">
        <v>0</v>
      </c>
      <c r="AB137" s="344">
        <v>1</v>
      </c>
      <c r="AC137" s="344">
        <v>1</v>
      </c>
      <c r="AD137" s="344">
        <v>1</v>
      </c>
      <c r="AE137" s="344">
        <v>0</v>
      </c>
      <c r="AF137" s="344">
        <v>0</v>
      </c>
    </row>
    <row r="138" spans="1:32" s="351" customFormat="1" ht="30" x14ac:dyDescent="0.25">
      <c r="A138" s="363">
        <v>607</v>
      </c>
      <c r="B138" s="368">
        <v>607</v>
      </c>
      <c r="C138" s="369" t="s">
        <v>339</v>
      </c>
      <c r="D138" s="344">
        <v>0</v>
      </c>
      <c r="E138" s="344">
        <v>1259475</v>
      </c>
      <c r="F138" s="344">
        <v>0</v>
      </c>
      <c r="G138" s="344">
        <v>0</v>
      </c>
      <c r="H138" s="344">
        <v>0</v>
      </c>
      <c r="I138" s="344">
        <v>0</v>
      </c>
      <c r="J138" s="344">
        <v>2333247</v>
      </c>
      <c r="K138" s="344">
        <v>0</v>
      </c>
      <c r="L138" s="344">
        <v>0</v>
      </c>
      <c r="M138" s="344">
        <v>0</v>
      </c>
      <c r="N138" s="344">
        <v>0</v>
      </c>
      <c r="O138" s="344">
        <v>0</v>
      </c>
      <c r="P138" s="344">
        <v>0</v>
      </c>
      <c r="Q138" s="344">
        <v>1221819</v>
      </c>
      <c r="R138" s="344">
        <v>65078</v>
      </c>
      <c r="S138" s="344">
        <v>0</v>
      </c>
      <c r="T138" s="344">
        <v>0</v>
      </c>
      <c r="U138" s="344">
        <v>0</v>
      </c>
      <c r="V138" s="344">
        <v>120611</v>
      </c>
      <c r="W138" s="344">
        <v>0</v>
      </c>
      <c r="X138" s="344">
        <v>307921</v>
      </c>
      <c r="Y138" s="344">
        <v>0</v>
      </c>
      <c r="Z138" s="344">
        <v>1092479</v>
      </c>
      <c r="AA138" s="344">
        <v>0</v>
      </c>
      <c r="AB138" s="344">
        <v>0</v>
      </c>
      <c r="AC138" s="344">
        <v>0</v>
      </c>
      <c r="AD138" s="344">
        <v>0</v>
      </c>
      <c r="AE138" s="344">
        <v>0</v>
      </c>
      <c r="AF138" s="344">
        <v>0</v>
      </c>
    </row>
    <row r="139" spans="1:32" s="351" customFormat="1" ht="30" x14ac:dyDescent="0.25">
      <c r="A139" s="363">
        <v>608</v>
      </c>
      <c r="B139" s="368">
        <v>608</v>
      </c>
      <c r="C139" s="369" t="s">
        <v>340</v>
      </c>
      <c r="D139" s="344">
        <v>0</v>
      </c>
      <c r="E139" s="344">
        <v>0</v>
      </c>
      <c r="F139" s="344">
        <v>0</v>
      </c>
      <c r="G139" s="344">
        <v>0</v>
      </c>
      <c r="H139" s="344">
        <v>0</v>
      </c>
      <c r="I139" s="344">
        <v>0</v>
      </c>
      <c r="J139" s="344">
        <v>0</v>
      </c>
      <c r="K139" s="344">
        <v>0</v>
      </c>
      <c r="L139" s="344">
        <v>0</v>
      </c>
      <c r="M139" s="344">
        <v>0</v>
      </c>
      <c r="N139" s="344">
        <v>0</v>
      </c>
      <c r="O139" s="344">
        <v>0</v>
      </c>
      <c r="P139" s="344">
        <v>0</v>
      </c>
      <c r="Q139" s="344">
        <v>0</v>
      </c>
      <c r="R139" s="344">
        <v>0</v>
      </c>
      <c r="S139" s="344">
        <v>0</v>
      </c>
      <c r="T139" s="344">
        <v>0</v>
      </c>
      <c r="U139" s="344">
        <v>0</v>
      </c>
      <c r="V139" s="344">
        <v>0</v>
      </c>
      <c r="W139" s="344">
        <v>0</v>
      </c>
      <c r="X139" s="344">
        <v>0</v>
      </c>
      <c r="Y139" s="344">
        <v>0</v>
      </c>
      <c r="Z139" s="344">
        <v>0</v>
      </c>
      <c r="AA139" s="344">
        <v>0</v>
      </c>
      <c r="AB139" s="344">
        <v>0</v>
      </c>
      <c r="AC139" s="344">
        <v>0</v>
      </c>
      <c r="AD139" s="344">
        <v>0</v>
      </c>
      <c r="AE139" s="344">
        <v>0</v>
      </c>
      <c r="AF139" s="344">
        <v>0</v>
      </c>
    </row>
    <row r="140" spans="1:32" s="351" customFormat="1" ht="45" x14ac:dyDescent="0.25">
      <c r="A140" s="363">
        <v>609</v>
      </c>
      <c r="B140" s="368">
        <v>609</v>
      </c>
      <c r="C140" s="369" t="s">
        <v>357</v>
      </c>
      <c r="D140" s="354">
        <v>0</v>
      </c>
      <c r="E140" s="354">
        <v>0</v>
      </c>
      <c r="F140" s="354">
        <v>0</v>
      </c>
      <c r="G140" s="354">
        <v>0</v>
      </c>
      <c r="H140" s="354">
        <v>0</v>
      </c>
      <c r="I140" s="354">
        <v>0</v>
      </c>
      <c r="J140" s="354">
        <v>0</v>
      </c>
      <c r="K140" s="354">
        <v>0</v>
      </c>
      <c r="L140" s="354">
        <v>0</v>
      </c>
      <c r="M140" s="354">
        <v>0</v>
      </c>
      <c r="N140" s="354">
        <v>0</v>
      </c>
      <c r="O140" s="354">
        <v>0</v>
      </c>
      <c r="P140" s="354">
        <v>0</v>
      </c>
      <c r="Q140" s="354">
        <v>0</v>
      </c>
      <c r="R140" s="354">
        <v>0</v>
      </c>
      <c r="S140" s="354">
        <v>0</v>
      </c>
      <c r="T140" s="354">
        <v>0</v>
      </c>
      <c r="U140" s="354">
        <v>0</v>
      </c>
      <c r="V140" s="354">
        <v>0</v>
      </c>
      <c r="W140" s="354">
        <v>0</v>
      </c>
      <c r="X140" s="354">
        <v>0</v>
      </c>
      <c r="Y140" s="354">
        <v>0</v>
      </c>
      <c r="Z140" s="354">
        <v>0</v>
      </c>
      <c r="AA140" s="354">
        <v>0</v>
      </c>
      <c r="AB140" s="354">
        <v>0</v>
      </c>
      <c r="AC140" s="354">
        <v>0</v>
      </c>
      <c r="AD140" s="354">
        <v>0</v>
      </c>
      <c r="AE140" s="354">
        <v>0</v>
      </c>
      <c r="AF140" s="354">
        <v>0</v>
      </c>
    </row>
    <row r="141" spans="1:32" s="351" customFormat="1" ht="30" x14ac:dyDescent="0.25">
      <c r="A141" s="363">
        <v>610</v>
      </c>
      <c r="B141" s="368">
        <v>610</v>
      </c>
      <c r="C141" s="369" t="s">
        <v>342</v>
      </c>
      <c r="D141" s="344">
        <v>0</v>
      </c>
      <c r="E141" s="344">
        <v>0</v>
      </c>
      <c r="F141" s="344">
        <v>0</v>
      </c>
      <c r="G141" s="344">
        <v>0</v>
      </c>
      <c r="H141" s="344">
        <v>0</v>
      </c>
      <c r="I141" s="344">
        <v>0</v>
      </c>
      <c r="J141" s="344">
        <v>0</v>
      </c>
      <c r="K141" s="344">
        <v>0</v>
      </c>
      <c r="L141" s="344">
        <v>0</v>
      </c>
      <c r="M141" s="344">
        <v>0</v>
      </c>
      <c r="N141" s="344">
        <v>0</v>
      </c>
      <c r="O141" s="344">
        <v>0</v>
      </c>
      <c r="P141" s="344">
        <v>0</v>
      </c>
      <c r="Q141" s="344">
        <v>0</v>
      </c>
      <c r="R141" s="344">
        <v>0</v>
      </c>
      <c r="S141" s="344">
        <v>0</v>
      </c>
      <c r="T141" s="344">
        <v>0</v>
      </c>
      <c r="U141" s="344">
        <v>0</v>
      </c>
      <c r="V141" s="344">
        <v>0</v>
      </c>
      <c r="W141" s="344">
        <v>0</v>
      </c>
      <c r="X141" s="344">
        <v>0</v>
      </c>
      <c r="Y141" s="344">
        <v>0</v>
      </c>
      <c r="Z141" s="344">
        <v>0</v>
      </c>
      <c r="AA141" s="344">
        <v>0</v>
      </c>
      <c r="AB141" s="344">
        <v>0</v>
      </c>
      <c r="AC141" s="344">
        <v>0</v>
      </c>
      <c r="AD141" s="344">
        <v>0</v>
      </c>
      <c r="AE141" s="344">
        <v>0</v>
      </c>
      <c r="AF141" s="344">
        <v>0</v>
      </c>
    </row>
    <row r="142" spans="1:32" s="351" customFormat="1" ht="30" x14ac:dyDescent="0.25">
      <c r="A142" s="359">
        <v>611</v>
      </c>
      <c r="B142" s="368">
        <v>611</v>
      </c>
      <c r="C142" s="369" t="s">
        <v>343</v>
      </c>
      <c r="D142" s="344">
        <v>0</v>
      </c>
      <c r="E142" s="344">
        <v>0</v>
      </c>
      <c r="F142" s="344">
        <v>0</v>
      </c>
      <c r="G142" s="344">
        <v>0</v>
      </c>
      <c r="H142" s="344">
        <v>0</v>
      </c>
      <c r="I142" s="344">
        <v>0</v>
      </c>
      <c r="J142" s="344">
        <v>0</v>
      </c>
      <c r="K142" s="344">
        <v>0</v>
      </c>
      <c r="L142" s="344">
        <v>0</v>
      </c>
      <c r="M142" s="344">
        <v>0</v>
      </c>
      <c r="N142" s="344">
        <v>0</v>
      </c>
      <c r="O142" s="344">
        <v>0</v>
      </c>
      <c r="P142" s="344">
        <v>0</v>
      </c>
      <c r="Q142" s="344">
        <v>0</v>
      </c>
      <c r="R142" s="344">
        <v>0</v>
      </c>
      <c r="S142" s="344">
        <v>0</v>
      </c>
      <c r="T142" s="344">
        <v>0</v>
      </c>
      <c r="U142" s="344">
        <v>0</v>
      </c>
      <c r="V142" s="344">
        <v>0</v>
      </c>
      <c r="W142" s="344">
        <v>0</v>
      </c>
      <c r="X142" s="344">
        <v>0</v>
      </c>
      <c r="Y142" s="344">
        <v>0</v>
      </c>
      <c r="Z142" s="344">
        <v>0</v>
      </c>
      <c r="AA142" s="344">
        <v>0</v>
      </c>
      <c r="AB142" s="344">
        <v>0</v>
      </c>
      <c r="AC142" s="344">
        <v>0</v>
      </c>
      <c r="AD142" s="344">
        <v>0</v>
      </c>
      <c r="AE142" s="344">
        <v>0</v>
      </c>
      <c r="AF142" s="344">
        <v>0</v>
      </c>
    </row>
    <row r="143" spans="1:32" s="351" customFormat="1" ht="45" x14ac:dyDescent="0.25">
      <c r="A143" s="363">
        <v>612</v>
      </c>
      <c r="B143" s="368">
        <v>612</v>
      </c>
      <c r="C143" s="369" t="s">
        <v>358</v>
      </c>
      <c r="D143" s="354">
        <v>0</v>
      </c>
      <c r="E143" s="354">
        <v>0</v>
      </c>
      <c r="F143" s="354">
        <v>0</v>
      </c>
      <c r="G143" s="354">
        <v>0</v>
      </c>
      <c r="H143" s="354">
        <v>0</v>
      </c>
      <c r="I143" s="354">
        <v>0</v>
      </c>
      <c r="J143" s="354">
        <v>0</v>
      </c>
      <c r="K143" s="354">
        <v>0</v>
      </c>
      <c r="L143" s="354">
        <v>0</v>
      </c>
      <c r="M143" s="354">
        <v>0</v>
      </c>
      <c r="N143" s="354">
        <v>0</v>
      </c>
      <c r="O143" s="354">
        <v>0</v>
      </c>
      <c r="P143" s="354">
        <v>0</v>
      </c>
      <c r="Q143" s="354">
        <v>0</v>
      </c>
      <c r="R143" s="354">
        <v>0</v>
      </c>
      <c r="S143" s="354">
        <v>0</v>
      </c>
      <c r="T143" s="354">
        <v>0</v>
      </c>
      <c r="U143" s="354">
        <v>0</v>
      </c>
      <c r="V143" s="354">
        <v>0</v>
      </c>
      <c r="W143" s="354">
        <v>0</v>
      </c>
      <c r="X143" s="354">
        <v>0</v>
      </c>
      <c r="Y143" s="354">
        <v>0</v>
      </c>
      <c r="Z143" s="354">
        <v>0</v>
      </c>
      <c r="AA143" s="354">
        <v>0</v>
      </c>
      <c r="AB143" s="354">
        <v>0</v>
      </c>
      <c r="AC143" s="354">
        <v>0</v>
      </c>
      <c r="AD143" s="354">
        <v>0</v>
      </c>
      <c r="AE143" s="354">
        <v>0</v>
      </c>
      <c r="AF143" s="354">
        <v>0</v>
      </c>
    </row>
    <row r="144" spans="1:32" s="351" customFormat="1" ht="30" x14ac:dyDescent="0.25">
      <c r="A144" s="359">
        <v>613</v>
      </c>
      <c r="B144" s="368">
        <v>613</v>
      </c>
      <c r="C144" s="369" t="s">
        <v>344</v>
      </c>
      <c r="D144" s="344">
        <v>0</v>
      </c>
      <c r="E144" s="344">
        <v>0</v>
      </c>
      <c r="F144" s="344">
        <v>0</v>
      </c>
      <c r="G144" s="344">
        <v>0</v>
      </c>
      <c r="H144" s="344">
        <v>0</v>
      </c>
      <c r="I144" s="344">
        <v>0</v>
      </c>
      <c r="J144" s="344">
        <v>0</v>
      </c>
      <c r="K144" s="344">
        <v>0</v>
      </c>
      <c r="L144" s="344">
        <v>0</v>
      </c>
      <c r="M144" s="344">
        <v>0</v>
      </c>
      <c r="N144" s="344">
        <v>0</v>
      </c>
      <c r="O144" s="344">
        <v>0</v>
      </c>
      <c r="P144" s="344">
        <v>0</v>
      </c>
      <c r="Q144" s="344">
        <v>0</v>
      </c>
      <c r="R144" s="344">
        <v>0</v>
      </c>
      <c r="S144" s="344">
        <v>0</v>
      </c>
      <c r="T144" s="344">
        <v>0</v>
      </c>
      <c r="U144" s="344">
        <v>0</v>
      </c>
      <c r="V144" s="344">
        <v>0</v>
      </c>
      <c r="W144" s="344">
        <v>0</v>
      </c>
      <c r="X144" s="344">
        <v>0</v>
      </c>
      <c r="Y144" s="344">
        <v>0</v>
      </c>
      <c r="Z144" s="344">
        <v>0</v>
      </c>
      <c r="AA144" s="344">
        <v>0</v>
      </c>
      <c r="AB144" s="344">
        <v>0</v>
      </c>
      <c r="AC144" s="344">
        <v>0</v>
      </c>
      <c r="AD144" s="344">
        <v>0</v>
      </c>
      <c r="AE144" s="344">
        <v>0</v>
      </c>
      <c r="AF144" s="344">
        <v>0</v>
      </c>
    </row>
    <row r="145" spans="1:32" s="351" customFormat="1" ht="30" x14ac:dyDescent="0.25">
      <c r="A145" s="359">
        <v>614</v>
      </c>
      <c r="B145" s="368">
        <v>614</v>
      </c>
      <c r="C145" s="369" t="s">
        <v>345</v>
      </c>
      <c r="D145" s="344">
        <v>0</v>
      </c>
      <c r="E145" s="344">
        <v>0</v>
      </c>
      <c r="F145" s="344">
        <v>0</v>
      </c>
      <c r="G145" s="344">
        <v>0</v>
      </c>
      <c r="H145" s="344">
        <v>0</v>
      </c>
      <c r="I145" s="344">
        <v>0</v>
      </c>
      <c r="J145" s="344">
        <v>0</v>
      </c>
      <c r="K145" s="344">
        <v>0</v>
      </c>
      <c r="L145" s="344">
        <v>0</v>
      </c>
      <c r="M145" s="344">
        <v>0</v>
      </c>
      <c r="N145" s="344">
        <v>0</v>
      </c>
      <c r="O145" s="344">
        <v>0</v>
      </c>
      <c r="P145" s="344">
        <v>0</v>
      </c>
      <c r="Q145" s="344">
        <v>0</v>
      </c>
      <c r="R145" s="344">
        <v>0</v>
      </c>
      <c r="S145" s="344">
        <v>0</v>
      </c>
      <c r="T145" s="344">
        <v>0</v>
      </c>
      <c r="U145" s="344">
        <v>0</v>
      </c>
      <c r="V145" s="344">
        <v>0</v>
      </c>
      <c r="W145" s="344">
        <v>0</v>
      </c>
      <c r="X145" s="344">
        <v>0</v>
      </c>
      <c r="Y145" s="344">
        <v>0</v>
      </c>
      <c r="Z145" s="344">
        <v>0</v>
      </c>
      <c r="AA145" s="344">
        <v>0</v>
      </c>
      <c r="AB145" s="344">
        <v>0</v>
      </c>
      <c r="AC145" s="344">
        <v>0</v>
      </c>
      <c r="AD145" s="344">
        <v>0</v>
      </c>
      <c r="AE145" s="344">
        <v>0</v>
      </c>
      <c r="AF145" s="344">
        <v>0</v>
      </c>
    </row>
    <row r="146" spans="1:32" s="351" customFormat="1" ht="45" x14ac:dyDescent="0.25">
      <c r="A146" s="363">
        <v>615</v>
      </c>
      <c r="B146" s="368">
        <v>615</v>
      </c>
      <c r="C146" s="369" t="s">
        <v>359</v>
      </c>
      <c r="D146" s="354">
        <v>0</v>
      </c>
      <c r="E146" s="354">
        <v>0</v>
      </c>
      <c r="F146" s="354">
        <v>0</v>
      </c>
      <c r="G146" s="354">
        <v>0</v>
      </c>
      <c r="H146" s="354">
        <v>0</v>
      </c>
      <c r="I146" s="354">
        <v>0</v>
      </c>
      <c r="J146" s="354">
        <v>0</v>
      </c>
      <c r="K146" s="354">
        <v>0</v>
      </c>
      <c r="L146" s="354">
        <v>0</v>
      </c>
      <c r="M146" s="354">
        <v>0</v>
      </c>
      <c r="N146" s="354">
        <v>0</v>
      </c>
      <c r="O146" s="354">
        <v>0</v>
      </c>
      <c r="P146" s="354">
        <v>0</v>
      </c>
      <c r="Q146" s="354">
        <v>0</v>
      </c>
      <c r="R146" s="354">
        <v>0</v>
      </c>
      <c r="S146" s="354">
        <v>0</v>
      </c>
      <c r="T146" s="354">
        <v>0</v>
      </c>
      <c r="U146" s="354">
        <v>0</v>
      </c>
      <c r="V146" s="354">
        <v>0</v>
      </c>
      <c r="W146" s="354">
        <v>0</v>
      </c>
      <c r="X146" s="354">
        <v>0</v>
      </c>
      <c r="Y146" s="354">
        <v>0</v>
      </c>
      <c r="Z146" s="354">
        <v>0</v>
      </c>
      <c r="AA146" s="354">
        <v>0</v>
      </c>
      <c r="AB146" s="354">
        <v>0</v>
      </c>
      <c r="AC146" s="354">
        <v>0</v>
      </c>
      <c r="AD146" s="354">
        <v>0</v>
      </c>
      <c r="AE146" s="354">
        <v>0</v>
      </c>
      <c r="AF146" s="354">
        <v>0</v>
      </c>
    </row>
    <row r="147" spans="1:32" s="351" customFormat="1" ht="30" x14ac:dyDescent="0.25">
      <c r="A147" s="359">
        <v>616</v>
      </c>
      <c r="B147" s="368">
        <v>616</v>
      </c>
      <c r="C147" s="369" t="s">
        <v>346</v>
      </c>
      <c r="D147" s="344">
        <v>0</v>
      </c>
      <c r="E147" s="344">
        <v>0</v>
      </c>
      <c r="F147" s="344">
        <v>0</v>
      </c>
      <c r="G147" s="344">
        <v>0</v>
      </c>
      <c r="H147" s="344">
        <v>0</v>
      </c>
      <c r="I147" s="344">
        <v>0</v>
      </c>
      <c r="J147" s="344">
        <v>0</v>
      </c>
      <c r="K147" s="344">
        <v>0</v>
      </c>
      <c r="L147" s="344">
        <v>0</v>
      </c>
      <c r="M147" s="344">
        <v>0</v>
      </c>
      <c r="N147" s="344">
        <v>0</v>
      </c>
      <c r="O147" s="344">
        <v>0</v>
      </c>
      <c r="P147" s="344">
        <v>0</v>
      </c>
      <c r="Q147" s="344">
        <v>0</v>
      </c>
      <c r="R147" s="344">
        <v>0</v>
      </c>
      <c r="S147" s="344">
        <v>0</v>
      </c>
      <c r="T147" s="344">
        <v>0</v>
      </c>
      <c r="U147" s="344">
        <v>0</v>
      </c>
      <c r="V147" s="344">
        <v>0</v>
      </c>
      <c r="W147" s="344">
        <v>0</v>
      </c>
      <c r="X147" s="344">
        <v>0</v>
      </c>
      <c r="Y147" s="344">
        <v>0</v>
      </c>
      <c r="Z147" s="344">
        <v>0</v>
      </c>
      <c r="AA147" s="344">
        <v>0</v>
      </c>
      <c r="AB147" s="344">
        <v>0</v>
      </c>
      <c r="AC147" s="344">
        <v>0</v>
      </c>
      <c r="AD147" s="344">
        <v>0</v>
      </c>
      <c r="AE147" s="344">
        <v>0</v>
      </c>
      <c r="AF147" s="344">
        <v>0</v>
      </c>
    </row>
    <row r="148" spans="1:32" ht="30" x14ac:dyDescent="0.25">
      <c r="A148" s="363">
        <v>617</v>
      </c>
      <c r="B148" s="368">
        <v>617</v>
      </c>
      <c r="C148" s="369" t="s">
        <v>347</v>
      </c>
      <c r="D148" s="344">
        <v>0</v>
      </c>
      <c r="E148" s="344">
        <v>0</v>
      </c>
      <c r="F148" s="344">
        <v>0</v>
      </c>
      <c r="G148" s="344">
        <v>0</v>
      </c>
      <c r="H148" s="344">
        <v>0</v>
      </c>
      <c r="I148" s="344">
        <v>0</v>
      </c>
      <c r="J148" s="344">
        <v>0</v>
      </c>
      <c r="K148" s="344">
        <v>0</v>
      </c>
      <c r="L148" s="344">
        <v>0</v>
      </c>
      <c r="M148" s="344">
        <v>0</v>
      </c>
      <c r="N148" s="344">
        <v>0</v>
      </c>
      <c r="O148" s="344">
        <v>0</v>
      </c>
      <c r="P148" s="344">
        <v>0</v>
      </c>
      <c r="Q148" s="344">
        <v>0</v>
      </c>
      <c r="R148" s="344">
        <v>0</v>
      </c>
      <c r="S148" s="344">
        <v>0</v>
      </c>
      <c r="T148" s="344">
        <v>0</v>
      </c>
      <c r="U148" s="344">
        <v>0</v>
      </c>
      <c r="V148" s="344">
        <v>0</v>
      </c>
      <c r="W148" s="344">
        <v>0</v>
      </c>
      <c r="X148" s="344">
        <v>0</v>
      </c>
      <c r="Y148" s="344">
        <v>0</v>
      </c>
      <c r="Z148" s="344">
        <v>0</v>
      </c>
      <c r="AA148" s="344">
        <v>0</v>
      </c>
      <c r="AB148" s="344">
        <v>0</v>
      </c>
      <c r="AC148" s="344">
        <v>0</v>
      </c>
      <c r="AD148" s="344">
        <v>0</v>
      </c>
      <c r="AE148" s="344">
        <v>0</v>
      </c>
      <c r="AF148" s="344">
        <v>0</v>
      </c>
    </row>
    <row r="149" spans="1:32" ht="45" x14ac:dyDescent="0.25">
      <c r="A149" s="363">
        <v>618</v>
      </c>
      <c r="B149" s="368">
        <v>618</v>
      </c>
      <c r="C149" s="369" t="s">
        <v>360</v>
      </c>
      <c r="D149" s="354">
        <v>0</v>
      </c>
      <c r="E149" s="354">
        <v>0</v>
      </c>
      <c r="F149" s="354">
        <v>0</v>
      </c>
      <c r="G149" s="354">
        <v>0</v>
      </c>
      <c r="H149" s="354">
        <v>0</v>
      </c>
      <c r="I149" s="354">
        <v>0</v>
      </c>
      <c r="J149" s="354">
        <v>0</v>
      </c>
      <c r="K149" s="354">
        <v>0</v>
      </c>
      <c r="L149" s="354">
        <v>0</v>
      </c>
      <c r="M149" s="354">
        <v>0</v>
      </c>
      <c r="N149" s="354">
        <v>0</v>
      </c>
      <c r="O149" s="354">
        <v>0</v>
      </c>
      <c r="P149" s="354">
        <v>0</v>
      </c>
      <c r="Q149" s="354">
        <v>0</v>
      </c>
      <c r="R149" s="354">
        <v>0</v>
      </c>
      <c r="S149" s="354">
        <v>0</v>
      </c>
      <c r="T149" s="354">
        <v>0</v>
      </c>
      <c r="U149" s="354">
        <v>0</v>
      </c>
      <c r="V149" s="354">
        <v>0</v>
      </c>
      <c r="W149" s="354">
        <v>0</v>
      </c>
      <c r="X149" s="354">
        <v>0</v>
      </c>
      <c r="Y149" s="354">
        <v>0</v>
      </c>
      <c r="Z149" s="354">
        <v>0</v>
      </c>
      <c r="AA149" s="354">
        <v>0</v>
      </c>
      <c r="AB149" s="354">
        <v>0</v>
      </c>
      <c r="AC149" s="354">
        <v>0</v>
      </c>
      <c r="AD149" s="354">
        <v>0</v>
      </c>
      <c r="AE149" s="354">
        <v>0</v>
      </c>
      <c r="AF149" s="354">
        <v>0</v>
      </c>
    </row>
    <row r="150" spans="1:32" ht="75" x14ac:dyDescent="0.25">
      <c r="A150" s="363">
        <v>620</v>
      </c>
      <c r="B150" s="368">
        <v>620</v>
      </c>
      <c r="C150" s="369" t="s">
        <v>353</v>
      </c>
      <c r="D150" s="344">
        <v>2</v>
      </c>
      <c r="E150" s="344">
        <v>2</v>
      </c>
      <c r="F150" s="344">
        <v>2</v>
      </c>
      <c r="G150" s="344">
        <v>2</v>
      </c>
      <c r="H150" s="344">
        <v>2</v>
      </c>
      <c r="I150" s="344">
        <v>2</v>
      </c>
      <c r="J150" s="344">
        <v>2</v>
      </c>
      <c r="K150" s="344">
        <v>2</v>
      </c>
      <c r="L150" s="344">
        <v>2</v>
      </c>
      <c r="M150" s="344">
        <v>2</v>
      </c>
      <c r="N150" s="344">
        <v>2</v>
      </c>
      <c r="O150" s="344">
        <v>0</v>
      </c>
      <c r="P150" s="344">
        <v>0</v>
      </c>
      <c r="Q150" s="344">
        <v>2</v>
      </c>
      <c r="R150" s="344">
        <v>2</v>
      </c>
      <c r="S150" s="344">
        <v>2</v>
      </c>
      <c r="T150" s="344">
        <v>2</v>
      </c>
      <c r="U150" s="344">
        <v>2</v>
      </c>
      <c r="V150" s="344">
        <v>2</v>
      </c>
      <c r="W150" s="344">
        <v>2</v>
      </c>
      <c r="X150" s="344">
        <v>1</v>
      </c>
      <c r="Y150" s="344">
        <v>2</v>
      </c>
      <c r="Z150" s="344">
        <v>2</v>
      </c>
      <c r="AA150" s="344">
        <v>0</v>
      </c>
      <c r="AB150" s="344">
        <v>0</v>
      </c>
      <c r="AC150" s="344">
        <v>2</v>
      </c>
      <c r="AD150" s="344">
        <v>2</v>
      </c>
      <c r="AE150" s="344">
        <v>2</v>
      </c>
      <c r="AF150" s="344">
        <v>2</v>
      </c>
    </row>
    <row r="151" spans="1:32" ht="26.25" customHeight="1" x14ac:dyDescent="0.25">
      <c r="A151" s="363">
        <v>622</v>
      </c>
      <c r="B151" s="371">
        <v>622</v>
      </c>
      <c r="C151" s="372" t="s">
        <v>365</v>
      </c>
      <c r="D151" s="373">
        <v>0</v>
      </c>
      <c r="E151" s="373">
        <v>1211318</v>
      </c>
      <c r="F151" s="373">
        <v>0</v>
      </c>
      <c r="G151" s="373">
        <v>0</v>
      </c>
      <c r="H151" s="373">
        <v>0</v>
      </c>
      <c r="I151" s="373">
        <v>0</v>
      </c>
      <c r="J151" s="373">
        <v>134092</v>
      </c>
      <c r="K151" s="373">
        <v>0</v>
      </c>
      <c r="L151" s="373">
        <v>72831</v>
      </c>
      <c r="M151" s="373">
        <v>0</v>
      </c>
      <c r="N151" s="373">
        <v>0</v>
      </c>
      <c r="O151" s="373">
        <v>0</v>
      </c>
      <c r="P151" s="373">
        <v>0</v>
      </c>
      <c r="Q151" s="373">
        <v>105800</v>
      </c>
      <c r="R151" s="373">
        <v>53140</v>
      </c>
      <c r="S151" s="373">
        <v>0</v>
      </c>
      <c r="T151" s="373">
        <v>48159</v>
      </c>
      <c r="U151" s="373">
        <v>0</v>
      </c>
      <c r="V151" s="373">
        <v>119092</v>
      </c>
      <c r="W151" s="373">
        <v>0</v>
      </c>
      <c r="X151" s="373">
        <v>962934</v>
      </c>
      <c r="Y151" s="373">
        <v>364866</v>
      </c>
      <c r="Z151" s="373">
        <v>268025</v>
      </c>
      <c r="AA151" s="373">
        <v>0</v>
      </c>
      <c r="AB151" s="373">
        <v>0</v>
      </c>
      <c r="AC151" s="373">
        <v>45783</v>
      </c>
      <c r="AD151" s="373">
        <v>0</v>
      </c>
      <c r="AE151" s="373">
        <v>0</v>
      </c>
      <c r="AF151" s="373">
        <v>0</v>
      </c>
    </row>
    <row r="152" spans="1:32" ht="114" x14ac:dyDescent="0.25">
      <c r="A152" s="363">
        <v>625</v>
      </c>
      <c r="B152" s="371">
        <v>625</v>
      </c>
      <c r="C152" s="374" t="s">
        <v>515</v>
      </c>
      <c r="D152" s="373">
        <v>2</v>
      </c>
      <c r="E152" s="373">
        <v>1</v>
      </c>
      <c r="F152" s="373">
        <v>1</v>
      </c>
      <c r="G152" s="373">
        <v>1</v>
      </c>
      <c r="H152" s="373">
        <v>3</v>
      </c>
      <c r="I152" s="373">
        <v>1</v>
      </c>
      <c r="J152" s="373">
        <v>1</v>
      </c>
      <c r="K152" s="373">
        <v>1</v>
      </c>
      <c r="L152" s="373">
        <v>1</v>
      </c>
      <c r="M152" s="373">
        <v>1</v>
      </c>
      <c r="N152" s="373">
        <v>2</v>
      </c>
      <c r="O152" s="373">
        <v>0</v>
      </c>
      <c r="P152" s="373">
        <v>1</v>
      </c>
      <c r="Q152" s="373">
        <v>1</v>
      </c>
      <c r="R152" s="373">
        <v>1</v>
      </c>
      <c r="S152" s="373">
        <v>1</v>
      </c>
      <c r="T152" s="373">
        <v>1</v>
      </c>
      <c r="U152" s="373">
        <v>1</v>
      </c>
      <c r="V152" s="373">
        <v>1</v>
      </c>
      <c r="W152" s="373">
        <v>2</v>
      </c>
      <c r="X152" s="373">
        <v>1</v>
      </c>
      <c r="Y152" s="373">
        <v>1</v>
      </c>
      <c r="Z152" s="373">
        <v>4</v>
      </c>
      <c r="AA152" s="373">
        <v>0</v>
      </c>
      <c r="AB152" s="373">
        <v>1</v>
      </c>
      <c r="AC152" s="373">
        <v>4</v>
      </c>
      <c r="AD152" s="373">
        <v>1</v>
      </c>
      <c r="AE152" s="373">
        <v>1</v>
      </c>
      <c r="AF152" s="373">
        <v>1</v>
      </c>
    </row>
    <row r="153" spans="1:32" x14ac:dyDescent="0.25">
      <c r="A153" s="363"/>
      <c r="D153" s="376"/>
      <c r="E153" s="376"/>
      <c r="F153" s="376"/>
      <c r="G153" s="376"/>
      <c r="H153" s="376"/>
      <c r="I153" s="376"/>
      <c r="J153" s="376"/>
      <c r="K153" s="376"/>
      <c r="L153" s="376"/>
      <c r="M153" s="376"/>
      <c r="N153" s="376"/>
      <c r="O153" s="376"/>
      <c r="P153" s="376"/>
      <c r="Q153" s="376"/>
      <c r="R153" s="376"/>
      <c r="S153" s="376"/>
      <c r="T153" s="376"/>
      <c r="U153" s="376"/>
      <c r="V153" s="376"/>
      <c r="W153" s="376"/>
      <c r="X153" s="376"/>
      <c r="Y153" s="376"/>
      <c r="Z153" s="376"/>
      <c r="AA153" s="376"/>
      <c r="AB153" s="376"/>
      <c r="AC153" s="376"/>
      <c r="AD153" s="376"/>
      <c r="AE153" s="376"/>
      <c r="AF153" s="376"/>
    </row>
    <row r="154" spans="1:32" x14ac:dyDescent="0.25">
      <c r="A154" s="363"/>
      <c r="D154" s="275"/>
      <c r="E154" s="276"/>
      <c r="F154" s="275"/>
      <c r="G154" s="275"/>
      <c r="H154" s="275"/>
      <c r="I154" s="275"/>
      <c r="J154" s="275"/>
      <c r="K154" s="275"/>
      <c r="L154" s="275"/>
      <c r="M154" s="275"/>
      <c r="N154" s="275"/>
      <c r="P154" s="275"/>
      <c r="Q154" s="275"/>
      <c r="R154" s="275"/>
      <c r="S154" s="275"/>
      <c r="T154" s="433"/>
      <c r="U154" s="275"/>
      <c r="V154" s="275"/>
      <c r="W154" s="275"/>
      <c r="X154" s="275"/>
      <c r="Y154" s="275"/>
      <c r="Z154" s="275"/>
      <c r="AB154" s="275"/>
      <c r="AC154" s="275"/>
      <c r="AD154" s="275"/>
      <c r="AE154" s="275"/>
      <c r="AF154" s="275"/>
    </row>
    <row r="155" spans="1:32" x14ac:dyDescent="0.25">
      <c r="A155" s="363"/>
      <c r="D155" s="376"/>
      <c r="E155" s="376"/>
      <c r="F155" s="376"/>
      <c r="G155" s="376"/>
      <c r="H155" s="376"/>
      <c r="I155" s="376"/>
      <c r="J155" s="376"/>
      <c r="K155" s="376"/>
      <c r="L155" s="376"/>
      <c r="M155" s="376"/>
      <c r="N155" s="376"/>
      <c r="O155" s="376"/>
      <c r="P155" s="376"/>
      <c r="Q155" s="376"/>
      <c r="R155" s="376"/>
      <c r="S155" s="376"/>
      <c r="T155" s="376"/>
      <c r="U155" s="376"/>
      <c r="V155" s="376"/>
      <c r="W155" s="376"/>
      <c r="X155" s="376"/>
      <c r="Y155" s="376"/>
      <c r="Z155" s="376"/>
      <c r="AA155" s="376"/>
      <c r="AB155" s="376"/>
      <c r="AC155" s="376"/>
      <c r="AD155" s="376"/>
      <c r="AE155" s="376"/>
      <c r="AF155" s="376"/>
    </row>
    <row r="156" spans="1:32" x14ac:dyDescent="0.25">
      <c r="A156" s="363"/>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row>
    <row r="157" spans="1:32" x14ac:dyDescent="0.25">
      <c r="A157" s="363"/>
      <c r="D157" s="375"/>
      <c r="E157" s="375"/>
      <c r="F157" s="375"/>
      <c r="G157" s="375"/>
      <c r="H157" s="375"/>
      <c r="I157" s="375"/>
      <c r="J157" s="375"/>
      <c r="K157" s="375"/>
      <c r="L157" s="375"/>
      <c r="M157" s="375"/>
      <c r="N157" s="375"/>
      <c r="O157" s="375"/>
      <c r="P157" s="375"/>
      <c r="Q157" s="375"/>
      <c r="R157" s="375"/>
      <c r="S157" s="375"/>
      <c r="T157" s="375"/>
      <c r="U157" s="375"/>
      <c r="V157" s="375"/>
      <c r="W157" s="375"/>
      <c r="X157" s="375"/>
      <c r="Y157" s="375"/>
      <c r="Z157" s="375"/>
      <c r="AA157" s="375"/>
      <c r="AB157" s="375"/>
      <c r="AC157" s="375"/>
      <c r="AD157" s="375"/>
      <c r="AE157" s="375"/>
      <c r="AF157" s="375"/>
    </row>
    <row r="158" spans="1:32" x14ac:dyDescent="0.25">
      <c r="A158" s="363"/>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row>
    <row r="159" spans="1:32" x14ac:dyDescent="0.25">
      <c r="D159" s="275"/>
      <c r="E159" s="275"/>
      <c r="F159" s="275"/>
      <c r="G159" s="275"/>
      <c r="H159" s="275"/>
      <c r="I159" s="275"/>
      <c r="J159" s="275"/>
      <c r="K159" s="275"/>
      <c r="L159" s="275"/>
      <c r="M159" s="275"/>
      <c r="N159" s="275"/>
      <c r="O159" s="275"/>
      <c r="P159" s="275"/>
      <c r="Q159" s="275"/>
      <c r="R159" s="275"/>
      <c r="S159" s="275"/>
      <c r="T159" s="275"/>
      <c r="U159" s="275"/>
      <c r="V159" s="275"/>
      <c r="W159" s="275"/>
      <c r="X159" s="275"/>
      <c r="Y159" s="275"/>
      <c r="Z159" s="275"/>
      <c r="AA159" s="275"/>
      <c r="AB159" s="275"/>
      <c r="AC159" s="275"/>
      <c r="AD159" s="275"/>
      <c r="AE159" s="275"/>
      <c r="AF159" s="275"/>
    </row>
    <row r="160" spans="1:32" ht="31.5" customHeight="1" x14ac:dyDescent="0.2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5"/>
    </row>
    <row r="161" spans="2:32" x14ac:dyDescent="0.2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c r="AA161" s="275"/>
      <c r="AB161" s="275"/>
      <c r="AC161" s="275"/>
      <c r="AD161" s="275"/>
      <c r="AE161" s="275"/>
      <c r="AF161" s="275"/>
    </row>
    <row r="162" spans="2:32" x14ac:dyDescent="0.25">
      <c r="B162" s="430"/>
      <c r="D162" s="275"/>
      <c r="E162" s="275"/>
      <c r="F162" s="275"/>
      <c r="G162" s="275"/>
      <c r="H162" s="275"/>
      <c r="I162" s="275"/>
      <c r="J162" s="275"/>
      <c r="K162" s="275"/>
      <c r="L162" s="275"/>
      <c r="M162" s="275"/>
      <c r="N162" s="275"/>
      <c r="O162" s="275"/>
      <c r="P162" s="275"/>
      <c r="Q162" s="275"/>
      <c r="R162" s="275"/>
      <c r="S162" s="275"/>
      <c r="T162" s="275"/>
      <c r="U162" s="275"/>
      <c r="V162" s="275"/>
      <c r="W162" s="275"/>
      <c r="X162" s="275"/>
      <c r="Y162" s="275"/>
      <c r="Z162" s="275"/>
      <c r="AA162" s="275"/>
      <c r="AB162" s="275"/>
      <c r="AC162" s="275"/>
      <c r="AD162" s="275"/>
      <c r="AE162" s="275"/>
      <c r="AF162" s="275"/>
    </row>
    <row r="163" spans="2:32" x14ac:dyDescent="0.25">
      <c r="D163" s="275"/>
      <c r="E163" s="275"/>
      <c r="F163" s="275"/>
      <c r="G163" s="275"/>
      <c r="H163" s="275"/>
      <c r="I163" s="275"/>
      <c r="J163" s="275"/>
      <c r="K163" s="275"/>
      <c r="L163" s="275"/>
      <c r="M163" s="275"/>
      <c r="N163" s="275"/>
      <c r="O163" s="275"/>
      <c r="P163" s="275"/>
      <c r="Q163" s="275"/>
      <c r="R163" s="275"/>
      <c r="S163" s="275"/>
      <c r="T163" s="275"/>
      <c r="U163" s="275"/>
      <c r="V163" s="275"/>
      <c r="W163" s="275"/>
      <c r="X163" s="275"/>
      <c r="Y163" s="275"/>
      <c r="Z163" s="275"/>
      <c r="AA163" s="275"/>
      <c r="AB163" s="275"/>
      <c r="AC163" s="275"/>
      <c r="AD163" s="275"/>
      <c r="AE163" s="275"/>
      <c r="AF163" s="275"/>
    </row>
    <row r="164" spans="2:32" x14ac:dyDescent="0.2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c r="AE164" s="275"/>
      <c r="AF164" s="275"/>
    </row>
    <row r="165" spans="2:32" x14ac:dyDescent="0.25">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row>
    <row r="166" spans="2:32" x14ac:dyDescent="0.2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row>
    <row r="167" spans="2:32" x14ac:dyDescent="0.25">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c r="AF167" s="275"/>
    </row>
    <row r="168" spans="2:32" x14ac:dyDescent="0.2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row>
    <row r="169" spans="2:32" x14ac:dyDescent="0.2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c r="AE169" s="275"/>
      <c r="AF169" s="275"/>
    </row>
    <row r="170" spans="2:32" x14ac:dyDescent="0.2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row>
    <row r="171" spans="2:32" x14ac:dyDescent="0.2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275"/>
      <c r="AF171" s="275"/>
    </row>
    <row r="172" spans="2:32" x14ac:dyDescent="0.25">
      <c r="D172" s="275"/>
      <c r="E172" s="275"/>
      <c r="F172" s="275"/>
      <c r="G172" s="275"/>
      <c r="H172" s="275"/>
      <c r="I172" s="275"/>
      <c r="J172" s="275"/>
      <c r="K172" s="275"/>
      <c r="L172" s="275"/>
      <c r="M172" s="275"/>
      <c r="N172" s="275"/>
      <c r="O172" s="275"/>
      <c r="P172" s="275"/>
      <c r="Q172" s="275"/>
      <c r="R172" s="275"/>
      <c r="S172" s="275"/>
      <c r="T172" s="275"/>
      <c r="U172" s="275"/>
      <c r="V172" s="275"/>
      <c r="W172" s="275"/>
      <c r="X172" s="275"/>
      <c r="Y172" s="275"/>
      <c r="Z172" s="275"/>
      <c r="AA172" s="275"/>
      <c r="AB172" s="275"/>
      <c r="AC172" s="275"/>
      <c r="AD172" s="275"/>
      <c r="AE172" s="275"/>
      <c r="AF172" s="275"/>
    </row>
    <row r="173" spans="2:32" x14ac:dyDescent="0.25">
      <c r="D173" s="275"/>
      <c r="E173" s="275"/>
      <c r="F173" s="275"/>
      <c r="G173" s="275"/>
      <c r="H173" s="275"/>
      <c r="I173" s="275"/>
      <c r="J173" s="275"/>
      <c r="K173" s="275"/>
      <c r="L173" s="275"/>
      <c r="M173" s="275"/>
      <c r="N173" s="275"/>
      <c r="O173" s="275"/>
      <c r="P173" s="275"/>
      <c r="Q173" s="275"/>
      <c r="R173" s="275"/>
      <c r="S173" s="275"/>
      <c r="T173" s="275"/>
      <c r="U173" s="275"/>
      <c r="V173" s="275"/>
      <c r="W173" s="275"/>
      <c r="X173" s="275"/>
      <c r="Y173" s="275"/>
      <c r="Z173" s="275"/>
      <c r="AA173" s="275"/>
      <c r="AB173" s="275"/>
      <c r="AC173" s="275"/>
      <c r="AD173" s="275"/>
      <c r="AE173" s="275"/>
      <c r="AF173" s="275"/>
    </row>
    <row r="174" spans="2:32" x14ac:dyDescent="0.25">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c r="AF174" s="275"/>
    </row>
    <row r="175" spans="2:32" x14ac:dyDescent="0.25">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275"/>
      <c r="AD175" s="275"/>
      <c r="AE175" s="275"/>
      <c r="AF175" s="275"/>
    </row>
    <row r="176" spans="2:32" x14ac:dyDescent="0.25">
      <c r="D176" s="275"/>
      <c r="E176" s="275"/>
      <c r="F176" s="275"/>
      <c r="G176" s="275"/>
      <c r="H176" s="275"/>
      <c r="I176" s="275"/>
      <c r="J176" s="275"/>
      <c r="K176" s="275"/>
      <c r="L176" s="275"/>
      <c r="M176" s="275"/>
      <c r="N176" s="275"/>
      <c r="O176" s="275"/>
      <c r="P176" s="275"/>
      <c r="Q176" s="275"/>
      <c r="R176" s="275"/>
      <c r="S176" s="275"/>
      <c r="T176" s="275"/>
      <c r="U176" s="275"/>
      <c r="V176" s="275"/>
      <c r="W176" s="275"/>
      <c r="X176" s="275"/>
      <c r="Y176" s="275"/>
      <c r="Z176" s="275"/>
      <c r="AA176" s="275"/>
      <c r="AB176" s="275"/>
      <c r="AC176" s="275"/>
      <c r="AD176" s="275"/>
      <c r="AE176" s="275"/>
      <c r="AF176" s="275"/>
    </row>
    <row r="177" spans="1:32" x14ac:dyDescent="0.25">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275"/>
      <c r="AF177" s="275"/>
    </row>
    <row r="178" spans="1:32" x14ac:dyDescent="0.25">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c r="AB178" s="275"/>
      <c r="AC178" s="275"/>
      <c r="AD178" s="275"/>
      <c r="AE178" s="275"/>
      <c r="AF178" s="275"/>
    </row>
    <row r="179" spans="1:32" x14ac:dyDescent="0.25">
      <c r="D179" s="275"/>
      <c r="E179" s="275"/>
      <c r="F179" s="275"/>
      <c r="G179" s="275"/>
      <c r="H179" s="275"/>
      <c r="I179" s="275"/>
      <c r="J179" s="275"/>
      <c r="K179" s="275"/>
      <c r="L179" s="275"/>
      <c r="M179" s="275"/>
      <c r="N179" s="275"/>
      <c r="O179" s="275"/>
      <c r="P179" s="275"/>
      <c r="Q179" s="275"/>
      <c r="R179" s="275"/>
      <c r="S179" s="275"/>
      <c r="T179" s="275"/>
      <c r="U179" s="275"/>
      <c r="V179" s="275"/>
      <c r="W179" s="275"/>
      <c r="X179" s="275"/>
      <c r="Y179" s="275"/>
      <c r="Z179" s="275"/>
      <c r="AA179" s="275"/>
      <c r="AB179" s="275"/>
      <c r="AC179" s="275"/>
      <c r="AD179" s="275"/>
      <c r="AE179" s="275"/>
      <c r="AF179" s="275"/>
    </row>
    <row r="180" spans="1:32" x14ac:dyDescent="0.25">
      <c r="D180" s="275"/>
      <c r="E180" s="275"/>
      <c r="F180" s="275"/>
      <c r="G180" s="275"/>
      <c r="H180" s="275"/>
      <c r="I180" s="275"/>
      <c r="J180" s="275"/>
      <c r="K180" s="275"/>
      <c r="L180" s="275"/>
      <c r="M180" s="275"/>
      <c r="N180" s="275"/>
      <c r="O180" s="275"/>
      <c r="P180" s="275"/>
      <c r="Q180" s="275"/>
      <c r="R180" s="275"/>
      <c r="S180" s="275"/>
      <c r="T180" s="275"/>
      <c r="U180" s="275"/>
      <c r="V180" s="275"/>
      <c r="W180" s="275"/>
      <c r="X180" s="275"/>
      <c r="Y180" s="275"/>
      <c r="Z180" s="275"/>
      <c r="AA180" s="275"/>
      <c r="AB180" s="275"/>
      <c r="AC180" s="275"/>
      <c r="AD180" s="275"/>
      <c r="AE180" s="275"/>
      <c r="AF180" s="275"/>
    </row>
    <row r="181" spans="1:32" x14ac:dyDescent="0.2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275"/>
      <c r="AF181" s="275"/>
    </row>
    <row r="182" spans="1:32" x14ac:dyDescent="0.25">
      <c r="D182" s="275"/>
      <c r="E182" s="275"/>
      <c r="F182" s="275"/>
      <c r="G182" s="275"/>
      <c r="H182" s="275"/>
      <c r="I182" s="275"/>
      <c r="J182" s="275"/>
      <c r="K182" s="275"/>
      <c r="L182" s="275"/>
      <c r="M182" s="275"/>
      <c r="N182" s="275"/>
      <c r="O182" s="275"/>
      <c r="P182" s="275"/>
      <c r="Q182" s="275"/>
      <c r="R182" s="275"/>
      <c r="S182" s="275"/>
      <c r="T182" s="275"/>
      <c r="U182" s="275"/>
      <c r="V182" s="275"/>
      <c r="W182" s="275"/>
      <c r="X182" s="275"/>
      <c r="Y182" s="275"/>
      <c r="Z182" s="275"/>
      <c r="AA182" s="275"/>
      <c r="AB182" s="275"/>
      <c r="AC182" s="275"/>
      <c r="AD182" s="275"/>
      <c r="AE182" s="275"/>
      <c r="AF182" s="275"/>
    </row>
    <row r="183" spans="1:32" x14ac:dyDescent="0.25">
      <c r="D183" s="376"/>
      <c r="E183" s="376"/>
      <c r="F183" s="376"/>
      <c r="G183" s="376"/>
      <c r="H183" s="376"/>
      <c r="I183" s="376"/>
      <c r="J183" s="376"/>
      <c r="K183" s="376"/>
      <c r="L183" s="376"/>
      <c r="M183" s="376"/>
      <c r="N183" s="376"/>
      <c r="O183" s="376"/>
      <c r="P183" s="376"/>
      <c r="Q183" s="376"/>
      <c r="R183" s="376"/>
      <c r="S183" s="376"/>
      <c r="T183" s="376"/>
      <c r="U183" s="376"/>
      <c r="V183" s="376"/>
      <c r="W183" s="376"/>
      <c r="X183" s="376"/>
      <c r="Y183" s="376"/>
      <c r="Z183" s="376"/>
      <c r="AA183" s="376"/>
      <c r="AB183" s="376"/>
      <c r="AC183" s="376"/>
      <c r="AD183" s="376"/>
      <c r="AE183" s="376"/>
      <c r="AF183" s="376"/>
    </row>
    <row r="184" spans="1:32" x14ac:dyDescent="0.25">
      <c r="A184" s="363"/>
      <c r="D184" s="343"/>
      <c r="E184" s="343"/>
      <c r="F184" s="343"/>
      <c r="G184" s="343"/>
      <c r="H184" s="343"/>
      <c r="I184" s="343"/>
      <c r="J184" s="343"/>
      <c r="K184" s="343"/>
      <c r="L184" s="343"/>
      <c r="M184" s="343"/>
      <c r="N184" s="343"/>
      <c r="O184" s="343"/>
      <c r="P184" s="343"/>
      <c r="Q184" s="343"/>
      <c r="R184" s="343"/>
      <c r="S184" s="343"/>
      <c r="T184" s="343"/>
      <c r="U184" s="343"/>
      <c r="V184" s="343"/>
      <c r="W184" s="343"/>
      <c r="X184" s="343"/>
      <c r="Y184" s="343"/>
      <c r="Z184" s="343"/>
      <c r="AA184" s="343"/>
      <c r="AB184" s="343"/>
      <c r="AC184" s="343"/>
      <c r="AD184" s="343"/>
      <c r="AE184" s="343"/>
      <c r="AF184" s="343"/>
    </row>
    <row r="186" spans="1:32" x14ac:dyDescent="0.25">
      <c r="D186" s="275"/>
      <c r="E186" s="275"/>
      <c r="F186" s="275"/>
      <c r="G186" s="275"/>
      <c r="H186" s="275"/>
      <c r="I186" s="275"/>
      <c r="J186" s="275"/>
      <c r="K186" s="275"/>
      <c r="L186" s="275"/>
      <c r="M186" s="275"/>
      <c r="N186" s="275"/>
      <c r="O186" s="275"/>
      <c r="P186" s="275"/>
      <c r="Q186" s="275"/>
      <c r="R186" s="275"/>
      <c r="S186" s="275"/>
      <c r="T186" s="275"/>
      <c r="U186" s="275"/>
      <c r="V186" s="275"/>
      <c r="W186" s="275"/>
      <c r="X186" s="275"/>
      <c r="Y186" s="275"/>
      <c r="Z186" s="275"/>
      <c r="AA186" s="275"/>
      <c r="AB186" s="275"/>
      <c r="AC186" s="275"/>
      <c r="AD186" s="275"/>
      <c r="AE186" s="275"/>
      <c r="AF186" s="275"/>
    </row>
    <row r="188" spans="1:32" x14ac:dyDescent="0.25">
      <c r="D188" s="276"/>
      <c r="E188" s="276"/>
      <c r="F188" s="276"/>
      <c r="G188" s="276"/>
      <c r="H188" s="276"/>
      <c r="I188" s="276"/>
      <c r="J188" s="276"/>
      <c r="K188" s="276"/>
      <c r="L188" s="276"/>
      <c r="M188" s="276"/>
      <c r="N188" s="276"/>
      <c r="O188" s="276"/>
      <c r="P188" s="276"/>
      <c r="Q188" s="276"/>
      <c r="R188" s="276"/>
      <c r="S188" s="276"/>
      <c r="T188" s="276"/>
      <c r="U188" s="276"/>
      <c r="V188" s="276"/>
      <c r="W188" s="276"/>
      <c r="X188" s="276"/>
      <c r="Y188" s="276"/>
      <c r="Z188" s="276"/>
      <c r="AA188" s="276"/>
      <c r="AB188" s="276"/>
      <c r="AC188" s="276"/>
      <c r="AD188" s="276"/>
      <c r="AE188" s="276"/>
      <c r="AF188" s="276"/>
    </row>
    <row r="190" spans="1:32" x14ac:dyDescent="0.25">
      <c r="D190" s="376"/>
      <c r="AE190" s="376">
        <f>'Unit Data for Audit Worksheet'!E114</f>
        <v>0</v>
      </c>
    </row>
    <row r="191" spans="1:32" x14ac:dyDescent="0.25">
      <c r="D191" s="276"/>
    </row>
    <row r="192" spans="1:32" x14ac:dyDescent="0.25">
      <c r="AE192" s="276"/>
      <c r="AF192" s="276"/>
    </row>
    <row r="201" spans="1:1" x14ac:dyDescent="0.25">
      <c r="A201" s="377"/>
    </row>
    <row r="202" spans="1:1" x14ac:dyDescent="0.25">
      <c r="A202" s="368"/>
    </row>
    <row r="205" spans="1:1" x14ac:dyDescent="0.25">
      <c r="A205" s="368"/>
    </row>
    <row r="206" spans="1:1" x14ac:dyDescent="0.25">
      <c r="A206" s="363"/>
    </row>
    <row r="207" spans="1:1" x14ac:dyDescent="0.25">
      <c r="A207" s="363"/>
    </row>
    <row r="208" spans="1:1" x14ac:dyDescent="0.25">
      <c r="A208" s="363"/>
    </row>
    <row r="210" spans="1:1" x14ac:dyDescent="0.25">
      <c r="A210" s="363"/>
    </row>
    <row r="214" spans="1:1" x14ac:dyDescent="0.25">
      <c r="A214" s="363"/>
    </row>
    <row r="215" spans="1:1" x14ac:dyDescent="0.25">
      <c r="A215" s="363"/>
    </row>
    <row r="216" spans="1:1" x14ac:dyDescent="0.25">
      <c r="A216" s="341"/>
    </row>
    <row r="217" spans="1:1" x14ac:dyDescent="0.25">
      <c r="A217" s="350"/>
    </row>
    <row r="218" spans="1:1" x14ac:dyDescent="0.25">
      <c r="A218" s="350"/>
    </row>
    <row r="219" spans="1:1" x14ac:dyDescent="0.25">
      <c r="A219" s="350"/>
    </row>
    <row r="220" spans="1:1" x14ac:dyDescent="0.25">
      <c r="A220" s="368"/>
    </row>
    <row r="221" spans="1:1" x14ac:dyDescent="0.25">
      <c r="A221" s="368"/>
    </row>
    <row r="222" spans="1:1" x14ac:dyDescent="0.25">
      <c r="A222" s="368"/>
    </row>
    <row r="223" spans="1:1" x14ac:dyDescent="0.25">
      <c r="A223" s="363"/>
    </row>
    <row r="224" spans="1:1" x14ac:dyDescent="0.25">
      <c r="A224" s="363"/>
    </row>
    <row r="225" spans="1:1" x14ac:dyDescent="0.25">
      <c r="A225" s="363"/>
    </row>
    <row r="226" spans="1:1" x14ac:dyDescent="0.25">
      <c r="A226" s="363"/>
    </row>
    <row r="227" spans="1:1" x14ac:dyDescent="0.25">
      <c r="A227" s="363"/>
    </row>
    <row r="228" spans="1:1" x14ac:dyDescent="0.25">
      <c r="A228" s="364"/>
    </row>
    <row r="229" spans="1:1" x14ac:dyDescent="0.25">
      <c r="A229" s="364"/>
    </row>
    <row r="230" spans="1:1" x14ac:dyDescent="0.25">
      <c r="A230" s="350"/>
    </row>
    <row r="231" spans="1:1" x14ac:dyDescent="0.25">
      <c r="A231" s="350"/>
    </row>
    <row r="232" spans="1:1" x14ac:dyDescent="0.25">
      <c r="A232" s="350"/>
    </row>
    <row r="233" spans="1:1" x14ac:dyDescent="0.25">
      <c r="A233" s="378"/>
    </row>
    <row r="234" spans="1:1" x14ac:dyDescent="0.25">
      <c r="A234" s="378"/>
    </row>
    <row r="235" spans="1:1" x14ac:dyDescent="0.25">
      <c r="A235" s="378"/>
    </row>
    <row r="236" spans="1:1" x14ac:dyDescent="0.25">
      <c r="A236" s="355"/>
    </row>
    <row r="237" spans="1:1" x14ac:dyDescent="0.25">
      <c r="A237" s="379"/>
    </row>
    <row r="238" spans="1:1" x14ac:dyDescent="0.25">
      <c r="A238" s="379"/>
    </row>
    <row r="239" spans="1:1" x14ac:dyDescent="0.25">
      <c r="A239" s="379"/>
    </row>
    <row r="240" spans="1:1" x14ac:dyDescent="0.25">
      <c r="A240" s="379"/>
    </row>
    <row r="241" spans="1:1" x14ac:dyDescent="0.25">
      <c r="A241" s="379"/>
    </row>
    <row r="242" spans="1:1" x14ac:dyDescent="0.25">
      <c r="A242" s="379"/>
    </row>
    <row r="243" spans="1:1" x14ac:dyDescent="0.25">
      <c r="A243" s="379"/>
    </row>
    <row r="244" spans="1:1" x14ac:dyDescent="0.25">
      <c r="A244" s="379"/>
    </row>
    <row r="245" spans="1:1" x14ac:dyDescent="0.25">
      <c r="A245" s="380"/>
    </row>
    <row r="246" spans="1:1" x14ac:dyDescent="0.25">
      <c r="A246" s="381"/>
    </row>
    <row r="247" spans="1:1" x14ac:dyDescent="0.25">
      <c r="A247" s="382"/>
    </row>
    <row r="248" spans="1:1" x14ac:dyDescent="0.25">
      <c r="A248" s="382"/>
    </row>
    <row r="249" spans="1:1" x14ac:dyDescent="0.25">
      <c r="A249" s="383"/>
    </row>
    <row r="250" spans="1:1" x14ac:dyDescent="0.25">
      <c r="A250" s="368"/>
    </row>
    <row r="251" spans="1:1" x14ac:dyDescent="0.25">
      <c r="A251" s="368"/>
    </row>
    <row r="252" spans="1:1" x14ac:dyDescent="0.25">
      <c r="A252" s="368"/>
    </row>
    <row r="253" spans="1:1" x14ac:dyDescent="0.25">
      <c r="A253" s="368"/>
    </row>
    <row r="256" spans="1:1" x14ac:dyDescent="0.25">
      <c r="A256" s="368"/>
    </row>
    <row r="257" spans="1:1" x14ac:dyDescent="0.25">
      <c r="A257" s="368"/>
    </row>
    <row r="258" spans="1:1" x14ac:dyDescent="0.25">
      <c r="A258" s="368"/>
    </row>
    <row r="259" spans="1:1" x14ac:dyDescent="0.25">
      <c r="A259" s="368"/>
    </row>
    <row r="260" spans="1:1" x14ac:dyDescent="0.25">
      <c r="A260" s="368"/>
    </row>
    <row r="261" spans="1:1" x14ac:dyDescent="0.25">
      <c r="A261" s="368"/>
    </row>
    <row r="262" spans="1:1" x14ac:dyDescent="0.25">
      <c r="A262" s="368"/>
    </row>
    <row r="263" spans="1:1" x14ac:dyDescent="0.25">
      <c r="A263" s="368"/>
    </row>
    <row r="264" spans="1:1" x14ac:dyDescent="0.25">
      <c r="A264" s="368"/>
    </row>
    <row r="265" spans="1:1" x14ac:dyDescent="0.25">
      <c r="A265" s="368"/>
    </row>
    <row r="266" spans="1:1" x14ac:dyDescent="0.25">
      <c r="A266" s="368"/>
    </row>
    <row r="267" spans="1:1" x14ac:dyDescent="0.25">
      <c r="A267" s="368"/>
    </row>
    <row r="268" spans="1:1" x14ac:dyDescent="0.25">
      <c r="A268" s="368"/>
    </row>
    <row r="269" spans="1:1" x14ac:dyDescent="0.25">
      <c r="A269" s="368"/>
    </row>
    <row r="270" spans="1:1" x14ac:dyDescent="0.25">
      <c r="A270" s="368"/>
    </row>
    <row r="271" spans="1:1" x14ac:dyDescent="0.25">
      <c r="A271" s="368"/>
    </row>
    <row r="272" spans="1:1" x14ac:dyDescent="0.25">
      <c r="A272" s="368"/>
    </row>
    <row r="273" spans="1:1" x14ac:dyDescent="0.25">
      <c r="A273" s="368"/>
    </row>
    <row r="274" spans="1:1" x14ac:dyDescent="0.25">
      <c r="A274" s="368"/>
    </row>
    <row r="275" spans="1:1" x14ac:dyDescent="0.25">
      <c r="A275" s="368"/>
    </row>
    <row r="276" spans="1:1" x14ac:dyDescent="0.25">
      <c r="A276" s="368"/>
    </row>
    <row r="277" spans="1:1" x14ac:dyDescent="0.25">
      <c r="A277" s="368"/>
    </row>
    <row r="278" spans="1:1" x14ac:dyDescent="0.25">
      <c r="A278" s="368"/>
    </row>
    <row r="279" spans="1:1" x14ac:dyDescent="0.25">
      <c r="A279" s="368"/>
    </row>
    <row r="280" spans="1:1" x14ac:dyDescent="0.25">
      <c r="A280" s="368"/>
    </row>
    <row r="281" spans="1:1" x14ac:dyDescent="0.25">
      <c r="A281" s="368"/>
    </row>
    <row r="282" spans="1:1" x14ac:dyDescent="0.25">
      <c r="A282" s="368"/>
    </row>
    <row r="283" spans="1:1" x14ac:dyDescent="0.25">
      <c r="A283" s="368"/>
    </row>
    <row r="284" spans="1:1" x14ac:dyDescent="0.25">
      <c r="A284" s="368"/>
    </row>
    <row r="285" spans="1:1" x14ac:dyDescent="0.25">
      <c r="A285" s="368"/>
    </row>
    <row r="286" spans="1:1" x14ac:dyDescent="0.25">
      <c r="A286" s="368"/>
    </row>
    <row r="287" spans="1:1" x14ac:dyDescent="0.25">
      <c r="A287" s="368"/>
    </row>
    <row r="288" spans="1:1" x14ac:dyDescent="0.25">
      <c r="A288" s="368"/>
    </row>
    <row r="289" spans="1:1" x14ac:dyDescent="0.25">
      <c r="A289" s="368"/>
    </row>
    <row r="290" spans="1:1" x14ac:dyDescent="0.25">
      <c r="A290" s="368"/>
    </row>
    <row r="291" spans="1:1" x14ac:dyDescent="0.25">
      <c r="A291" s="368"/>
    </row>
    <row r="292" spans="1:1" x14ac:dyDescent="0.25">
      <c r="A292" s="368"/>
    </row>
    <row r="293" spans="1:1" x14ac:dyDescent="0.25">
      <c r="A293" s="368"/>
    </row>
    <row r="294" spans="1:1" x14ac:dyDescent="0.25">
      <c r="A294" s="368"/>
    </row>
    <row r="295" spans="1:1" x14ac:dyDescent="0.25">
      <c r="A295" s="368"/>
    </row>
    <row r="296" spans="1:1" x14ac:dyDescent="0.25">
      <c r="A296" s="368"/>
    </row>
    <row r="297" spans="1:1" x14ac:dyDescent="0.25">
      <c r="A297" s="368"/>
    </row>
    <row r="298" spans="1:1" x14ac:dyDescent="0.25">
      <c r="A298" s="368"/>
    </row>
    <row r="299" spans="1:1" x14ac:dyDescent="0.25">
      <c r="A299" s="368"/>
    </row>
    <row r="300" spans="1:1" x14ac:dyDescent="0.25">
      <c r="A300" s="368"/>
    </row>
    <row r="301" spans="1:1" x14ac:dyDescent="0.25">
      <c r="A301" s="368"/>
    </row>
    <row r="302" spans="1:1" x14ac:dyDescent="0.25">
      <c r="A302" s="368"/>
    </row>
    <row r="303" spans="1:1" x14ac:dyDescent="0.25">
      <c r="A303" s="368"/>
    </row>
    <row r="304" spans="1:1" x14ac:dyDescent="0.25">
      <c r="A304" s="368"/>
    </row>
    <row r="305" spans="1:1" x14ac:dyDescent="0.25">
      <c r="A305" s="368"/>
    </row>
    <row r="306" spans="1:1" x14ac:dyDescent="0.25">
      <c r="A306" s="368"/>
    </row>
    <row r="307" spans="1:1" x14ac:dyDescent="0.25">
      <c r="A307" s="368"/>
    </row>
    <row r="308" spans="1:1" x14ac:dyDescent="0.25">
      <c r="A308" s="368"/>
    </row>
    <row r="309" spans="1:1" x14ac:dyDescent="0.25">
      <c r="A309" s="368"/>
    </row>
    <row r="310" spans="1:1" x14ac:dyDescent="0.25">
      <c r="A310" s="368"/>
    </row>
    <row r="311" spans="1:1" x14ac:dyDescent="0.25">
      <c r="A311" s="368"/>
    </row>
    <row r="312" spans="1:1" x14ac:dyDescent="0.25">
      <c r="A312" s="368"/>
    </row>
    <row r="313" spans="1:1" x14ac:dyDescent="0.25">
      <c r="A313" s="368"/>
    </row>
    <row r="314" spans="1:1" x14ac:dyDescent="0.25">
      <c r="A314" s="368"/>
    </row>
    <row r="315" spans="1:1" x14ac:dyDescent="0.25">
      <c r="A315" s="368"/>
    </row>
    <row r="316" spans="1:1" x14ac:dyDescent="0.25">
      <c r="A316" s="368"/>
    </row>
    <row r="317" spans="1:1" x14ac:dyDescent="0.25">
      <c r="A317" s="368"/>
    </row>
    <row r="318" spans="1:1" x14ac:dyDescent="0.25">
      <c r="A318" s="368"/>
    </row>
    <row r="319" spans="1:1" x14ac:dyDescent="0.25">
      <c r="A319" s="368"/>
    </row>
    <row r="320" spans="1:1" x14ac:dyDescent="0.25">
      <c r="A320" s="368"/>
    </row>
    <row r="321" spans="1:1" x14ac:dyDescent="0.25">
      <c r="A321" s="368"/>
    </row>
    <row r="322" spans="1:1" x14ac:dyDescent="0.25">
      <c r="A322" s="368"/>
    </row>
    <row r="323" spans="1:1" x14ac:dyDescent="0.25">
      <c r="A323" s="368"/>
    </row>
    <row r="324" spans="1:1" x14ac:dyDescent="0.25">
      <c r="A324" s="368"/>
    </row>
    <row r="325" spans="1:1" x14ac:dyDescent="0.25">
      <c r="A325" s="368"/>
    </row>
    <row r="326" spans="1:1" x14ac:dyDescent="0.25">
      <c r="A326" s="368"/>
    </row>
    <row r="327" spans="1:1" x14ac:dyDescent="0.25">
      <c r="A327" s="368"/>
    </row>
    <row r="328" spans="1:1" x14ac:dyDescent="0.25">
      <c r="A328" s="368"/>
    </row>
    <row r="329" spans="1:1" x14ac:dyDescent="0.25">
      <c r="A329" s="368"/>
    </row>
    <row r="330" spans="1:1" x14ac:dyDescent="0.25">
      <c r="A330" s="368"/>
    </row>
    <row r="331" spans="1:1" x14ac:dyDescent="0.25">
      <c r="A331" s="368"/>
    </row>
    <row r="332" spans="1:1" x14ac:dyDescent="0.25">
      <c r="A332" s="368"/>
    </row>
    <row r="333" spans="1:1" x14ac:dyDescent="0.25">
      <c r="A333" s="368"/>
    </row>
    <row r="334" spans="1:1" x14ac:dyDescent="0.25">
      <c r="A334" s="368"/>
    </row>
    <row r="335" spans="1:1" x14ac:dyDescent="0.25">
      <c r="A335" s="368"/>
    </row>
    <row r="336" spans="1:1" x14ac:dyDescent="0.25">
      <c r="A336" s="368"/>
    </row>
    <row r="337" spans="1:1" x14ac:dyDescent="0.25">
      <c r="A337" s="368"/>
    </row>
    <row r="338" spans="1:1" x14ac:dyDescent="0.25">
      <c r="A338" s="368"/>
    </row>
    <row r="339" spans="1:1" x14ac:dyDescent="0.25">
      <c r="A339" s="368"/>
    </row>
    <row r="340" spans="1:1" x14ac:dyDescent="0.25">
      <c r="A340" s="368"/>
    </row>
    <row r="341" spans="1:1" x14ac:dyDescent="0.25">
      <c r="A341" s="368"/>
    </row>
    <row r="342" spans="1:1" x14ac:dyDescent="0.25">
      <c r="A342" s="368"/>
    </row>
    <row r="343" spans="1:1" x14ac:dyDescent="0.25">
      <c r="A343" s="368"/>
    </row>
    <row r="344" spans="1:1" x14ac:dyDescent="0.25">
      <c r="A344" s="368"/>
    </row>
    <row r="345" spans="1:1" x14ac:dyDescent="0.25">
      <c r="A345" s="368"/>
    </row>
    <row r="346" spans="1:1" x14ac:dyDescent="0.25">
      <c r="A346" s="368"/>
    </row>
    <row r="347" spans="1:1" x14ac:dyDescent="0.25">
      <c r="A347" s="368"/>
    </row>
    <row r="348" spans="1:1" x14ac:dyDescent="0.25">
      <c r="A348" s="368"/>
    </row>
    <row r="349" spans="1:1" x14ac:dyDescent="0.25">
      <c r="A349" s="368"/>
    </row>
    <row r="350" spans="1:1" x14ac:dyDescent="0.25">
      <c r="A350" s="368"/>
    </row>
    <row r="351" spans="1:1" x14ac:dyDescent="0.25">
      <c r="A351" s="368"/>
    </row>
    <row r="352" spans="1:1" x14ac:dyDescent="0.25">
      <c r="A352" s="368"/>
    </row>
    <row r="353" spans="1:1" x14ac:dyDescent="0.25">
      <c r="A353" s="368"/>
    </row>
    <row r="354" spans="1:1" x14ac:dyDescent="0.25">
      <c r="A354" s="368"/>
    </row>
    <row r="355" spans="1:1" x14ac:dyDescent="0.25">
      <c r="A355" s="368"/>
    </row>
    <row r="356" spans="1:1" x14ac:dyDescent="0.25">
      <c r="A356" s="368"/>
    </row>
    <row r="357" spans="1:1" x14ac:dyDescent="0.25">
      <c r="A357" s="368"/>
    </row>
    <row r="358" spans="1:1" x14ac:dyDescent="0.25">
      <c r="A358" s="368"/>
    </row>
    <row r="359" spans="1:1" x14ac:dyDescent="0.25">
      <c r="A359" s="368"/>
    </row>
    <row r="360" spans="1:1" x14ac:dyDescent="0.25">
      <c r="A360" s="368"/>
    </row>
    <row r="361" spans="1:1" x14ac:dyDescent="0.25">
      <c r="A361" s="368"/>
    </row>
    <row r="362" spans="1:1" x14ac:dyDescent="0.25">
      <c r="A362" s="368"/>
    </row>
    <row r="363" spans="1:1" x14ac:dyDescent="0.25">
      <c r="A363" s="368"/>
    </row>
    <row r="364" spans="1:1" x14ac:dyDescent="0.25">
      <c r="A364" s="368"/>
    </row>
    <row r="365" spans="1:1" x14ac:dyDescent="0.25">
      <c r="A365" s="368"/>
    </row>
    <row r="366" spans="1:1" x14ac:dyDescent="0.25">
      <c r="A366" s="368"/>
    </row>
    <row r="367" spans="1:1" x14ac:dyDescent="0.25">
      <c r="A367" s="368"/>
    </row>
    <row r="368" spans="1:1" x14ac:dyDescent="0.25">
      <c r="A368" s="368"/>
    </row>
    <row r="369" spans="1:1" x14ac:dyDescent="0.25">
      <c r="A369" s="368"/>
    </row>
    <row r="370" spans="1:1" x14ac:dyDescent="0.25">
      <c r="A370" s="368"/>
    </row>
    <row r="371" spans="1:1" x14ac:dyDescent="0.25">
      <c r="A371" s="368"/>
    </row>
    <row r="372" spans="1:1" x14ac:dyDescent="0.25">
      <c r="A372" s="368"/>
    </row>
    <row r="373" spans="1:1" x14ac:dyDescent="0.25">
      <c r="A373" s="368"/>
    </row>
    <row r="374" spans="1:1" x14ac:dyDescent="0.25">
      <c r="A374" s="368"/>
    </row>
    <row r="375" spans="1:1" x14ac:dyDescent="0.25">
      <c r="A375" s="368"/>
    </row>
  </sheetData>
  <sortState xmlns:xlrd2="http://schemas.microsoft.com/office/spreadsheetml/2017/richdata2" ref="AI3:AI152">
    <sortCondition ref="AI3:AI15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82B8E91699FD4C849FABD4A7E509C3" ma:contentTypeVersion="0" ma:contentTypeDescription="Create a new document." ma:contentTypeScope="" ma:versionID="2cd2447c22f5f264a8d694dbba97a5f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8ED7BE-98F7-46AD-806A-4A5AD2D2AFDC}">
  <ds:schemaRefs>
    <ds:schemaRef ds:uri="http://schemas.microsoft.com/sharepoint/v3/contenttype/forms"/>
  </ds:schemaRefs>
</ds:datastoreItem>
</file>

<file path=customXml/itemProps2.xml><?xml version="1.0" encoding="utf-8"?>
<ds:datastoreItem xmlns:ds="http://schemas.openxmlformats.org/officeDocument/2006/customXml" ds:itemID="{CAF89FC5-4BED-4434-9FE9-D8A2A34C1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CA0F052-A202-4FFD-B02A-5FE80DBD2891}">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Unit Data for Audit Worksheet</vt:lpstr>
      <vt:lpstr>IMPORT</vt:lpstr>
      <vt:lpstr>RSS</vt:lpstr>
      <vt:lpstr>Unit Names</vt:lpstr>
      <vt:lpstr>2018 Data</vt:lpstr>
      <vt:lpstr>2019 Data</vt:lpstr>
      <vt:lpstr>Instructions!Print_Area</vt:lpstr>
      <vt:lpstr>'Unit Data for Audit Worksheet'!Print_Titles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Canady</dc:creator>
  <cp:lastModifiedBy>Rita Baker</cp:lastModifiedBy>
  <cp:lastPrinted>2020-08-12T22:32:29Z</cp:lastPrinted>
  <dcterms:created xsi:type="dcterms:W3CDTF">2011-03-11T21:05:05Z</dcterms:created>
  <dcterms:modified xsi:type="dcterms:W3CDTF">2020-08-25T21:09:40Z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tabName">
    <vt:lpwstr>2019 Review Year</vt:lpwstr>
  </property>
  <property fmtid="{D5CDD505-2E9C-101B-9397-08002B2CF9AE}" pid="5" name="tabIndex">
    <vt:lpwstr/>
  </property>
  <property fmtid="{D5CDD505-2E9C-101B-9397-08002B2CF9AE}" pid="6" name="workpaperIndex">
    <vt:lpwstr/>
  </property>
  <property fmtid="{D5CDD505-2E9C-101B-9397-08002B2CF9AE}" pid="7" name="Version">
    <vt:i4>20</vt:i4>
  </property>
</Properties>
</file>