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1.xml" ContentType="application/vnd.openxmlformats-officedocument.customXmlPropertie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17 Website Files\Pension Standards\"/>
    </mc:Choice>
  </mc:AlternateContent>
  <bookViews>
    <workbookView xWindow="720" yWindow="405" windowWidth="22755" windowHeight="14085"/>
  </bookViews>
  <sheets>
    <sheet name="Info" sheetId="14" r:id="rId1"/>
    <sheet name="JE Template" sheetId="16" r:id="rId2"/>
    <sheet name="CY - Summary Exhibit" sheetId="17" r:id="rId3"/>
    <sheet name="PY1 - Summary Exhibit" sheetId="12" r:id="rId4"/>
    <sheet name="PY2 - Summary Exhibit" sheetId="10" r:id="rId5"/>
  </sheets>
  <externalReferences>
    <externalReference r:id="rId6"/>
    <externalReference r:id="rId7"/>
    <externalReference r:id="rId8"/>
    <externalReference r:id="rId9"/>
    <externalReference r:id="rId10"/>
  </externalReferences>
  <definedNames>
    <definedName name="_xlnm._FilterDatabase" localSheetId="3" hidden="1">'PY1 - Summary Exhibit'!$B$2:$U$102</definedName>
    <definedName name="AgencyCode" localSheetId="2">#REF!</definedName>
    <definedName name="AgencyCode" localSheetId="0">#REF!</definedName>
    <definedName name="AgencyCode" localSheetId="1">#REF!</definedName>
    <definedName name="AgencyCode" localSheetId="3">#REF!</definedName>
    <definedName name="AgencyCode" localSheetId="4">#REF!</definedName>
    <definedName name="AgencyCode">#REF!</definedName>
    <definedName name="Annuity" localSheetId="2">'[1]Assets Input'!$E$36:$E$59</definedName>
    <definedName name="Annuity" localSheetId="0">#REF!</definedName>
    <definedName name="Annuity" localSheetId="1">#REF!</definedName>
    <definedName name="Annuity" localSheetId="3">'[2]Assets Input'!$E$36:$E$59</definedName>
    <definedName name="Annuity" localSheetId="4">'[1]Assets Input'!$E$36:$E$59</definedName>
    <definedName name="Annuity">#REF!</definedName>
    <definedName name="AnnuityLY" localSheetId="1">#REF!</definedName>
    <definedName name="AnnuityLY">'[3]Assets Input'!#REF!</definedName>
    <definedName name="EmployerRates" localSheetId="2">#REF!</definedName>
    <definedName name="EmployerRates" localSheetId="0">#REF!</definedName>
    <definedName name="EmployerRates" localSheetId="1">#REF!</definedName>
    <definedName name="EmployerRates" localSheetId="3">#REF!</definedName>
    <definedName name="EmployerRates" localSheetId="4">#REF!</definedName>
    <definedName name="EmployerRates">#REF!</definedName>
    <definedName name="EmployerRatesLEO" localSheetId="2">#REF!</definedName>
    <definedName name="EmployerRatesLEO" localSheetId="0">#REF!</definedName>
    <definedName name="EmployerRatesLEO" localSheetId="1">#REF!</definedName>
    <definedName name="EmployerRatesLEO" localSheetId="3">#REF!</definedName>
    <definedName name="EmployerRatesLEO" localSheetId="4">#REF!</definedName>
    <definedName name="EmployerRatesLEO">#REF!</definedName>
    <definedName name="Pension" localSheetId="2">'[1]Assets Input'!$E$61:$E$89</definedName>
    <definedName name="Pension" localSheetId="0">#REF!</definedName>
    <definedName name="Pension" localSheetId="1">#REF!</definedName>
    <definedName name="Pension" localSheetId="3">'[2]Assets Input'!$E$61:$E$89</definedName>
    <definedName name="Pension" localSheetId="4">'[1]Assets Input'!$E$61:$E$89</definedName>
    <definedName name="Pension">#REF!</definedName>
    <definedName name="PensionLY" localSheetId="1">#REF!</definedName>
    <definedName name="PensionLY">'[3]Assets Input'!#REF!</definedName>
    <definedName name="_xlnm.Print_Area" localSheetId="3">'PY1 - Summary Exhibit'!$B$1:$U$105</definedName>
    <definedName name="_xlnm.Print_Area" localSheetId="4">'PY2 - Summary Exhibit'!$A$4:$T$107</definedName>
    <definedName name="_xlnm.Print_Titles" localSheetId="3">'PY1 - Summary Exhibit'!$1:$2</definedName>
    <definedName name="_xlnm.Print_Titles" localSheetId="4">'PY2 - Summary Exhibit'!$4:$5</definedName>
    <definedName name="ProValResults" localSheetId="2">[4]ProVal!$B$6:$S$462</definedName>
    <definedName name="ProValResults" localSheetId="0">#REF!</definedName>
    <definedName name="ProValResults" localSheetId="1">#REF!</definedName>
    <definedName name="ProValResults" localSheetId="3">[5]ProVal!$B$6:$S$462</definedName>
    <definedName name="ProValResults" localSheetId="4">[4]ProVal!$B$6:$S$462</definedName>
    <definedName name="ProValResults">#REF!</definedName>
    <definedName name="TableData" localSheetId="2">#REF!</definedName>
    <definedName name="TableData" localSheetId="0">#REF!</definedName>
    <definedName name="TableData" localSheetId="1">#REF!</definedName>
    <definedName name="TableData" localSheetId="3">#REF!</definedName>
    <definedName name="TableData" localSheetId="4">#REF!</definedName>
    <definedName name="TableData">#REF!</definedName>
    <definedName name="Type" localSheetId="1">#REF!</definedName>
    <definedName name="Type">#REF!</definedName>
    <definedName name="TypeAnnuity" localSheetId="2">'[1]Assets Input'!$D$36:$D$59</definedName>
    <definedName name="TypeAnnuity" localSheetId="0">#REF!</definedName>
    <definedName name="TypeAnnuity" localSheetId="1">#REF!</definedName>
    <definedName name="TypeAnnuity" localSheetId="3">'[2]Assets Input'!$D$36:$D$59</definedName>
    <definedName name="TypeAnnuity" localSheetId="4">'[1]Assets Input'!$D$36:$D$59</definedName>
    <definedName name="TypeAnnuity">#REF!</definedName>
    <definedName name="TypePension" localSheetId="2">'[1]Assets Input'!$D$61:$D$89</definedName>
    <definedName name="TypePension" localSheetId="0">#REF!</definedName>
    <definedName name="TypePension" localSheetId="1">#REF!</definedName>
    <definedName name="TypePension" localSheetId="3">'[2]Assets Input'!$D$61:$D$89</definedName>
    <definedName name="TypePension" localSheetId="4">'[1]Assets Input'!$D$61:$D$89</definedName>
    <definedName name="TypePension">#REF!</definedName>
    <definedName name="UnfundedData" localSheetId="2">#REF!</definedName>
    <definedName name="UnfundedData" localSheetId="0">#REF!</definedName>
    <definedName name="UnfundedData" localSheetId="1">#REF!</definedName>
    <definedName name="UnfundedData" localSheetId="3">#REF!</definedName>
    <definedName name="UnfundedData" localSheetId="4">#REF!</definedName>
    <definedName name="UnfundedData">#REF!</definedName>
    <definedName name="UnfundedLY" localSheetId="2">#REF!</definedName>
    <definedName name="UnfundedLY" localSheetId="0">#REF!</definedName>
    <definedName name="UnfundedLY" localSheetId="1">#REF!</definedName>
    <definedName name="UnfundedLY" localSheetId="3">#REF!</definedName>
    <definedName name="UnfundedLY" localSheetId="4">#REF!</definedName>
    <definedName name="UnfundedLY">#REF!</definedName>
    <definedName name="UnfunedLYLEO" localSheetId="2">#REF!</definedName>
    <definedName name="UnfunedLYLEO" localSheetId="0">#REF!</definedName>
    <definedName name="UnfunedLYLEO" localSheetId="1">#REF!</definedName>
    <definedName name="UnfunedLYLEO" localSheetId="3">#REF!</definedName>
    <definedName name="UnfunedLYLEO" localSheetId="4">#REF!</definedName>
    <definedName name="UnfunedLYLEO">#REF!</definedName>
  </definedNames>
  <calcPr calcId="152511"/>
</workbook>
</file>

<file path=xl/calcChain.xml><?xml version="1.0" encoding="utf-8"?>
<calcChain xmlns="http://schemas.openxmlformats.org/spreadsheetml/2006/main">
  <c r="E196" i="16" l="1"/>
  <c r="V25" i="16" l="1"/>
  <c r="U25" i="16"/>
  <c r="T25" i="16"/>
  <c r="R25" i="16"/>
  <c r="Q25" i="16"/>
  <c r="P25" i="16"/>
  <c r="O25" i="16"/>
  <c r="M25" i="16"/>
  <c r="L25" i="16"/>
  <c r="K25" i="16"/>
  <c r="J25" i="16"/>
  <c r="H25" i="16"/>
  <c r="G25" i="16"/>
  <c r="F25" i="16"/>
  <c r="V20" i="16"/>
  <c r="U20" i="16"/>
  <c r="T20" i="16"/>
  <c r="R20" i="16"/>
  <c r="Q20" i="16"/>
  <c r="P20" i="16"/>
  <c r="O20" i="16"/>
  <c r="M20" i="16"/>
  <c r="L20" i="16"/>
  <c r="K20" i="16"/>
  <c r="J20" i="16"/>
  <c r="H20" i="16"/>
  <c r="G20" i="16"/>
  <c r="F20" i="16"/>
  <c r="V15" i="16"/>
  <c r="U15" i="16"/>
  <c r="T15" i="16"/>
  <c r="R15" i="16"/>
  <c r="Q15" i="16"/>
  <c r="P15" i="16"/>
  <c r="O15" i="16"/>
  <c r="M15" i="16"/>
  <c r="L15" i="16"/>
  <c r="K15" i="16"/>
  <c r="J15" i="16"/>
  <c r="H15" i="16"/>
  <c r="G15" i="16"/>
  <c r="F15" i="16"/>
  <c r="F104" i="17"/>
  <c r="E104" i="17"/>
  <c r="U104" i="17" l="1"/>
  <c r="T104" i="17"/>
  <c r="S104" i="17"/>
  <c r="Q104" i="17"/>
  <c r="P104" i="17"/>
  <c r="O104" i="17"/>
  <c r="N104" i="17"/>
  <c r="L104" i="17"/>
  <c r="K104" i="17"/>
  <c r="J104" i="17"/>
  <c r="I104" i="17"/>
  <c r="G104" i="17"/>
  <c r="C2" i="16" l="1"/>
  <c r="B23" i="16" s="1"/>
  <c r="E231" i="16"/>
  <c r="F197" i="16"/>
  <c r="T37" i="16"/>
  <c r="R37" i="16"/>
  <c r="O37" i="16"/>
  <c r="S37" i="16" s="1"/>
  <c r="L37" i="16"/>
  <c r="K37" i="16"/>
  <c r="I37" i="16"/>
  <c r="N37" i="16" s="1"/>
  <c r="C37" i="16"/>
  <c r="E37" i="16" s="1"/>
  <c r="F249" i="16"/>
  <c r="R23" i="16" l="1"/>
  <c r="M23" i="16"/>
  <c r="H23" i="16"/>
  <c r="C23" i="16"/>
  <c r="V23" i="16"/>
  <c r="Q23" i="16"/>
  <c r="L23" i="16"/>
  <c r="G23" i="16"/>
  <c r="U23" i="16"/>
  <c r="P23" i="16"/>
  <c r="K23" i="16"/>
  <c r="F23" i="16"/>
  <c r="T23" i="16"/>
  <c r="O23" i="16"/>
  <c r="J23" i="16"/>
  <c r="D23" i="16"/>
  <c r="B13" i="16"/>
  <c r="B18" i="16"/>
  <c r="H37" i="16"/>
  <c r="M37" i="16"/>
  <c r="G37" i="16"/>
  <c r="F37" i="16"/>
  <c r="Q37" i="16"/>
  <c r="U18" i="16" l="1"/>
  <c r="P18" i="16"/>
  <c r="K18" i="16"/>
  <c r="F18" i="16"/>
  <c r="T18" i="16"/>
  <c r="O18" i="16"/>
  <c r="J18" i="16"/>
  <c r="D18" i="16"/>
  <c r="R18" i="16"/>
  <c r="M18" i="16"/>
  <c r="H18" i="16"/>
  <c r="C18" i="16"/>
  <c r="V18" i="16"/>
  <c r="Q18" i="16"/>
  <c r="L18" i="16"/>
  <c r="G18" i="16"/>
  <c r="R13" i="16"/>
  <c r="K210" i="16" s="1"/>
  <c r="M13" i="16"/>
  <c r="K206" i="16" s="1"/>
  <c r="E230" i="16" s="1"/>
  <c r="H13" i="16"/>
  <c r="J92" i="16" s="1"/>
  <c r="C13" i="16"/>
  <c r="E251" i="16" s="1"/>
  <c r="V13" i="16"/>
  <c r="L92" i="16" s="1"/>
  <c r="Q13" i="16"/>
  <c r="K209" i="16" s="1"/>
  <c r="F228" i="16" s="1"/>
  <c r="L13" i="16"/>
  <c r="K205" i="16" s="1"/>
  <c r="E228" i="16" s="1"/>
  <c r="G13" i="16"/>
  <c r="U13" i="16"/>
  <c r="P13" i="16"/>
  <c r="K13" i="16"/>
  <c r="K204" i="16" s="1"/>
  <c r="F13" i="16"/>
  <c r="S60" i="16" s="1"/>
  <c r="T13" i="16"/>
  <c r="O13" i="16"/>
  <c r="K207" i="16" s="1"/>
  <c r="F227" i="16" s="1"/>
  <c r="J13" i="16"/>
  <c r="D13" i="16"/>
  <c r="E40" i="16"/>
  <c r="F230" i="16"/>
  <c r="Q60" i="16" l="1"/>
  <c r="K92" i="16"/>
  <c r="E13" i="16"/>
  <c r="G251" i="16"/>
  <c r="P60" i="16"/>
  <c r="E165" i="16" s="1"/>
  <c r="F167" i="16" s="1"/>
  <c r="O60" i="16"/>
  <c r="E159" i="16" s="1"/>
  <c r="F161" i="16" s="1"/>
  <c r="E97" i="16"/>
  <c r="F98" i="16" s="1"/>
  <c r="R58" i="16"/>
  <c r="F91" i="16"/>
  <c r="E92" i="16" s="1"/>
  <c r="E91" i="16"/>
  <c r="F92" i="16" s="1"/>
  <c r="K203" i="16"/>
  <c r="E227" i="16" s="1"/>
  <c r="F251" i="16"/>
  <c r="K208" i="16"/>
  <c r="F229" i="16" s="1"/>
  <c r="F232" i="16" s="1"/>
  <c r="C40" i="16"/>
  <c r="C42" i="16" s="1"/>
  <c r="C44" i="16" s="1"/>
  <c r="G40" i="16"/>
  <c r="G42" i="16" s="1"/>
  <c r="G44" i="16" s="1"/>
  <c r="G50" i="16" s="1"/>
  <c r="S62" i="16"/>
  <c r="S64" i="16" s="1"/>
  <c r="E229" i="16"/>
  <c r="J50" i="16"/>
  <c r="L48" i="16"/>
  <c r="I50" i="16"/>
  <c r="K50" i="16"/>
  <c r="E18" i="16"/>
  <c r="E23" i="16"/>
  <c r="F40" i="16"/>
  <c r="E42" i="16"/>
  <c r="E44" i="16" s="1"/>
  <c r="M50" i="16"/>
  <c r="Q62" i="16"/>
  <c r="F172" i="16"/>
  <c r="E173" i="16" s="1"/>
  <c r="E171" i="16"/>
  <c r="F173" i="16" s="1"/>
  <c r="F166" i="16"/>
  <c r="E167" i="16" s="1"/>
  <c r="D40" i="16"/>
  <c r="P62" i="16" l="1"/>
  <c r="E180" i="16" s="1"/>
  <c r="F160" i="16"/>
  <c r="E161" i="16" s="1"/>
  <c r="O62" i="16"/>
  <c r="E178" i="16" s="1"/>
  <c r="L97" i="16"/>
  <c r="E46" i="16"/>
  <c r="C46" i="16"/>
  <c r="C50" i="16" s="1"/>
  <c r="F179" i="16"/>
  <c r="S68" i="16"/>
  <c r="S69" i="16" s="1"/>
  <c r="E232" i="16"/>
  <c r="F181" i="16"/>
  <c r="E182" i="16"/>
  <c r="G52" i="16"/>
  <c r="G54" i="16" s="1"/>
  <c r="G60" i="16" s="1"/>
  <c r="J52" i="16"/>
  <c r="J54" i="16" s="1"/>
  <c r="P64" i="16"/>
  <c r="K52" i="16"/>
  <c r="K54" i="16" s="1"/>
  <c r="D42" i="16"/>
  <c r="D44" i="16" s="1"/>
  <c r="Q64" i="16"/>
  <c r="M52" i="16"/>
  <c r="M54" i="16" s="1"/>
  <c r="M60" i="16" s="1"/>
  <c r="H40" i="16"/>
  <c r="F42" i="16"/>
  <c r="F44" i="16" s="1"/>
  <c r="F50" i="16" s="1"/>
  <c r="I52" i="16"/>
  <c r="I54" i="16" s="1"/>
  <c r="F177" i="16" l="1"/>
  <c r="F183" i="16" s="1"/>
  <c r="O64" i="16"/>
  <c r="G62" i="16"/>
  <c r="G64" i="16" s="1"/>
  <c r="C52" i="16"/>
  <c r="C54" i="16" s="1"/>
  <c r="F110" i="16"/>
  <c r="E110" i="16"/>
  <c r="I56" i="16"/>
  <c r="F111" i="16" s="1"/>
  <c r="M62" i="16"/>
  <c r="M64" i="16" s="1"/>
  <c r="S70" i="16"/>
  <c r="S71" i="16" s="1"/>
  <c r="F52" i="16"/>
  <c r="F54" i="16" s="1"/>
  <c r="F60" i="16" s="1"/>
  <c r="Q68" i="16"/>
  <c r="K56" i="16"/>
  <c r="F113" i="16"/>
  <c r="E113" i="16"/>
  <c r="J56" i="16"/>
  <c r="E112" i="16" s="1"/>
  <c r="H42" i="16"/>
  <c r="H44" i="16" s="1"/>
  <c r="H50" i="16" s="1"/>
  <c r="O68" i="16"/>
  <c r="O69" i="16" s="1"/>
  <c r="D46" i="16"/>
  <c r="D50" i="16" s="1"/>
  <c r="P68" i="16"/>
  <c r="E183" i="16"/>
  <c r="E50" i="16"/>
  <c r="S72" i="16" l="1"/>
  <c r="S73" i="16" s="1"/>
  <c r="Q69" i="16"/>
  <c r="Q70" i="16" s="1"/>
  <c r="Q71" i="16" s="1"/>
  <c r="Q72" i="16" s="1"/>
  <c r="E111" i="16"/>
  <c r="L46" i="16"/>
  <c r="L50" i="16" s="1"/>
  <c r="L52" i="16" s="1"/>
  <c r="L54" i="16" s="1"/>
  <c r="L60" i="16" s="1"/>
  <c r="I60" i="16"/>
  <c r="I62" i="16" s="1"/>
  <c r="D52" i="16"/>
  <c r="D54" i="16" s="1"/>
  <c r="H52" i="16"/>
  <c r="H54" i="16" s="1"/>
  <c r="H60" i="16" s="1"/>
  <c r="F62" i="16"/>
  <c r="F64" i="16" s="1"/>
  <c r="G68" i="16"/>
  <c r="G69" i="16" s="1"/>
  <c r="E52" i="16"/>
  <c r="E54" i="16" s="1"/>
  <c r="P69" i="16"/>
  <c r="P70" i="16" s="1"/>
  <c r="P71" i="16" s="1"/>
  <c r="M68" i="16"/>
  <c r="C56" i="16"/>
  <c r="F107" i="16" s="1"/>
  <c r="J60" i="16"/>
  <c r="F112" i="16"/>
  <c r="O70" i="16"/>
  <c r="O71" i="16" s="1"/>
  <c r="O72" i="16" s="1"/>
  <c r="K60" i="16"/>
  <c r="E106" i="16" l="1"/>
  <c r="F106" i="16"/>
  <c r="N50" i="16"/>
  <c r="N52" i="16" s="1"/>
  <c r="N54" i="16" s="1"/>
  <c r="N60" i="16" s="1"/>
  <c r="I64" i="16"/>
  <c r="I68" i="16" s="1"/>
  <c r="O73" i="16"/>
  <c r="F108" i="16"/>
  <c r="E108" i="16"/>
  <c r="D56" i="16"/>
  <c r="F109" i="16" s="1"/>
  <c r="L62" i="16"/>
  <c r="L64" i="16" s="1"/>
  <c r="J62" i="16"/>
  <c r="K62" i="16"/>
  <c r="E128" i="16"/>
  <c r="F127" i="16"/>
  <c r="C60" i="16"/>
  <c r="G70" i="16"/>
  <c r="G71" i="16" s="1"/>
  <c r="G72" i="16" s="1"/>
  <c r="Q73" i="16"/>
  <c r="E107" i="16"/>
  <c r="P72" i="16"/>
  <c r="P73" i="16" s="1"/>
  <c r="M69" i="16"/>
  <c r="M70" i="16" s="1"/>
  <c r="E56" i="16"/>
  <c r="F68" i="16"/>
  <c r="F69" i="16" s="1"/>
  <c r="H62" i="16"/>
  <c r="H64" i="16" s="1"/>
  <c r="R56" i="16" l="1"/>
  <c r="R60" i="16" s="1"/>
  <c r="R62" i="16" s="1"/>
  <c r="R64" i="16" s="1"/>
  <c r="D60" i="16"/>
  <c r="D62" i="16" s="1"/>
  <c r="D64" i="16" s="1"/>
  <c r="G73" i="16"/>
  <c r="F70" i="16"/>
  <c r="F71" i="16" s="1"/>
  <c r="N62" i="16"/>
  <c r="E130" i="16"/>
  <c r="F129" i="16"/>
  <c r="L68" i="16"/>
  <c r="L69" i="16" s="1"/>
  <c r="H68" i="16"/>
  <c r="M71" i="16"/>
  <c r="M72" i="16" s="1"/>
  <c r="M73" i="16" s="1"/>
  <c r="E132" i="16"/>
  <c r="F131" i="16"/>
  <c r="J64" i="16"/>
  <c r="E126" i="16"/>
  <c r="F125" i="16"/>
  <c r="E60" i="16"/>
  <c r="C62" i="16"/>
  <c r="C64" i="16" s="1"/>
  <c r="K64" i="16"/>
  <c r="E109" i="16"/>
  <c r="I69" i="16"/>
  <c r="T60" i="16" l="1"/>
  <c r="F142" i="16" s="1"/>
  <c r="L70" i="16"/>
  <c r="L71" i="16" s="1"/>
  <c r="L72" i="16" s="1"/>
  <c r="C68" i="16"/>
  <c r="C69" i="16" s="1"/>
  <c r="R68" i="16"/>
  <c r="F72" i="16"/>
  <c r="F73" i="16" s="1"/>
  <c r="K68" i="16"/>
  <c r="E62" i="16"/>
  <c r="D68" i="16"/>
  <c r="D69" i="16" s="1"/>
  <c r="D70" i="16" s="1"/>
  <c r="F147" i="16"/>
  <c r="E114" i="16"/>
  <c r="F148" i="16"/>
  <c r="F141" i="16"/>
  <c r="E115" i="16"/>
  <c r="E148" i="16"/>
  <c r="E142" i="16"/>
  <c r="E120" i="16"/>
  <c r="F119" i="16"/>
  <c r="L203" i="16" s="1"/>
  <c r="M203" i="16" s="1"/>
  <c r="J68" i="16"/>
  <c r="J69" i="16" s="1"/>
  <c r="E134" i="16"/>
  <c r="F133" i="16"/>
  <c r="N64" i="16"/>
  <c r="F121" i="16"/>
  <c r="E122" i="16"/>
  <c r="H69" i="16"/>
  <c r="I70" i="16"/>
  <c r="I71" i="16" s="1"/>
  <c r="T62" i="16" l="1"/>
  <c r="T64" i="16" s="1"/>
  <c r="T69" i="16" s="1"/>
  <c r="T70" i="16" s="1"/>
  <c r="E141" i="16"/>
  <c r="F143" i="16" s="1"/>
  <c r="F115" i="16"/>
  <c r="F114" i="16"/>
  <c r="E147" i="16"/>
  <c r="L204" i="16"/>
  <c r="M204" i="16" s="1"/>
  <c r="L208" i="16"/>
  <c r="M208" i="16" s="1"/>
  <c r="R69" i="16"/>
  <c r="R70" i="16" s="1"/>
  <c r="R71" i="16" s="1"/>
  <c r="E149" i="16"/>
  <c r="E143" i="16"/>
  <c r="F149" i="16"/>
  <c r="J70" i="16"/>
  <c r="J71" i="16" s="1"/>
  <c r="D71" i="16"/>
  <c r="D72" i="16" s="1"/>
  <c r="D73" i="16" s="1"/>
  <c r="N68" i="16"/>
  <c r="N69" i="16" s="1"/>
  <c r="N70" i="16" s="1"/>
  <c r="T68" i="16"/>
  <c r="F203" i="16"/>
  <c r="E203" i="16"/>
  <c r="E124" i="16"/>
  <c r="L209" i="16" s="1"/>
  <c r="M209" i="16" s="1"/>
  <c r="F123" i="16"/>
  <c r="L205" i="16" s="1"/>
  <c r="M205" i="16" s="1"/>
  <c r="K69" i="16"/>
  <c r="I72" i="16"/>
  <c r="I73" i="16" s="1"/>
  <c r="L73" i="16"/>
  <c r="L207" i="16"/>
  <c r="M207" i="16" s="1"/>
  <c r="H70" i="16"/>
  <c r="H71" i="16" s="1"/>
  <c r="F153" i="16"/>
  <c r="E155" i="16" s="1"/>
  <c r="E154" i="16"/>
  <c r="F155" i="16" s="1"/>
  <c r="E64" i="16"/>
  <c r="C70" i="16"/>
  <c r="F189" i="16" l="1"/>
  <c r="E190" i="16" s="1"/>
  <c r="E189" i="16"/>
  <c r="F190" i="16" s="1"/>
  <c r="E208" i="16"/>
  <c r="F208" i="16"/>
  <c r="F204" i="16"/>
  <c r="E204" i="16"/>
  <c r="R72" i="16"/>
  <c r="R73" i="16" s="1"/>
  <c r="N71" i="16"/>
  <c r="N72" i="16" s="1"/>
  <c r="N73" i="16" s="1"/>
  <c r="L210" i="16"/>
  <c r="M210" i="16" s="1"/>
  <c r="E210" i="16" s="1"/>
  <c r="J72" i="16"/>
  <c r="J73" i="16" s="1"/>
  <c r="E209" i="16"/>
  <c r="F209" i="16"/>
  <c r="H72" i="16"/>
  <c r="H73" i="16" s="1"/>
  <c r="F135" i="16"/>
  <c r="L206" i="16"/>
  <c r="M206" i="16" s="1"/>
  <c r="K70" i="16"/>
  <c r="K71" i="16" s="1"/>
  <c r="T71" i="16"/>
  <c r="E68" i="16"/>
  <c r="C76" i="16" s="1"/>
  <c r="E239" i="16" s="1"/>
  <c r="E205" i="16"/>
  <c r="F205" i="16"/>
  <c r="F207" i="16"/>
  <c r="E207" i="16"/>
  <c r="E135" i="16"/>
  <c r="C71" i="16"/>
  <c r="F210" i="16" l="1"/>
  <c r="L93" i="16"/>
  <c r="T72" i="16"/>
  <c r="T73" i="16" s="1"/>
  <c r="C72" i="16"/>
  <c r="C73" i="16" s="1"/>
  <c r="E69" i="16"/>
  <c r="K72" i="16"/>
  <c r="K73" i="16" s="1"/>
  <c r="F206" i="16"/>
  <c r="E206" i="16"/>
  <c r="M211" i="16"/>
  <c r="E221" i="16" l="1"/>
  <c r="L94" i="16"/>
  <c r="L99" i="16" s="1"/>
  <c r="F211" i="16"/>
  <c r="E211" i="16"/>
  <c r="C77" i="16"/>
  <c r="E240" i="16" s="1"/>
  <c r="E70" i="16"/>
  <c r="C78" i="16" s="1"/>
  <c r="E241" i="16" s="1"/>
  <c r="E71" i="16" l="1"/>
  <c r="C79" i="16" s="1"/>
  <c r="E242" i="16" s="1"/>
  <c r="E72" i="16"/>
  <c r="C80" i="16" s="1"/>
  <c r="E243" i="16" s="1"/>
  <c r="J93" i="16"/>
  <c r="K93" i="16"/>
  <c r="K94" i="16" s="1"/>
  <c r="K99" i="16" s="1"/>
  <c r="E73" i="16" l="1"/>
  <c r="C81" i="16" s="1"/>
  <c r="E244" i="16" s="1"/>
  <c r="E245" i="16" s="1"/>
  <c r="E222" i="16"/>
  <c r="J94" i="16"/>
  <c r="J99" i="16" s="1"/>
  <c r="E107" i="10" l="1"/>
  <c r="D107" i="10"/>
  <c r="F104" i="12"/>
  <c r="E104" i="12"/>
  <c r="C21" i="14"/>
  <c r="U104" i="12" l="1"/>
  <c r="T104" i="12"/>
  <c r="S104" i="12"/>
  <c r="Q104" i="12"/>
  <c r="P104" i="12"/>
  <c r="O104" i="12"/>
  <c r="N104" i="12"/>
  <c r="L104" i="12"/>
  <c r="K104" i="12"/>
  <c r="J104" i="12"/>
  <c r="I104" i="12"/>
  <c r="G104" i="12"/>
  <c r="T107" i="10" l="1"/>
  <c r="S107" i="10"/>
  <c r="R107" i="10"/>
  <c r="P107" i="10"/>
  <c r="O107" i="10"/>
  <c r="N107" i="10"/>
  <c r="M107" i="10"/>
  <c r="K107" i="10"/>
  <c r="J107" i="10"/>
  <c r="I107" i="10"/>
  <c r="H107" i="10"/>
  <c r="F107" i="10"/>
</calcChain>
</file>

<file path=xl/sharedStrings.xml><?xml version="1.0" encoding="utf-8"?>
<sst xmlns="http://schemas.openxmlformats.org/spreadsheetml/2006/main" count="625" uniqueCount="307">
  <si>
    <t>Difference</t>
  </si>
  <si>
    <t>Agency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</si>
  <si>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</si>
  <si>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</si>
  <si>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</si>
  <si>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</si>
  <si>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</si>
  <si>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</si>
  <si>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</si>
  <si>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</si>
  <si>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</si>
  <si>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</si>
  <si>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</si>
  <si>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Total Plan</t>
  </si>
  <si>
    <t>Debit</t>
  </si>
  <si>
    <t>Credit</t>
  </si>
  <si>
    <t>Estimated remaining service life of inactive participants (years)</t>
  </si>
  <si>
    <t>Check:</t>
  </si>
  <si>
    <t>Total Expense</t>
  </si>
  <si>
    <t>Per Schedule</t>
  </si>
  <si>
    <t>Per Entries</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</si>
  <si>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</si>
  <si>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</si>
  <si>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</si>
  <si>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</si>
  <si>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</si>
  <si>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</si>
  <si>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</si>
  <si>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</si>
  <si>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</si>
  <si>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</si>
  <si>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HAYWOOD CO</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</si>
  <si>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</si>
  <si>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</si>
  <si>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</si>
  <si>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</si>
  <si>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</si>
  <si>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</si>
  <si>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</si>
  <si>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</si>
  <si>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</si>
  <si>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</si>
  <si>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</si>
  <si>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</si>
  <si>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</si>
  <si>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</si>
  <si>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</si>
  <si>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</si>
  <si>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</si>
  <si>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</si>
  <si>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</si>
  <si>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</si>
  <si>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</si>
  <si>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</si>
  <si>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</si>
  <si>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</si>
  <si>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</si>
  <si>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</si>
  <si>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</si>
  <si>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</si>
  <si>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</si>
  <si>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</si>
  <si>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</si>
  <si>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</si>
  <si>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</si>
  <si>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</si>
  <si>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</si>
  <si>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</si>
  <si>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</si>
  <si>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</si>
  <si>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</si>
  <si>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</si>
  <si>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</si>
  <si>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</si>
  <si>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</si>
  <si>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</si>
  <si>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</si>
  <si>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</si>
  <si>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</si>
  <si>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</si>
  <si>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</si>
  <si>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</si>
  <si>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</si>
  <si>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</si>
  <si>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</si>
  <si>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</si>
  <si>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</si>
  <si>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</si>
  <si>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</si>
  <si>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</si>
  <si>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</si>
  <si>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</si>
  <si>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</si>
  <si>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</si>
  <si>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</si>
  <si>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</si>
  <si>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</si>
  <si>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</si>
  <si>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</si>
  <si>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</si>
  <si>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</si>
  <si>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</si>
  <si>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</si>
  <si>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</si>
  <si>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</si>
  <si>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</si>
  <si>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</si>
  <si>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</si>
  <si>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</si>
  <si>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</si>
  <si>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</si>
  <si>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</si>
  <si>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</si>
  <si>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</si>
  <si>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</si>
  <si>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</si>
  <si>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</si>
  <si>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</si>
  <si>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</si>
  <si>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</si>
  <si>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</si>
  <si>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</si>
  <si>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</si>
  <si>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</si>
  <si>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</si>
  <si>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</si>
  <si>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</si>
  <si>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</si>
  <si>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</si>
  <si>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</si>
  <si>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</si>
  <si>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Sensitivity of the net pension liability (asset) to changes in the discount rate</t>
  </si>
  <si>
    <t>Choose Your Agency:</t>
  </si>
  <si>
    <t xml:space="preserve"> &lt;&lt; Click on the cell to see a list of agencies.</t>
  </si>
  <si>
    <t>GASB 68 Accounting Template – ROD</t>
  </si>
  <si>
    <t>See Notes a-g below</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</si>
  <si>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</si>
  <si>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</si>
  <si>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</si>
  <si>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</si>
  <si>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</si>
  <si>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</si>
  <si>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</si>
  <si>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</si>
  <si>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</si>
  <si>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</si>
  <si>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</si>
  <si>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</si>
  <si>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</si>
  <si>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</si>
  <si>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</si>
  <si>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</si>
  <si>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</si>
  <si>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</si>
  <si>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</si>
  <si>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</si>
  <si>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</si>
  <si>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</si>
  <si>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</si>
  <si>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All ROD Employers</t>
  </si>
  <si>
    <t>* Amount reported as deferred outflows of resources related to pensions resulting from contributions subsequent to the measurement date will be recognized as a reduction of the net pension liability in the next fiscal year.</t>
  </si>
  <si>
    <t>COUNTY</t>
  </si>
  <si>
    <t>Current Proportional Share</t>
  </si>
  <si>
    <t>Prior Proportional Share</t>
  </si>
  <si>
    <t>Note:</t>
  </si>
  <si>
    <t>FY201X refers to the fiscal year ending June 30, 201X</t>
  </si>
  <si>
    <t>Change in Proportional Share</t>
  </si>
  <si>
    <t>ORBIT Unit Contributions to Plan in Measurement Year</t>
  </si>
  <si>
    <t>Net Pension Liability BOY</t>
  </si>
  <si>
    <t>Net Pension Liability EOY</t>
  </si>
  <si>
    <t>CURRENT YEAR</t>
  </si>
  <si>
    <t>Total Plan - FYE 2016</t>
  </si>
  <si>
    <t>Total Plan - FYE 2015</t>
  </si>
  <si>
    <t>Deferred Inflow/Outflow Schedule</t>
  </si>
  <si>
    <t>Total Plan FY16</t>
  </si>
  <si>
    <t>Total Plan FY15</t>
  </si>
  <si>
    <t>FY15 Deferred Outflows/(Inflows)</t>
  </si>
  <si>
    <t>FY16 Deferred Outflows/(Inflows)</t>
  </si>
  <si>
    <t>Amortization Period</t>
  </si>
  <si>
    <t>Deferral - Expected and Actual Experience</t>
  </si>
  <si>
    <t>Deferral - Projected and Actual Earnings</t>
  </si>
  <si>
    <t>Deferral - Change in Assumptions</t>
  </si>
  <si>
    <t>Deferral - Employer Change in Proportion</t>
  </si>
  <si>
    <t>Deferral - Employer Contributions &gt; Proportionate Share</t>
  </si>
  <si>
    <t>Total Employer Deferral</t>
  </si>
  <si>
    <t xml:space="preserve">Initial balance </t>
  </si>
  <si>
    <t>FY15 Amortization</t>
  </si>
  <si>
    <t>Balance at end of FY15</t>
  </si>
  <si>
    <t>FY16 Change in Proportion - Beginning Deferrals</t>
  </si>
  <si>
    <t>FY16 Change in Proportion - Beginning NPL</t>
  </si>
  <si>
    <t>Balance to amortize in FY16</t>
  </si>
  <si>
    <t>FY16 Amortization</t>
  </si>
  <si>
    <t>Balance at end of FY16</t>
  </si>
  <si>
    <t>Future Amortization (signs reversed)</t>
  </si>
  <si>
    <t>Summary Future Amortization</t>
  </si>
  <si>
    <t>Net Pension (Liability)/Asset</t>
  </si>
  <si>
    <t>Total (Inflows)/Outflows</t>
  </si>
  <si>
    <t>Deferred outflow - measurement period contributions</t>
  </si>
  <si>
    <t>Record change in ending deferred outflow and inflow balances related to current year change in proportion</t>
  </si>
  <si>
    <t>Pension expense</t>
  </si>
  <si>
    <t>Establish employer deferred outflow/inflow related to measurement period contributions in excess of/less than proportionate share of total plan contributions</t>
  </si>
  <si>
    <t>Amortize current year employer deferrals established in entries # 3, # 5, and # 6.</t>
  </si>
  <si>
    <t>Establish deferred outflow/inflow for FY16 differences in expected and actual experience</t>
  </si>
  <si>
    <t>Establish deferred outflow/inflow for current year differences in projected and actual earnings on plan investments</t>
  </si>
  <si>
    <t>Establish deferred outflow/inflow for current year changes in assumptions</t>
  </si>
  <si>
    <t>Record current year amortization of deferrals established in entries # 8, # 9, and # 10</t>
  </si>
  <si>
    <t>Record proportionate share of current year pension expense not related to amortization of deferrals</t>
  </si>
  <si>
    <t>Record entry to deferred outflows for contributions subsequent to the measurement date</t>
  </si>
  <si>
    <t>Deferred outflow - contributions subsequent to the measurement date</t>
  </si>
  <si>
    <t>Pension Expenditures</t>
  </si>
  <si>
    <t>In accordance with GASB 68, paragraph 33,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</si>
  <si>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 xml:space="preserve">Employer contributions subsequent to the measurement date * </t>
  </si>
  <si>
    <t>Unit's proportionate share (for footnote disclosure)</t>
  </si>
  <si>
    <t xml:space="preserve"> &lt;&lt; Enter your employer contributions for the period indicated.</t>
  </si>
  <si>
    <t>Is this your 1st or 2nd year of GASB68 implementation?</t>
  </si>
  <si>
    <t xml:space="preserve"> &lt;&lt; If you implemented GASB 68 last fiscal year then enter "2", if this is your first year of implementation, enter "1".</t>
  </si>
  <si>
    <t>CY Contributions</t>
  </si>
  <si>
    <t>Deferred outflow - differences in expected versus actual experience - FY15</t>
  </si>
  <si>
    <t>Deferred inflow - differences in expected versus actual experience - FY15</t>
  </si>
  <si>
    <t>Deferred outflow - projected versus actual earnings on plan investments - FY15</t>
  </si>
  <si>
    <t>Deferred inflow - projected versus actual earnings on plan investments - FY15</t>
  </si>
  <si>
    <t>Deferred outflow - changes in assumptions - FY15</t>
  </si>
  <si>
    <t>Deferred inflow - changes in assumptions - FY15</t>
  </si>
  <si>
    <t>Deferred inflow - employer change in proportion and contributions greater than/less than proportionate share of total plan contributions - FY15</t>
  </si>
  <si>
    <t>Net pension asset</t>
  </si>
  <si>
    <t>Deferred outflow - differences between measurement period contributions and proportionate share of contributions</t>
  </si>
  <si>
    <t>Deferred inflow - differences between measurement period contributions and proportionate share of contributions</t>
  </si>
  <si>
    <t>Deferred outflow - current year change in proportion and differences between contributions and proportionate share of total plan contributions</t>
  </si>
  <si>
    <t>Deferred inflow - current year change in proportion and differences between contributions and proportionate share of total plan contributions</t>
  </si>
  <si>
    <t>Deferred outflow - current year difference between expected and actual experience</t>
  </si>
  <si>
    <t>Deferred inflow - current year difference between expected and actual experience</t>
  </si>
  <si>
    <t>Deferred outflow - current year difference between projected and actual earnings on plan investments</t>
  </si>
  <si>
    <t>Deferred inflow - current year difference between projected and actual earnings on plan investments</t>
  </si>
  <si>
    <t>Deferred outflow - current year changes in assumptions</t>
  </si>
  <si>
    <t>Deferred inflow - current year changes in assumptions</t>
  </si>
  <si>
    <t>Reclassify and consolidate deferred outflow and inflow balances to match schedule</t>
  </si>
  <si>
    <t>Reclassification</t>
  </si>
  <si>
    <t>Worksheet Instructions:</t>
  </si>
  <si>
    <t xml:space="preserve">           the resulting entries, see the referenced GASB 68 literature.  Review the entries with applicable staff prior to posting the entries in your general ledger.</t>
  </si>
  <si>
    <t>Note - If you are unable to see the 4 different tabs in this workbook ("Info", "JE Template", "CY - Summary Exhibit", "PY - Summary Exhibit") then go to File, Options,</t>
  </si>
  <si>
    <t xml:space="preserve">         Advanced, Display Options for this Workbook, and ensure that Show Sheet Tabs is checked.  Consult your IT specialist as needed.</t>
  </si>
  <si>
    <t>Step 3 - Go to the "JE Template" tab within this workbook.  Review the resulting entries within the workbook for reasonableness.  Should you have any questions regarding</t>
  </si>
  <si>
    <t>Step 1 - Click on cell C17 within this tab.  Select your agency from the drop-down menu.  Agencies are listed in alphabetical order.</t>
  </si>
  <si>
    <t>Fiscal Year Ended June 30, 2017</t>
  </si>
  <si>
    <t>Plan measurement period used for FY17 is the twelve months ending June 30, 2016.</t>
  </si>
  <si>
    <t>Agency Number</t>
  </si>
  <si>
    <t>Actuarially Determined Component of Pension Expense</t>
  </si>
  <si>
    <t>PRIOR YEAR 1 (1 year ago)</t>
  </si>
  <si>
    <t>PRIOR YEAR 2 (2 years ago)</t>
  </si>
  <si>
    <t>Total Plan FY17</t>
  </si>
  <si>
    <t>FY17 Deferred Outflows/(Inflows)</t>
  </si>
  <si>
    <t>FY17 Change in Proportion - Beginning Deferrals</t>
  </si>
  <si>
    <t>FY17 Change in Proportion - Beginning NPL</t>
  </si>
  <si>
    <t>Balance to amortize in FY17</t>
  </si>
  <si>
    <t>FY17 Amortization</t>
  </si>
  <si>
    <t>Balance at end of FY17</t>
  </si>
  <si>
    <t>True up FY 2016 "Deferred outflow for contributions subsequent to the measurement date" to ORBIT/CY Summary Exhibit ****</t>
  </si>
  <si>
    <t>Deferred outflow - FY16 contributions subsequent to the measurement date</t>
  </si>
  <si>
    <t>****</t>
  </si>
  <si>
    <t>Preliminary Difference</t>
  </si>
  <si>
    <t xml:space="preserve">2
</t>
  </si>
  <si>
    <t xml:space="preserve">Adjustment to FY16 deferral for contributions subsequent to measurement date </t>
  </si>
  <si>
    <t>Note - this is the same deferral that you made in the prior year for contributions subsequent to the measurement date.  After recording this entry, the balance of the deferral related to contributions subsequent to the measurement date recorded last year should be 0.</t>
  </si>
  <si>
    <t>CY change in proportion entries for deferrals established in FY15 and FY16</t>
  </si>
  <si>
    <t>Deferred outflow - differences in expected versus actual experience - FY16</t>
  </si>
  <si>
    <t>Deferred inflow - differences in expected versus actual experience - FY16</t>
  </si>
  <si>
    <t>Deferred outflow - projected versus actual earnings on plan investments - FY16</t>
  </si>
  <si>
    <t>Deferred inflow - projected versus actual earnings on plan investments - FY16</t>
  </si>
  <si>
    <t>Employer deferred outflow - FY17 change in proportion of beginning deferred outflows/inflows (this line combined with employer deferrals established in entries # 6 and # 7)</t>
  </si>
  <si>
    <t>Employer deferred inflow - FY17 change in proportion of beginning deferred outflows/inflows (this line combined with employer deferrals established in entries # 6 and # 7)</t>
  </si>
  <si>
    <t>Record FY17 amortization of FY15 and FY16 deferred outflows/inflows</t>
  </si>
  <si>
    <t>Deferred outflow - employer change in proportion and contributions greater than/less than proportionate share of total plan contributions - FY15</t>
  </si>
  <si>
    <t>Deferred outflow - changes in assumptions - FY16</t>
  </si>
  <si>
    <t>Deferred inflow - changes in assumptions - FY16</t>
  </si>
  <si>
    <t>Deferred outflow - employer change in proportion and contributions greater than/less than proportionate share of total plan contributions - FY16</t>
  </si>
  <si>
    <t>Deferred inflow - employer change in proportion and contributions greater than/less than proportionate share of total plan contributions - FY16</t>
  </si>
  <si>
    <t>Entries for deferrals established in FY17</t>
  </si>
  <si>
    <t>Deferred outflow - change in proportion of beginning NPL/NPA</t>
  </si>
  <si>
    <t>Deferred inflow - change in proportion of beginning NPL/NPA</t>
  </si>
  <si>
    <t>True up deferrals to schedule</t>
  </si>
  <si>
    <t>Per Actuary Schedule</t>
  </si>
  <si>
    <t>Deferred Outflow - Expected and Actual Experience</t>
  </si>
  <si>
    <t>Deferred Outflow - Projected and Actual Earnings</t>
  </si>
  <si>
    <t>Deferred Outflow - Changes in Assumptions</t>
  </si>
  <si>
    <t>Deferred Outflow - Employer Proportions</t>
  </si>
  <si>
    <t>Deferred Inflow - Expected and Actual Experience</t>
  </si>
  <si>
    <t>Deferred Inflow - Projected and Actual Earnings</t>
  </si>
  <si>
    <t>Deferred Inflow - Changes in Assumptions</t>
  </si>
  <si>
    <t>Deferred Inflow - Employer Proportions</t>
  </si>
  <si>
    <t>Information for notes to the financial statements</t>
  </si>
  <si>
    <t>Total Plan - FYE 2017</t>
  </si>
  <si>
    <t>Record contributions made since July 1, 2016 through unit's FYE of 6/30/2017</t>
  </si>
  <si>
    <t>Agency Name</t>
  </si>
  <si>
    <t>Net Pension Asset EOY</t>
  </si>
  <si>
    <t>Net Pension Asset BOY</t>
  </si>
  <si>
    <t>Your employer contributions from 7/1/2016 through 6/30/2017</t>
  </si>
  <si>
    <t>Enter the amount of contributions subsequent to the measurement date that you recorded as a deferred outflow of resources in your June 30, 2016 financial statement for ROD</t>
  </si>
  <si>
    <t>Step 2 - In cells C19 and C23, enter your employer contributions made for the period indicated.</t>
  </si>
  <si>
    <t>This entry adjusts the FY16 deferral for contributions subsequent to the measurement date to the actuary's CY Summary Exhibit contributions amount, which is based on ORBIT.  Differences between the ORBIT system contributions for FY16 and what was recorded to the deferred outflow in prior year can be caused by timing issues or inclusion of non-ROD contributions in last year's deferral (i.e. contributions for death, health plan, etc.).  If you have material non-ROD contributions included in the prior year deferral, consider making a prior period adjustment.</t>
  </si>
  <si>
    <t>Reclassify deferred outflow for measurement period contributions to reduction of net pension asset</t>
  </si>
  <si>
    <t>Establish employer deferred outflow/inflow related to change in proportion of beginning NPA balance (to be combined with current year employer deferrals established in entries # 3 and # 6)</t>
  </si>
  <si>
    <t>Net Pension Asset</t>
  </si>
  <si>
    <t>1% Decrease (2.75%)</t>
  </si>
  <si>
    <t>Current Discount Rate (3.75%)</t>
  </si>
  <si>
    <t>1% Increase (4.75%)</t>
  </si>
  <si>
    <t>Total ROD pension expense reported for fiscal year</t>
  </si>
  <si>
    <t xml:space="preserve">Ending ROD net pension (asset) liability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</si>
</sst>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0000%"/>
    <numFmt numFmtId="168" formatCode="#,##0_);\(#,##0\);\—\—\—\ \ \ \ "/>
    <numFmt numFmtId="169" formatCode="_(* #,##0.0000_);_(* \(#,##0.0000\);_(* &quot;-&quot;??_);_(@_)"/>
  </numFmts>
  <fonts count="17">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i/>
      <sz val="10"/>
      <name val="Arial"/>
      <family val="2"/>
    </font>
    <font>
      <u/>
      <sz val="9"/>
      <name val="Arial Narrow"/>
      <family val="2"/>
    </font>
    <font>
      <sz val="9"/>
      <name val="Arial Narrow"/>
      <family val="2"/>
    </font>
    <font>
      <sz val="11"/>
      <name val="Calibri"/>
      <family val="2"/>
      <scheme val="minor"/>
    </font>
    <font>
      <b/>
      <sz val="11"/>
      <color rgb="FFFF0000"/>
      <name val="Calibri"/>
      <family val="2"/>
      <scheme val="minor"/>
    </font>
    <font>
      <sz val="10"/>
      <color indexed="10"/>
      <name val="Arial"/>
      <family val="2"/>
    </font>
    <font>
      <sz val="11"/>
      <color rgb="FFFA7D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darkUp">
        <bgColor theme="6" tint="0.59999389629810485"/>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top/>
      <bottom style="double">
        <color rgb="FFFF8001"/>
      </bottom>
      <diagonal/>
    </border>
  </borders>
  <cellStyleXfs count="13">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xf numFmtId="0" fontId="16" fillId="0" borderId="11" applyNumberFormat="0" applyFill="0" applyAlignment="0" applyProtection="0"/>
  </cellStyleXfs>
  <cellXfs count="217">
    <xf numFmtId="0" fontId="0" fillId="0" borderId="0" xfId="0"/>
    <xf numFmtId="0" fontId="0" fillId="0" borderId="0" xfId="0" applyAlignment="1">
      <alignment wrapText="1"/>
    </xf>
    <xf numFmtId="164" fontId="0" fillId="0" borderId="0" xfId="0" applyNumberFormat="1"/>
    <xf numFmtId="43" fontId="0" fillId="0" borderId="0" xfId="1" applyFont="1"/>
    <xf numFmtId="43" fontId="0" fillId="0" borderId="0" xfId="0" applyNumberFormat="1"/>
    <xf numFmtId="0" fontId="0" fillId="0" borderId="0" xfId="0" applyFill="1"/>
    <xf numFmtId="0" fontId="0" fillId="0" borderId="0" xfId="0" applyFill="1" applyAlignment="1">
      <alignment horizontal="right"/>
    </xf>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0" fontId="4" fillId="0" borderId="0" xfId="0" applyFont="1" applyFill="1" applyBorder="1" applyAlignment="1">
      <alignment horizontal="left"/>
    </xf>
    <xf numFmtId="164" fontId="0" fillId="0" borderId="0" xfId="1" applyNumberFormat="1" applyFont="1"/>
    <xf numFmtId="165" fontId="0" fillId="0" borderId="0" xfId="0" applyNumberFormat="1"/>
    <xf numFmtId="0" fontId="0" fillId="0" borderId="0" xfId="0" applyAlignment="1">
      <alignment horizontal="right"/>
    </xf>
    <xf numFmtId="0" fontId="0" fillId="0" borderId="0" xfId="0" applyAlignment="1">
      <alignment vertical="top"/>
    </xf>
    <xf numFmtId="0" fontId="0" fillId="2" borderId="0" xfId="0" applyFill="1" applyBorder="1"/>
    <xf numFmtId="0" fontId="0" fillId="2" borderId="6" xfId="0" applyFill="1" applyBorder="1"/>
    <xf numFmtId="164" fontId="0" fillId="2" borderId="0" xfId="1" applyNumberFormat="1"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164" fontId="0" fillId="2" borderId="6" xfId="1" applyNumberFormat="1" applyFont="1" applyFill="1" applyBorder="1"/>
    <xf numFmtId="0" fontId="0" fillId="2" borderId="7" xfId="0" applyFill="1" applyBorder="1"/>
    <xf numFmtId="0" fontId="0" fillId="3" borderId="2" xfId="0" applyFill="1" applyBorder="1"/>
    <xf numFmtId="0" fontId="0" fillId="3" borderId="3" xfId="0"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0" fillId="3" borderId="0" xfId="0" applyFill="1" applyBorder="1"/>
    <xf numFmtId="0" fontId="0" fillId="3" borderId="5" xfId="0" applyFill="1" applyBorder="1" applyAlignment="1">
      <alignment vertical="top"/>
    </xf>
    <xf numFmtId="0" fontId="0" fillId="3" borderId="0" xfId="0" applyFill="1" applyBorder="1" applyAlignment="1">
      <alignment wrapText="1"/>
    </xf>
    <xf numFmtId="164" fontId="0" fillId="3" borderId="0" xfId="1" applyNumberFormat="1" applyFont="1" applyFill="1" applyBorder="1"/>
    <xf numFmtId="164" fontId="0" fillId="3" borderId="6" xfId="1" applyNumberFormat="1" applyFont="1" applyFill="1" applyBorder="1"/>
    <xf numFmtId="43" fontId="0" fillId="3" borderId="0" xfId="1" applyFont="1" applyFill="1" applyBorder="1"/>
    <xf numFmtId="43" fontId="0" fillId="3" borderId="6" xfId="1" applyFont="1" applyFill="1" applyBorder="1"/>
    <xf numFmtId="0" fontId="0" fillId="3" borderId="0" xfId="0" applyFill="1" applyBorder="1" applyAlignment="1"/>
    <xf numFmtId="0" fontId="0" fillId="3" borderId="7" xfId="0" applyFill="1" applyBorder="1" applyAlignment="1">
      <alignment vertical="top"/>
    </xf>
    <xf numFmtId="0" fontId="0" fillId="3" borderId="1" xfId="0" applyFill="1" applyBorder="1" applyAlignment="1">
      <alignment wrapText="1"/>
    </xf>
    <xf numFmtId="43" fontId="0" fillId="3" borderId="1" xfId="1" applyFont="1" applyFill="1" applyBorder="1"/>
    <xf numFmtId="43" fontId="0" fillId="3" borderId="8" xfId="1" applyFont="1" applyFill="1" applyBorder="1"/>
    <xf numFmtId="0" fontId="0" fillId="0" borderId="0" xfId="0" applyFill="1" applyAlignment="1"/>
    <xf numFmtId="0" fontId="0" fillId="3" borderId="0" xfId="0" applyFill="1" applyAlignment="1">
      <alignment vertical="top"/>
    </xf>
    <xf numFmtId="0" fontId="0" fillId="3" borderId="0" xfId="0" applyFill="1" applyAlignment="1">
      <alignment wrapText="1"/>
    </xf>
    <xf numFmtId="43" fontId="0" fillId="3" borderId="0" xfId="1" applyFont="1" applyFill="1"/>
    <xf numFmtId="43" fontId="2" fillId="3" borderId="1" xfId="1" applyFont="1" applyFill="1" applyBorder="1" applyAlignment="1">
      <alignment horizontal="center" wrapText="1"/>
    </xf>
    <xf numFmtId="164" fontId="0" fillId="3" borderId="0" xfId="1" applyNumberFormat="1" applyFont="1" applyFill="1"/>
    <xf numFmtId="0" fontId="0" fillId="3" borderId="0" xfId="0" applyFill="1"/>
    <xf numFmtId="43" fontId="0" fillId="4" borderId="0" xfId="1" applyFont="1" applyFill="1"/>
    <xf numFmtId="0" fontId="0" fillId="3" borderId="0" xfId="0" quotePrefix="1" applyFill="1" applyAlignment="1">
      <alignment wrapText="1"/>
    </xf>
    <xf numFmtId="166" fontId="0" fillId="3" borderId="9" xfId="8" applyNumberFormat="1" applyFont="1" applyFill="1" applyBorder="1"/>
    <xf numFmtId="0" fontId="2" fillId="3" borderId="0" xfId="0" applyFont="1" applyFill="1"/>
    <xf numFmtId="0" fontId="0" fillId="3" borderId="0" xfId="0" applyFill="1" applyAlignment="1">
      <alignment horizontal="left"/>
    </xf>
    <xf numFmtId="166" fontId="0" fillId="3" borderId="0" xfId="8" applyNumberFormat="1" applyFont="1" applyFill="1"/>
    <xf numFmtId="166" fontId="0" fillId="3" borderId="9" xfId="0" applyNumberFormat="1" applyFill="1" applyBorder="1"/>
    <xf numFmtId="0" fontId="2" fillId="0" borderId="0" xfId="0" applyFont="1"/>
    <xf numFmtId="0" fontId="2" fillId="3" borderId="1" xfId="0" applyFont="1" applyFill="1" applyBorder="1" applyAlignment="1">
      <alignment horizontal="center" wrapText="1"/>
    </xf>
    <xf numFmtId="0" fontId="8" fillId="5" borderId="0" xfId="4" quotePrefix="1" applyFont="1" applyFill="1"/>
    <xf numFmtId="0" fontId="6" fillId="5" borderId="0" xfId="4" applyFill="1"/>
    <xf numFmtId="0" fontId="6" fillId="0" borderId="0" xfId="4" applyFont="1"/>
    <xf numFmtId="0" fontId="8" fillId="5" borderId="0" xfId="4" applyFont="1" applyFill="1"/>
    <xf numFmtId="0" fontId="8" fillId="5" borderId="0" xfId="4" applyFont="1" applyFill="1" applyAlignment="1">
      <alignment horizontal="left"/>
    </xf>
    <xf numFmtId="0" fontId="6" fillId="5" borderId="10" xfId="4" applyFont="1" applyFill="1" applyBorder="1" applyAlignment="1" applyProtection="1">
      <alignment horizontal="center"/>
      <protection locked="0"/>
    </xf>
    <xf numFmtId="0" fontId="9" fillId="5" borderId="0" xfId="4" applyFont="1" applyFill="1" applyAlignment="1" applyProtection="1">
      <alignment horizontal="left" indent="1"/>
    </xf>
    <xf numFmtId="0" fontId="6" fillId="5" borderId="0" xfId="4" applyFill="1" applyBorder="1"/>
    <xf numFmtId="0" fontId="6" fillId="0" borderId="0" xfId="4" applyFont="1" applyAlignment="1">
      <alignment horizontal="center"/>
    </xf>
    <xf numFmtId="0" fontId="0" fillId="0" borderId="0" xfId="0" applyFill="1" applyBorder="1"/>
    <xf numFmtId="0" fontId="12" fillId="5" borderId="0" xfId="0" applyFont="1" applyFill="1" applyAlignment="1" applyProtection="1">
      <alignment horizontal="center"/>
    </xf>
    <xf numFmtId="168" fontId="12" fillId="5" borderId="0" xfId="0" applyNumberFormat="1" applyFont="1" applyFill="1" applyProtection="1"/>
    <xf numFmtId="0" fontId="0" fillId="5" borderId="0" xfId="0" applyFill="1"/>
    <xf numFmtId="0" fontId="12" fillId="5" borderId="0" xfId="0" applyFont="1" applyFill="1" applyAlignment="1">
      <alignment horizontal="center" vertical="top"/>
    </xf>
    <xf numFmtId="0" fontId="12" fillId="5" borderId="0" xfId="0" applyFont="1" applyFill="1"/>
    <xf numFmtId="0" fontId="12" fillId="5" borderId="0" xfId="0" applyNumberFormat="1" applyFont="1" applyFill="1" applyAlignment="1" applyProtection="1">
      <alignment horizontal="left" vertical="top"/>
    </xf>
    <xf numFmtId="0" fontId="12" fillId="5" borderId="0" xfId="0" applyFont="1" applyFill="1" applyAlignment="1">
      <alignment vertical="top"/>
    </xf>
    <xf numFmtId="49" fontId="12" fillId="5" borderId="0" xfId="0" quotePrefix="1" applyNumberFormat="1" applyFont="1" applyFill="1" applyAlignment="1" applyProtection="1">
      <alignment horizontal="center" vertical="top"/>
    </xf>
    <xf numFmtId="49" fontId="12" fillId="5" borderId="0" xfId="0" quotePrefix="1" applyNumberFormat="1" applyFont="1" applyFill="1" applyAlignment="1">
      <alignment horizontal="center" vertical="top"/>
    </xf>
    <xf numFmtId="0" fontId="6" fillId="0" borderId="0" xfId="4"/>
    <xf numFmtId="0" fontId="2" fillId="0" borderId="1" xfId="0" applyFont="1" applyFill="1" applyBorder="1" applyAlignment="1">
      <alignment horizontal="centerContinuous"/>
    </xf>
    <xf numFmtId="0" fontId="13" fillId="0" borderId="0" xfId="0" applyFont="1" applyFill="1" applyBorder="1" applyAlignment="1">
      <alignment horizontal="left"/>
    </xf>
    <xf numFmtId="167" fontId="0" fillId="0" borderId="0" xfId="9" applyNumberFormat="1" applyFont="1" applyFill="1"/>
    <xf numFmtId="165" fontId="0" fillId="0" borderId="0" xfId="0" applyNumberFormat="1" applyFill="1"/>
    <xf numFmtId="164" fontId="0" fillId="0" borderId="0" xfId="0" applyNumberFormat="1" applyFill="1"/>
    <xf numFmtId="0" fontId="2" fillId="0" borderId="0" xfId="0" applyFont="1" applyFill="1"/>
    <xf numFmtId="164" fontId="2" fillId="0" borderId="0" xfId="0" applyNumberFormat="1" applyFont="1" applyFill="1"/>
    <xf numFmtId="43" fontId="2" fillId="0" borderId="0" xfId="0" applyNumberFormat="1" applyFont="1" applyFill="1"/>
    <xf numFmtId="0" fontId="2" fillId="0" borderId="0" xfId="0" applyFont="1" applyAlignment="1">
      <alignment horizontal="right"/>
    </xf>
    <xf numFmtId="167" fontId="0" fillId="0" borderId="0" xfId="9" applyNumberFormat="1" applyFont="1"/>
    <xf numFmtId="0" fontId="2" fillId="0" borderId="2" xfId="0" applyFont="1" applyBorder="1"/>
    <xf numFmtId="0" fontId="0" fillId="0" borderId="3" xfId="0" applyBorder="1"/>
    <xf numFmtId="164" fontId="0" fillId="0" borderId="3" xfId="1" applyNumberFormat="1" applyFont="1" applyBorder="1"/>
    <xf numFmtId="164" fontId="0" fillId="0" borderId="4" xfId="1" applyNumberFormat="1" applyFont="1" applyBorder="1"/>
    <xf numFmtId="0" fontId="2" fillId="0" borderId="5" xfId="0" applyFont="1" applyBorder="1"/>
    <xf numFmtId="0" fontId="0" fillId="0" borderId="0" xfId="0" applyBorder="1"/>
    <xf numFmtId="164" fontId="0" fillId="0" borderId="0" xfId="1" applyNumberFormat="1" applyFont="1" applyBorder="1"/>
    <xf numFmtId="164" fontId="0" fillId="0" borderId="6" xfId="1" applyNumberFormat="1" applyFont="1" applyBorder="1"/>
    <xf numFmtId="0" fontId="0" fillId="0" borderId="5" xfId="0" applyBorder="1"/>
    <xf numFmtId="0" fontId="0" fillId="0" borderId="5" xfId="0" applyBorder="1" applyAlignment="1">
      <alignment horizontal="right"/>
    </xf>
    <xf numFmtId="0" fontId="0" fillId="6" borderId="0" xfId="0" applyFill="1" applyBorder="1"/>
    <xf numFmtId="2" fontId="0" fillId="6" borderId="0" xfId="0" applyNumberFormat="1" applyFill="1" applyBorder="1" applyAlignment="1">
      <alignment horizontal="center"/>
    </xf>
    <xf numFmtId="0" fontId="0" fillId="7" borderId="0" xfId="0" applyFill="1" applyBorder="1"/>
    <xf numFmtId="2" fontId="0" fillId="7" borderId="0" xfId="0" applyNumberFormat="1" applyFill="1" applyBorder="1"/>
    <xf numFmtId="2" fontId="0" fillId="0" borderId="0" xfId="0" applyNumberFormat="1" applyFill="1" applyBorder="1" applyAlignment="1">
      <alignment horizontal="center"/>
    </xf>
    <xf numFmtId="0" fontId="0" fillId="0" borderId="0" xfId="0" applyFill="1" applyBorder="1" applyAlignment="1">
      <alignment horizontal="center"/>
    </xf>
    <xf numFmtId="2" fontId="0" fillId="0" borderId="0" xfId="0" applyNumberFormat="1" applyFill="1" applyBorder="1"/>
    <xf numFmtId="0" fontId="0" fillId="0" borderId="6" xfId="0" applyFill="1" applyBorder="1"/>
    <xf numFmtId="0" fontId="0" fillId="0" borderId="5" xfId="0" applyBorder="1" applyAlignment="1">
      <alignment horizontal="center" wrapText="1"/>
    </xf>
    <xf numFmtId="0" fontId="2" fillId="0" borderId="1" xfId="0" applyFont="1" applyBorder="1" applyAlignment="1">
      <alignment horizontal="center" wrapText="1"/>
    </xf>
    <xf numFmtId="0" fontId="2" fillId="0" borderId="8" xfId="0" applyFont="1" applyBorder="1" applyAlignment="1">
      <alignment horizontal="center" wrapText="1"/>
    </xf>
    <xf numFmtId="43" fontId="0" fillId="0" borderId="0" xfId="1" applyFont="1" applyBorder="1"/>
    <xf numFmtId="43" fontId="0" fillId="0" borderId="0" xfId="0" applyNumberFormat="1" applyBorder="1"/>
    <xf numFmtId="43" fontId="2" fillId="0" borderId="0" xfId="0" applyNumberFormat="1" applyFont="1" applyBorder="1"/>
    <xf numFmtId="0" fontId="2" fillId="0" borderId="0" xfId="0" applyFont="1" applyBorder="1"/>
    <xf numFmtId="43" fontId="0" fillId="0" borderId="6" xfId="1" applyFont="1" applyBorder="1"/>
    <xf numFmtId="0" fontId="2" fillId="0" borderId="5" xfId="0" applyFont="1" applyBorder="1" applyAlignment="1">
      <alignment horizontal="right"/>
    </xf>
    <xf numFmtId="0" fontId="0" fillId="0" borderId="7" xfId="0" applyBorder="1"/>
    <xf numFmtId="0" fontId="0" fillId="0" borderId="1" xfId="0" applyBorder="1"/>
    <xf numFmtId="164" fontId="0" fillId="0" borderId="1" xfId="1" applyNumberFormat="1" applyFont="1" applyBorder="1"/>
    <xf numFmtId="164" fontId="0" fillId="0" borderId="8" xfId="1" applyNumberFormat="1" applyFont="1" applyBorder="1"/>
    <xf numFmtId="0" fontId="14" fillId="3" borderId="5" xfId="0" applyFont="1" applyFill="1" applyBorder="1"/>
    <xf numFmtId="0" fontId="0" fillId="3" borderId="0" xfId="0" applyFill="1" applyBorder="1" applyAlignment="1">
      <alignment horizontal="center"/>
    </xf>
    <xf numFmtId="0" fontId="0" fillId="3" borderId="6" xfId="0" applyFill="1" applyBorder="1" applyAlignment="1">
      <alignment horizontal="center"/>
    </xf>
    <xf numFmtId="0" fontId="0" fillId="2" borderId="0" xfId="0" applyFill="1" applyBorder="1" applyAlignment="1">
      <alignment horizontal="center" wrapText="1"/>
    </xf>
    <xf numFmtId="0" fontId="0" fillId="2" borderId="6" xfId="0" applyFill="1" applyBorder="1" applyAlignment="1">
      <alignment horizontal="center" wrapText="1"/>
    </xf>
    <xf numFmtId="0" fontId="0" fillId="3" borderId="5" xfId="0" applyFill="1" applyBorder="1" applyAlignment="1">
      <alignment horizontal="right" wrapText="1"/>
    </xf>
    <xf numFmtId="164" fontId="0" fillId="3" borderId="0" xfId="0" applyNumberFormat="1" applyFill="1" applyBorder="1" applyAlignment="1">
      <alignment horizontal="center"/>
    </xf>
    <xf numFmtId="164" fontId="0" fillId="3" borderId="6" xfId="0" applyNumberFormat="1" applyFill="1" applyBorder="1" applyAlignment="1">
      <alignment horizontal="center"/>
    </xf>
    <xf numFmtId="0" fontId="0" fillId="3" borderId="0" xfId="0" quotePrefix="1" applyFill="1" applyBorder="1" applyAlignment="1">
      <alignment wrapText="1"/>
    </xf>
    <xf numFmtId="0" fontId="0" fillId="3" borderId="0" xfId="0" applyFill="1" applyBorder="1" applyAlignment="1">
      <alignment vertical="top" wrapText="1"/>
    </xf>
    <xf numFmtId="0" fontId="0" fillId="3" borderId="0" xfId="0" applyFill="1" applyAlignment="1">
      <alignment horizontal="left" wrapText="1"/>
    </xf>
    <xf numFmtId="14" fontId="0" fillId="3" borderId="0" xfId="0" applyNumberFormat="1" applyFill="1" applyBorder="1" applyAlignment="1">
      <alignment horizontal="left" wrapText="1"/>
    </xf>
    <xf numFmtId="0" fontId="0" fillId="0" borderId="0" xfId="0" applyFill="1" applyAlignment="1">
      <alignment horizontal="right" wrapText="1"/>
    </xf>
    <xf numFmtId="43" fontId="0" fillId="0" borderId="0" xfId="0" applyNumberFormat="1" applyFill="1"/>
    <xf numFmtId="0" fontId="0" fillId="3" borderId="0" xfId="0" applyFont="1" applyFill="1"/>
    <xf numFmtId="164" fontId="0" fillId="3" borderId="0" xfId="0" applyNumberFormat="1" applyFont="1" applyFill="1" applyBorder="1" applyAlignment="1">
      <alignment horizontal="center" wrapText="1"/>
    </xf>
    <xf numFmtId="0" fontId="2" fillId="3" borderId="0" xfId="0" applyFont="1" applyFill="1" applyBorder="1" applyAlignment="1">
      <alignment horizontal="center" wrapText="1"/>
    </xf>
    <xf numFmtId="164" fontId="2" fillId="3" borderId="0" xfId="0" applyNumberFormat="1" applyFont="1" applyFill="1"/>
    <xf numFmtId="0" fontId="15" fillId="5" borderId="0" xfId="4" applyFont="1" applyFill="1" applyAlignment="1" applyProtection="1">
      <alignment horizontal="left" indent="4"/>
    </xf>
    <xf numFmtId="14" fontId="6" fillId="5" borderId="0" xfId="4" applyNumberFormat="1" applyFill="1" applyBorder="1"/>
    <xf numFmtId="14" fontId="6" fillId="5" borderId="0" xfId="4" applyNumberFormat="1" applyFill="1" applyBorder="1" applyAlignment="1">
      <alignment horizontal="left"/>
    </xf>
    <xf numFmtId="166" fontId="6" fillId="0" borderId="10" xfId="8" applyNumberFormat="1" applyFont="1" applyBorder="1"/>
    <xf numFmtId="0" fontId="6" fillId="0" borderId="0" xfId="4" applyBorder="1"/>
    <xf numFmtId="0" fontId="6" fillId="5" borderId="0" xfId="4" applyFill="1" applyAlignment="1">
      <alignment horizontal="left"/>
    </xf>
    <xf numFmtId="0" fontId="6" fillId="5" borderId="0" xfId="4" applyFill="1" applyAlignment="1">
      <alignment horizontal="right"/>
    </xf>
    <xf numFmtId="0" fontId="6" fillId="0" borderId="10" xfId="4" applyBorder="1" applyAlignment="1">
      <alignment horizontal="right"/>
    </xf>
    <xf numFmtId="14" fontId="6" fillId="0" borderId="0" xfId="4" applyNumberFormat="1"/>
    <xf numFmtId="0" fontId="6" fillId="0" borderId="0" xfId="4" applyAlignment="1">
      <alignment horizontal="right"/>
    </xf>
    <xf numFmtId="167" fontId="4" fillId="0" borderId="0" xfId="9" applyNumberFormat="1" applyFont="1" applyFill="1" applyBorder="1" applyAlignment="1">
      <alignment horizontal="right"/>
    </xf>
    <xf numFmtId="164" fontId="4" fillId="0" borderId="0" xfId="1" applyNumberFormat="1" applyFont="1" applyFill="1" applyBorder="1" applyAlignment="1">
      <alignment horizontal="right"/>
    </xf>
    <xf numFmtId="164" fontId="2" fillId="0" borderId="0" xfId="0" applyNumberFormat="1" applyFont="1"/>
    <xf numFmtId="0" fontId="6" fillId="0" borderId="0" xfId="4"/>
    <xf numFmtId="0" fontId="0" fillId="3" borderId="0" xfId="0" applyFont="1" applyFill="1" applyBorder="1" applyAlignment="1">
      <alignment horizontal="left"/>
    </xf>
    <xf numFmtId="0" fontId="2" fillId="2" borderId="2" xfId="0" applyFont="1" applyFill="1" applyBorder="1"/>
    <xf numFmtId="0" fontId="2" fillId="2" borderId="5" xfId="0" applyFont="1" applyFill="1" applyBorder="1"/>
    <xf numFmtId="0" fontId="2" fillId="2" borderId="0" xfId="0" applyFont="1" applyFill="1" applyBorder="1"/>
    <xf numFmtId="0" fontId="2" fillId="2" borderId="0" xfId="0" applyFont="1" applyFill="1" applyBorder="1" applyAlignment="1">
      <alignment horizontal="left"/>
    </xf>
    <xf numFmtId="0" fontId="2" fillId="2" borderId="0" xfId="0" applyFont="1" applyFill="1" applyBorder="1" applyAlignment="1">
      <alignment horizontal="right"/>
    </xf>
    <xf numFmtId="43" fontId="2" fillId="2" borderId="0" xfId="0" applyNumberFormat="1" applyFont="1" applyFill="1" applyBorder="1"/>
    <xf numFmtId="0" fontId="0" fillId="2" borderId="0" xfId="0" applyFont="1" applyFill="1" applyBorder="1" applyAlignment="1">
      <alignment horizontal="right"/>
    </xf>
    <xf numFmtId="164" fontId="0" fillId="2" borderId="0" xfId="0" applyNumberFormat="1" applyFont="1" applyFill="1" applyBorder="1"/>
    <xf numFmtId="164" fontId="0" fillId="2" borderId="0" xfId="0" applyNumberFormat="1" applyFill="1" applyBorder="1"/>
    <xf numFmtId="164" fontId="0" fillId="2" borderId="6" xfId="0" applyNumberFormat="1" applyFill="1" applyBorder="1"/>
    <xf numFmtId="43" fontId="0" fillId="2" borderId="0" xfId="0" applyNumberFormat="1" applyFill="1" applyBorder="1"/>
    <xf numFmtId="0" fontId="0" fillId="2" borderId="1" xfId="0" applyFill="1" applyBorder="1"/>
    <xf numFmtId="0" fontId="0" fillId="2" borderId="8" xfId="0" applyFill="1" applyBorder="1"/>
    <xf numFmtId="0" fontId="6" fillId="5" borderId="0" xfId="4" applyFont="1" applyFill="1"/>
    <xf numFmtId="0" fontId="6" fillId="5" borderId="0" xfId="4" quotePrefix="1" applyFont="1" applyFill="1"/>
    <xf numFmtId="0" fontId="0" fillId="5" borderId="0" xfId="0" applyFill="1" applyAlignment="1">
      <alignment vertical="top" wrapText="1"/>
    </xf>
    <xf numFmtId="0" fontId="0" fillId="6" borderId="0" xfId="0" applyFill="1" applyBorder="1" applyAlignment="1">
      <alignment horizontal="center"/>
    </xf>
    <xf numFmtId="0" fontId="0" fillId="0" borderId="0" xfId="0" applyFill="1" applyAlignment="1">
      <alignment horizontal="center"/>
    </xf>
    <xf numFmtId="0" fontId="0" fillId="5" borderId="0" xfId="0" applyFill="1" applyAlignment="1">
      <alignment vertical="center"/>
    </xf>
    <xf numFmtId="0" fontId="0" fillId="5" borderId="0" xfId="0" applyFill="1" applyAlignment="1">
      <alignment vertical="top"/>
    </xf>
    <xf numFmtId="0" fontId="12" fillId="5" borderId="0" xfId="0" applyNumberFormat="1" applyFont="1" applyFill="1" applyAlignment="1" applyProtection="1">
      <alignment horizontal="left" vertical="top" wrapText="1"/>
    </xf>
    <xf numFmtId="0" fontId="0" fillId="0" borderId="0" xfId="0" applyFill="1" applyBorder="1" applyAlignment="1">
      <alignment horizontal="right"/>
    </xf>
    <xf numFmtId="0" fontId="2" fillId="0" borderId="0" xfId="0" applyFont="1" applyAlignment="1">
      <alignment horizontal="center" wrapText="1"/>
    </xf>
    <xf numFmtId="0" fontId="0" fillId="0" borderId="0" xfId="0" applyFont="1" applyAlignment="1">
      <alignment horizontal="right"/>
    </xf>
    <xf numFmtId="0" fontId="0" fillId="8" borderId="0" xfId="0" applyFill="1" applyBorder="1"/>
    <xf numFmtId="2" fontId="0" fillId="8" borderId="0" xfId="0" applyNumberFormat="1" applyFill="1" applyBorder="1"/>
    <xf numFmtId="0" fontId="0" fillId="8" borderId="6" xfId="0" applyFill="1" applyBorder="1"/>
    <xf numFmtId="43" fontId="0" fillId="0" borderId="0" xfId="1" applyNumberFormat="1" applyFont="1" applyBorder="1"/>
    <xf numFmtId="43" fontId="0" fillId="0" borderId="0" xfId="0" applyNumberFormat="1" applyFont="1" applyBorder="1"/>
    <xf numFmtId="164" fontId="0" fillId="0" borderId="5" xfId="1" applyNumberFormat="1" applyFont="1" applyBorder="1"/>
    <xf numFmtId="0" fontId="0" fillId="3" borderId="5" xfId="0" applyFill="1" applyBorder="1" applyAlignment="1">
      <alignment horizontal="right" vertical="top"/>
    </xf>
    <xf numFmtId="0" fontId="0" fillId="3" borderId="0" xfId="0" applyFill="1" applyBorder="1" applyAlignment="1">
      <alignment horizontal="left" vertical="top" wrapText="1"/>
    </xf>
    <xf numFmtId="0" fontId="0" fillId="2" borderId="5" xfId="0" applyFill="1" applyBorder="1" applyAlignment="1">
      <alignment wrapText="1"/>
    </xf>
    <xf numFmtId="164" fontId="0" fillId="2" borderId="1" xfId="0" applyNumberFormat="1" applyFill="1" applyBorder="1"/>
    <xf numFmtId="164" fontId="0" fillId="2" borderId="8" xfId="0" applyNumberFormat="1" applyFill="1" applyBorder="1"/>
    <xf numFmtId="164" fontId="0" fillId="0" borderId="0" xfId="0" applyNumberFormat="1" applyFill="1" applyBorder="1"/>
    <xf numFmtId="43" fontId="0" fillId="2" borderId="0" xfId="0" applyNumberFormat="1" applyFont="1" applyFill="1" applyBorder="1" applyAlignment="1">
      <alignment horizontal="center"/>
    </xf>
    <xf numFmtId="0" fontId="0" fillId="2" borderId="0" xfId="0" applyFill="1" applyBorder="1" applyAlignment="1">
      <alignment horizontal="center"/>
    </xf>
    <xf numFmtId="0" fontId="0" fillId="2" borderId="6" xfId="0" applyFill="1" applyBorder="1" applyAlignment="1">
      <alignment horizontal="center"/>
    </xf>
    <xf numFmtId="0" fontId="16" fillId="0" borderId="0" xfId="12" applyBorder="1"/>
    <xf numFmtId="164" fontId="0" fillId="0" borderId="0" xfId="1" applyNumberFormat="1" applyFont="1" applyFill="1" applyBorder="1"/>
    <xf numFmtId="169" fontId="0" fillId="0" borderId="0" xfId="1" applyNumberFormat="1" applyFont="1" applyFill="1"/>
    <xf numFmtId="164" fontId="6" fillId="5" borderId="10" xfId="1" applyNumberFormat="1" applyFont="1" applyFill="1" applyBorder="1"/>
    <xf numFmtId="0" fontId="6" fillId="5" borderId="0" xfId="4" applyFill="1" applyAlignment="1">
      <alignment wrapText="1"/>
    </xf>
    <xf numFmtId="0" fontId="10" fillId="5" borderId="0" xfId="4" applyFont="1" applyFill="1" applyAlignment="1">
      <alignment horizontal="left"/>
    </xf>
    <xf numFmtId="0" fontId="6" fillId="0" borderId="0" xfId="4"/>
    <xf numFmtId="0" fontId="12" fillId="5" borderId="0" xfId="0" applyNumberFormat="1" applyFont="1" applyFill="1" applyAlignment="1" applyProtection="1">
      <alignment horizontal="left" vertical="top" wrapText="1"/>
    </xf>
    <xf numFmtId="0" fontId="0" fillId="5" borderId="0" xfId="0" applyFill="1" applyAlignment="1">
      <alignment vertical="top" wrapText="1"/>
    </xf>
    <xf numFmtId="0" fontId="12" fillId="5" borderId="0" xfId="0" applyFont="1" applyFill="1" applyAlignment="1">
      <alignment vertical="top" wrapText="1"/>
    </xf>
    <xf numFmtId="0" fontId="0" fillId="5" borderId="0" xfId="0" applyFill="1" applyAlignment="1">
      <alignment vertical="top"/>
    </xf>
    <xf numFmtId="0" fontId="0" fillId="6" borderId="0" xfId="0" applyFill="1" applyBorder="1" applyAlignment="1">
      <alignment horizontal="center"/>
    </xf>
    <xf numFmtId="0" fontId="0" fillId="7" borderId="0" xfId="0" applyFill="1" applyBorder="1" applyAlignment="1">
      <alignment horizontal="center"/>
    </xf>
    <xf numFmtId="0" fontId="0" fillId="8" borderId="0" xfId="0" applyFill="1" applyBorder="1" applyAlignment="1">
      <alignment horizontal="center"/>
    </xf>
    <xf numFmtId="0" fontId="0" fillId="8" borderId="6" xfId="0" applyFill="1" applyBorder="1" applyAlignment="1">
      <alignment horizontal="center"/>
    </xf>
    <xf numFmtId="0" fontId="0" fillId="0" borderId="0" xfId="0" applyFill="1" applyAlignment="1">
      <alignment horizont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xf numFmtId="0" fontId="11" fillId="5" borderId="0" xfId="0" applyNumberFormat="1" applyFont="1" applyFill="1" applyAlignment="1" applyProtection="1">
      <alignment horizontal="left" vertical="center"/>
    </xf>
    <xf numFmtId="0" fontId="0" fillId="5" borderId="0" xfId="0" applyFill="1" applyAlignment="1">
      <alignment vertical="center"/>
    </xf>
  </cellXfs>
  <cellStyles count="13">
    <cellStyle name="Comma" xfId="1" builtinId="3"/>
    <cellStyle name="Comma 2" xfId="2"/>
    <cellStyle name="Currency" xfId="8" builtinId="4"/>
    <cellStyle name="Currency 2" xfId="10"/>
    <cellStyle name="Linked Cell" xfId="12" builtinId="24"/>
    <cellStyle name="Normal" xfId="0" builtinId="0"/>
    <cellStyle name="Normal 2" xfId="3"/>
    <cellStyle name="Normal 2 2" xfId="11"/>
    <cellStyle name="Normal 3" xfId="4"/>
    <cellStyle name="Normal 3 2" xfId="5"/>
    <cellStyle name="Normal 4" xfId="6"/>
    <cellStyle name="Percent" xfId="9" builtinId="5"/>
    <cellStyle name="Percent 2" xfId="7"/>
  </cellStyles>
  <dxfs count="2">
    <dxf>
      <fill>
        <patternFill>
          <bgColor theme="6" tint="0.79998168889431442"/>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26</xdr:row>
      <xdr:rowOff>66677</xdr:rowOff>
    </xdr:from>
    <xdr:to>
      <xdr:col>3</xdr:col>
      <xdr:colOff>1</xdr:colOff>
      <xdr:row>40</xdr:row>
      <xdr:rowOff>66675</xdr:rowOff>
    </xdr:to>
    <xdr:sp macro="" textlink="">
      <xdr:nvSpPr>
        <xdr:cNvPr id="2" name="TextBox 1"/>
        <xdr:cNvSpPr txBox="1"/>
      </xdr:nvSpPr>
      <xdr:spPr>
        <a:xfrm>
          <a:off x="38100" y="2562227"/>
          <a:ext cx="6981826" cy="2266948"/>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a:t>
          </a:r>
          <a:r>
            <a:rPr lang="en-US" sz="1100" baseline="0">
              <a:solidFill>
                <a:schemeClr val="dk1"/>
              </a:solidFill>
              <a:effectLst/>
              <a:latin typeface="+mn-lt"/>
              <a:ea typeface="+mn-ea"/>
              <a:cs typeface="+mn-cs"/>
            </a:rPr>
            <a:t> template automatically generates the GASB 68 journal entries (13th period) and certain note disclosures (see below) for all employer participants of the </a:t>
          </a:r>
          <a:r>
            <a:rPr lang="en-US" sz="1100" b="1" baseline="0">
              <a:solidFill>
                <a:schemeClr val="dk1"/>
              </a:solidFill>
              <a:effectLst/>
              <a:latin typeface="+mn-lt"/>
              <a:ea typeface="+mn-ea"/>
              <a:cs typeface="+mn-cs"/>
            </a:rPr>
            <a:t>Registers of Deeds' Supplemental Pension Fund </a:t>
          </a:r>
          <a:r>
            <a:rPr lang="en-US" sz="1100" baseline="0">
              <a:solidFill>
                <a:schemeClr val="dk1"/>
              </a:solidFill>
              <a:effectLst/>
              <a:latin typeface="+mn-lt"/>
              <a:ea typeface="+mn-ea"/>
              <a:cs typeface="+mn-cs"/>
            </a:rPr>
            <a:t>(ROD). </a:t>
          </a:r>
        </a:p>
        <a:p>
          <a:endParaRPr lang="en-US" sz="1000">
            <a:effectLst/>
          </a:endParaRPr>
        </a:p>
        <a:p>
          <a:r>
            <a:rPr lang="en-US" sz="1100" baseline="0">
              <a:solidFill>
                <a:schemeClr val="dk1"/>
              </a:solidFill>
              <a:effectLst/>
              <a:latin typeface="+mn-lt"/>
              <a:ea typeface="+mn-ea"/>
              <a:cs typeface="+mn-cs"/>
            </a:rPr>
            <a:t>This template provides the note disclosures required by GASB 68, paragraphs 80h(1) thru (5), 80i(1), and 80i(2) and GASB 34, paragraph 119.</a:t>
          </a:r>
        </a:p>
        <a:p>
          <a:endParaRPr lang="en-US" sz="1000">
            <a:effectLst/>
          </a:endParaRPr>
        </a:p>
        <a:p>
          <a:r>
            <a:rPr lang="en-US" sz="1100" baseline="0">
              <a:solidFill>
                <a:schemeClr val="dk1"/>
              </a:solidFill>
              <a:effectLst/>
              <a:latin typeface="+mn-lt"/>
              <a:ea typeface="+mn-ea"/>
              <a:cs typeface="+mn-cs"/>
            </a:rPr>
            <a:t>The pension data in this template is maintained by the Department of State Treasurer (DST). The pension allocation schedules for ROD including the accompanying audit report from the Office of State Auditor will be available on DST's website.   </a:t>
          </a:r>
          <a:endParaRPr lang="en-US"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1304925</xdr:colOff>
      <xdr:row>228</xdr:row>
      <xdr:rowOff>200025</xdr:rowOff>
    </xdr:from>
    <xdr:to>
      <xdr:col>7</xdr:col>
      <xdr:colOff>0</xdr:colOff>
      <xdr:row>228</xdr:row>
      <xdr:rowOff>295275</xdr:rowOff>
    </xdr:to>
    <xdr:cxnSp macro="">
      <xdr:nvCxnSpPr>
        <xdr:cNvPr id="2" name="Straight Arrow Connector 1"/>
        <xdr:cNvCxnSpPr/>
      </xdr:nvCxnSpPr>
      <xdr:spPr>
        <a:xfrm flipH="1">
          <a:off x="10020300" y="61617225"/>
          <a:ext cx="1400175"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tirement\Ken\C02747\2014%20Valuations\CJRS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etirement\Ken\C02747\2014%20Valuations\CJRS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etirement\Ken\C00387\2014%20Valuations%20-%20LRS\LRS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tirement\Ken\C00387\2010%20Valuations\TSERS2009%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etirement\Ken\C00387\2010%20Valuations\TSERS200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GASB 25 26 --&gt;"/>
      <sheetName val="NPO"/>
      <sheetName val="GASB 25 27 (1)"/>
      <sheetName val="GASB 25 27 (2)"/>
      <sheetName val="GASB 25 27 (3)"/>
      <sheetName val="GASB 25 27 (4.1)"/>
      <sheetName val="GASB 25 27 (4.2)"/>
      <sheetName val="GASB 25 27 (5.1)"/>
      <sheetName val="GASB 25 27 (5.2)"/>
      <sheetName val="GASB 25 27 (6)"/>
      <sheetName val="GASB 67 --&gt;"/>
      <sheetName val="NPL"/>
      <sheetName val="GASB 67 (1.1)"/>
      <sheetName val="GASB 67 (1.2)"/>
      <sheetName val="GASB 67 (2)"/>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14"/>
      <sheetName val="Table 15"/>
      <sheetName val="Table 16"/>
      <sheetName val="Table 17"/>
      <sheetName val="Table 18"/>
      <sheetName val="Table 19"/>
      <sheetName val="Table 20"/>
      <sheetName val="Table 21"/>
      <sheetName val="Table 22"/>
      <sheetName val="Table 23"/>
      <sheetName val="Table 24"/>
      <sheetName val="Table 25"/>
      <sheetName val="Table 26"/>
      <sheetName val="Table 27"/>
      <sheetName val="GASB 68 (1)"/>
      <sheetName val="GASB 68 (2)"/>
      <sheetName val="GASB 68 (3)"/>
      <sheetName val="GASB 68 (4)"/>
      <sheetName val="GASB 68 (5)"/>
    </sheetNames>
    <sheetDataSet>
      <sheetData sheetId="0" refreshError="1"/>
      <sheetData sheetId="1"/>
      <sheetData sheetId="2" refreshError="1"/>
      <sheetData sheetId="3">
        <row r="36">
          <cell r="D36">
            <v>0</v>
          </cell>
          <cell r="E36">
            <v>0</v>
          </cell>
        </row>
        <row r="37">
          <cell r="D37">
            <v>0</v>
          </cell>
          <cell r="E37">
            <v>58602290.280000001</v>
          </cell>
        </row>
        <row r="38">
          <cell r="D38">
            <v>0</v>
          </cell>
          <cell r="E38">
            <v>0</v>
          </cell>
        </row>
        <row r="39">
          <cell r="D39">
            <v>0</v>
          </cell>
          <cell r="E39">
            <v>0</v>
          </cell>
        </row>
        <row r="40">
          <cell r="D40" t="str">
            <v>C</v>
          </cell>
          <cell r="E40">
            <v>4174781.91</v>
          </cell>
        </row>
        <row r="41">
          <cell r="D41">
            <v>0</v>
          </cell>
          <cell r="E41">
            <v>0</v>
          </cell>
        </row>
        <row r="42">
          <cell r="D42">
            <v>0</v>
          </cell>
          <cell r="E42">
            <v>2169880.4900000002</v>
          </cell>
        </row>
        <row r="43">
          <cell r="D43" t="str">
            <v>C</v>
          </cell>
          <cell r="E43">
            <v>0</v>
          </cell>
        </row>
        <row r="44">
          <cell r="D44" t="str">
            <v>C</v>
          </cell>
          <cell r="E44">
            <v>619714.9</v>
          </cell>
        </row>
        <row r="45">
          <cell r="D45" t="str">
            <v>C</v>
          </cell>
          <cell r="E45">
            <v>21864.04</v>
          </cell>
        </row>
        <row r="46">
          <cell r="D46" t="str">
            <v>C</v>
          </cell>
          <cell r="E46">
            <v>0</v>
          </cell>
        </row>
        <row r="47">
          <cell r="D47">
            <v>0</v>
          </cell>
          <cell r="E47">
            <v>0</v>
          </cell>
        </row>
        <row r="48">
          <cell r="D48">
            <v>0</v>
          </cell>
          <cell r="E48">
            <v>6986241.3400000008</v>
          </cell>
        </row>
        <row r="49">
          <cell r="D49">
            <v>0</v>
          </cell>
          <cell r="E49">
            <v>0</v>
          </cell>
        </row>
        <row r="50">
          <cell r="D50">
            <v>0</v>
          </cell>
          <cell r="E50">
            <v>0</v>
          </cell>
        </row>
        <row r="51">
          <cell r="D51">
            <v>0</v>
          </cell>
          <cell r="E51">
            <v>6315736.2199999997</v>
          </cell>
        </row>
        <row r="52">
          <cell r="D52" t="str">
            <v>P</v>
          </cell>
          <cell r="E52">
            <v>48024.93</v>
          </cell>
        </row>
        <row r="53">
          <cell r="D53">
            <v>0</v>
          </cell>
          <cell r="E53">
            <v>770.84</v>
          </cell>
        </row>
        <row r="54">
          <cell r="D54" t="str">
            <v>P</v>
          </cell>
          <cell r="E54">
            <v>2517.48</v>
          </cell>
        </row>
        <row r="55">
          <cell r="D55" t="str">
            <v>C N</v>
          </cell>
          <cell r="E55">
            <v>0</v>
          </cell>
        </row>
        <row r="56">
          <cell r="D56">
            <v>0</v>
          </cell>
          <cell r="E56">
            <v>0</v>
          </cell>
        </row>
        <row r="57">
          <cell r="D57">
            <v>0</v>
          </cell>
          <cell r="E57">
            <v>6367049.4699999997</v>
          </cell>
        </row>
        <row r="58">
          <cell r="D58">
            <v>0</v>
          </cell>
          <cell r="E58">
            <v>0</v>
          </cell>
        </row>
        <row r="59">
          <cell r="D59">
            <v>0</v>
          </cell>
          <cell r="E59">
            <v>59221482.150000006</v>
          </cell>
        </row>
        <row r="61">
          <cell r="D61">
            <v>0</v>
          </cell>
          <cell r="E61">
            <v>0</v>
          </cell>
        </row>
        <row r="62">
          <cell r="D62">
            <v>0</v>
          </cell>
          <cell r="E62">
            <v>407496806.56</v>
          </cell>
        </row>
        <row r="63">
          <cell r="D63">
            <v>0</v>
          </cell>
          <cell r="E63">
            <v>0</v>
          </cell>
        </row>
        <row r="64">
          <cell r="D64">
            <v>0</v>
          </cell>
          <cell r="E64">
            <v>0</v>
          </cell>
        </row>
        <row r="65">
          <cell r="D65" t="str">
            <v>C</v>
          </cell>
          <cell r="E65">
            <v>18981031.059999999</v>
          </cell>
        </row>
        <row r="66">
          <cell r="D66">
            <v>0</v>
          </cell>
          <cell r="E66">
            <v>0</v>
          </cell>
        </row>
        <row r="67">
          <cell r="D67">
            <v>0</v>
          </cell>
          <cell r="E67">
            <v>56183067.259999998</v>
          </cell>
        </row>
        <row r="68">
          <cell r="D68" t="str">
            <v>E</v>
          </cell>
          <cell r="E68">
            <v>2725.97</v>
          </cell>
        </row>
        <row r="69">
          <cell r="D69" t="str">
            <v>E</v>
          </cell>
          <cell r="E69">
            <v>567.48</v>
          </cell>
        </row>
        <row r="70">
          <cell r="D70" t="str">
            <v>C</v>
          </cell>
          <cell r="E70">
            <v>255.8</v>
          </cell>
        </row>
        <row r="71">
          <cell r="D71">
            <v>0</v>
          </cell>
          <cell r="E71">
            <v>0</v>
          </cell>
        </row>
        <row r="72">
          <cell r="D72">
            <v>0</v>
          </cell>
          <cell r="E72">
            <v>6315736.2199999997</v>
          </cell>
        </row>
        <row r="73">
          <cell r="D73" t="str">
            <v>C</v>
          </cell>
          <cell r="E73">
            <v>829577.94</v>
          </cell>
        </row>
        <row r="74">
          <cell r="D74" t="str">
            <v>C</v>
          </cell>
          <cell r="E74">
            <v>19234.8</v>
          </cell>
        </row>
        <row r="75">
          <cell r="D75" t="str">
            <v>C</v>
          </cell>
          <cell r="E75">
            <v>0</v>
          </cell>
        </row>
        <row r="76">
          <cell r="D76">
            <v>0</v>
          </cell>
          <cell r="E76">
            <v>0</v>
          </cell>
        </row>
        <row r="77">
          <cell r="D77">
            <v>0</v>
          </cell>
          <cell r="E77">
            <v>82332196.529999986</v>
          </cell>
        </row>
        <row r="78">
          <cell r="D78">
            <v>0</v>
          </cell>
          <cell r="E78">
            <v>0</v>
          </cell>
        </row>
        <row r="79">
          <cell r="D79">
            <v>0</v>
          </cell>
          <cell r="E79">
            <v>0</v>
          </cell>
        </row>
        <row r="80">
          <cell r="D80" t="str">
            <v>P</v>
          </cell>
          <cell r="E80">
            <v>34616568.490000002</v>
          </cell>
        </row>
        <row r="81">
          <cell r="D81">
            <v>0</v>
          </cell>
          <cell r="E81">
            <v>2169880.4900000002</v>
          </cell>
        </row>
        <row r="82">
          <cell r="D82" t="str">
            <v>P</v>
          </cell>
          <cell r="E82">
            <v>0</v>
          </cell>
        </row>
        <row r="83">
          <cell r="D83" t="str">
            <v>P</v>
          </cell>
          <cell r="E83">
            <v>274986</v>
          </cell>
        </row>
        <row r="84">
          <cell r="D84" t="str">
            <v>P</v>
          </cell>
          <cell r="E84">
            <v>20029.990000000002</v>
          </cell>
        </row>
        <row r="85">
          <cell r="D85">
            <v>0</v>
          </cell>
          <cell r="E85">
            <v>0</v>
          </cell>
        </row>
        <row r="86">
          <cell r="D86">
            <v>0</v>
          </cell>
          <cell r="E86">
            <v>0</v>
          </cell>
        </row>
        <row r="87">
          <cell r="D87">
            <v>0</v>
          </cell>
          <cell r="E87">
            <v>37081464.970000006</v>
          </cell>
        </row>
        <row r="88">
          <cell r="D88">
            <v>0</v>
          </cell>
          <cell r="E88">
            <v>0</v>
          </cell>
        </row>
        <row r="89">
          <cell r="D89">
            <v>0</v>
          </cell>
          <cell r="E89">
            <v>452747538.11999995</v>
          </cell>
        </row>
      </sheetData>
      <sheetData sheetId="4">
        <row r="39">
          <cell r="L39">
            <v>556951494</v>
          </cell>
        </row>
      </sheetData>
      <sheetData sheetId="5">
        <row r="5">
          <cell r="J5">
            <v>41639</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NPO"/>
      <sheetName val="NPL"/>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14"/>
      <sheetName val="Table 15"/>
      <sheetName val="Table 16"/>
      <sheetName val="Table 17"/>
      <sheetName val="Table 18"/>
      <sheetName val="Table 19"/>
      <sheetName val="Table 20"/>
      <sheetName val="Table 21"/>
      <sheetName val="Table 22"/>
      <sheetName val="Table 23"/>
      <sheetName val="Table 24"/>
      <sheetName val="Table 25"/>
      <sheetName val="Table 26"/>
      <sheetName val="Table 27"/>
      <sheetName val="GASB 25 26 --&gt;"/>
      <sheetName val="GASB 25 27 (1)"/>
      <sheetName val="GASB 25 27 (2)"/>
      <sheetName val="GASB 25 27 (3)"/>
      <sheetName val="GASB 25 27 (4.1)"/>
      <sheetName val="GASB 25 27 (4.2)"/>
      <sheetName val="GASB 25 27 (5.1)"/>
      <sheetName val="GASB 25 27 (5.2)"/>
      <sheetName val="GASB 25 27 (6)"/>
      <sheetName val="GASB 67 --&gt;"/>
      <sheetName val="GASB 67 (1.1)"/>
      <sheetName val="GASB 67 (1.2)"/>
      <sheetName val="GASB 67 (2)"/>
      <sheetName val="GASB 68 (1)"/>
      <sheetName val="GASB 68 (2)"/>
      <sheetName val="GASB 68 (3)"/>
      <sheetName val="GASB 68 (4)"/>
      <sheetName val="GASB 68 (5)"/>
    </sheetNames>
    <sheetDataSet>
      <sheetData sheetId="0"/>
      <sheetData sheetId="1"/>
      <sheetData sheetId="2"/>
      <sheetData sheetId="3">
        <row r="36">
          <cell r="D36">
            <v>0</v>
          </cell>
          <cell r="E36">
            <v>0</v>
          </cell>
        </row>
        <row r="37">
          <cell r="D37">
            <v>0</v>
          </cell>
          <cell r="E37">
            <v>58602290.280000001</v>
          </cell>
        </row>
        <row r="38">
          <cell r="D38">
            <v>0</v>
          </cell>
          <cell r="E38">
            <v>0</v>
          </cell>
        </row>
        <row r="39">
          <cell r="D39">
            <v>0</v>
          </cell>
          <cell r="E39">
            <v>0</v>
          </cell>
        </row>
        <row r="40">
          <cell r="D40" t="str">
            <v>C</v>
          </cell>
          <cell r="E40">
            <v>4174781.91</v>
          </cell>
        </row>
        <row r="41">
          <cell r="D41">
            <v>0</v>
          </cell>
          <cell r="E41">
            <v>0</v>
          </cell>
        </row>
        <row r="42">
          <cell r="D42">
            <v>0</v>
          </cell>
          <cell r="E42">
            <v>2169880.4900000002</v>
          </cell>
        </row>
        <row r="43">
          <cell r="D43" t="str">
            <v>C</v>
          </cell>
          <cell r="E43">
            <v>0</v>
          </cell>
        </row>
        <row r="44">
          <cell r="D44" t="str">
            <v>C</v>
          </cell>
          <cell r="E44">
            <v>619714.9</v>
          </cell>
        </row>
        <row r="45">
          <cell r="D45" t="str">
            <v>C</v>
          </cell>
          <cell r="E45">
            <v>21864.04</v>
          </cell>
        </row>
        <row r="46">
          <cell r="D46" t="str">
            <v>C</v>
          </cell>
          <cell r="E46">
            <v>0</v>
          </cell>
        </row>
        <row r="47">
          <cell r="D47">
            <v>0</v>
          </cell>
          <cell r="E47">
            <v>0</v>
          </cell>
        </row>
        <row r="48">
          <cell r="D48">
            <v>0</v>
          </cell>
          <cell r="E48">
            <v>6986241.3400000008</v>
          </cell>
        </row>
        <row r="49">
          <cell r="D49">
            <v>0</v>
          </cell>
          <cell r="E49">
            <v>0</v>
          </cell>
        </row>
        <row r="50">
          <cell r="D50">
            <v>0</v>
          </cell>
          <cell r="E50">
            <v>0</v>
          </cell>
        </row>
        <row r="51">
          <cell r="D51">
            <v>0</v>
          </cell>
          <cell r="E51">
            <v>6315736.2199999997</v>
          </cell>
        </row>
        <row r="52">
          <cell r="D52" t="str">
            <v>P</v>
          </cell>
          <cell r="E52">
            <v>48024.93</v>
          </cell>
        </row>
        <row r="53">
          <cell r="D53">
            <v>0</v>
          </cell>
          <cell r="E53">
            <v>770.84</v>
          </cell>
        </row>
        <row r="54">
          <cell r="D54" t="str">
            <v>P</v>
          </cell>
          <cell r="E54">
            <v>2517.48</v>
          </cell>
        </row>
        <row r="55">
          <cell r="D55" t="str">
            <v>C N</v>
          </cell>
          <cell r="E55">
            <v>0</v>
          </cell>
        </row>
        <row r="56">
          <cell r="D56">
            <v>0</v>
          </cell>
          <cell r="E56">
            <v>0</v>
          </cell>
        </row>
        <row r="57">
          <cell r="D57">
            <v>0</v>
          </cell>
          <cell r="E57">
            <v>6367049.4699999997</v>
          </cell>
        </row>
        <row r="58">
          <cell r="D58">
            <v>0</v>
          </cell>
          <cell r="E58">
            <v>0</v>
          </cell>
        </row>
        <row r="59">
          <cell r="D59">
            <v>0</v>
          </cell>
          <cell r="E59">
            <v>59221482.150000006</v>
          </cell>
        </row>
        <row r="61">
          <cell r="D61">
            <v>0</v>
          </cell>
          <cell r="E61">
            <v>0</v>
          </cell>
        </row>
        <row r="62">
          <cell r="D62">
            <v>0</v>
          </cell>
          <cell r="E62">
            <v>407496806.56</v>
          </cell>
        </row>
        <row r="63">
          <cell r="D63">
            <v>0</v>
          </cell>
          <cell r="E63">
            <v>0</v>
          </cell>
        </row>
        <row r="64">
          <cell r="D64">
            <v>0</v>
          </cell>
          <cell r="E64">
            <v>0</v>
          </cell>
        </row>
        <row r="65">
          <cell r="D65" t="str">
            <v>C</v>
          </cell>
          <cell r="E65">
            <v>18981031.059999999</v>
          </cell>
        </row>
        <row r="66">
          <cell r="D66">
            <v>0</v>
          </cell>
          <cell r="E66">
            <v>0</v>
          </cell>
        </row>
        <row r="67">
          <cell r="D67">
            <v>0</v>
          </cell>
          <cell r="E67">
            <v>56183067.259999998</v>
          </cell>
        </row>
        <row r="68">
          <cell r="D68" t="str">
            <v>E</v>
          </cell>
          <cell r="E68">
            <v>2725.97</v>
          </cell>
        </row>
        <row r="69">
          <cell r="D69" t="str">
            <v>E</v>
          </cell>
          <cell r="E69">
            <v>567.48</v>
          </cell>
        </row>
        <row r="70">
          <cell r="D70" t="str">
            <v>C</v>
          </cell>
          <cell r="E70">
            <v>255.8</v>
          </cell>
        </row>
        <row r="71">
          <cell r="D71">
            <v>0</v>
          </cell>
          <cell r="E71">
            <v>0</v>
          </cell>
        </row>
        <row r="72">
          <cell r="D72">
            <v>0</v>
          </cell>
          <cell r="E72">
            <v>6315736.2199999997</v>
          </cell>
        </row>
        <row r="73">
          <cell r="D73" t="str">
            <v>C</v>
          </cell>
          <cell r="E73">
            <v>829577.94</v>
          </cell>
        </row>
        <row r="74">
          <cell r="D74" t="str">
            <v>C</v>
          </cell>
          <cell r="E74">
            <v>19234.8</v>
          </cell>
        </row>
        <row r="75">
          <cell r="D75" t="str">
            <v>C</v>
          </cell>
          <cell r="E75">
            <v>0</v>
          </cell>
        </row>
        <row r="76">
          <cell r="D76">
            <v>0</v>
          </cell>
          <cell r="E76">
            <v>0</v>
          </cell>
        </row>
        <row r="77">
          <cell r="D77">
            <v>0</v>
          </cell>
          <cell r="E77">
            <v>82332196.529999986</v>
          </cell>
        </row>
        <row r="78">
          <cell r="D78">
            <v>0</v>
          </cell>
          <cell r="E78">
            <v>0</v>
          </cell>
        </row>
        <row r="79">
          <cell r="D79">
            <v>0</v>
          </cell>
          <cell r="E79">
            <v>0</v>
          </cell>
        </row>
        <row r="80">
          <cell r="D80" t="str">
            <v>P</v>
          </cell>
          <cell r="E80">
            <v>34616568.490000002</v>
          </cell>
        </row>
        <row r="81">
          <cell r="D81">
            <v>0</v>
          </cell>
          <cell r="E81">
            <v>2169880.4900000002</v>
          </cell>
        </row>
        <row r="82">
          <cell r="D82" t="str">
            <v>P</v>
          </cell>
          <cell r="E82">
            <v>0</v>
          </cell>
        </row>
        <row r="83">
          <cell r="D83" t="str">
            <v>P</v>
          </cell>
          <cell r="E83">
            <v>274986</v>
          </cell>
        </row>
        <row r="84">
          <cell r="D84" t="str">
            <v>P</v>
          </cell>
          <cell r="E84">
            <v>20029.990000000002</v>
          </cell>
        </row>
        <row r="85">
          <cell r="D85">
            <v>0</v>
          </cell>
          <cell r="E85">
            <v>0</v>
          </cell>
        </row>
        <row r="86">
          <cell r="D86">
            <v>0</v>
          </cell>
          <cell r="E86">
            <v>0</v>
          </cell>
        </row>
        <row r="87">
          <cell r="D87">
            <v>0</v>
          </cell>
          <cell r="E87">
            <v>37081464.970000006</v>
          </cell>
        </row>
        <row r="88">
          <cell r="D88">
            <v>0</v>
          </cell>
          <cell r="E88">
            <v>0</v>
          </cell>
        </row>
        <row r="89">
          <cell r="D89">
            <v>0</v>
          </cell>
          <cell r="E89">
            <v>452747538.11999995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ProVal GainLoss"/>
      <sheetName val="NPO"/>
      <sheetName val="NPL"/>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
      <sheetName val="Table 6-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GASB 25 26 --&gt;"/>
      <sheetName val="GASB 25 27 (1)"/>
      <sheetName val="GASB 25 27 (2)"/>
      <sheetName val="GASB 25 27 (3.1)"/>
      <sheetName val="GASB 25 27 (3.2)"/>
      <sheetName val="GASB 25 27 (4)"/>
      <sheetName val="GASB 25 27 (5)"/>
      <sheetName val="GASB 67 --&gt;"/>
      <sheetName val="GASB 67 (1.1)"/>
      <sheetName val="GASB 67 (1.2)"/>
      <sheetName val="GASB 67 (2)"/>
      <sheetName val="GASB 68 (1)"/>
      <sheetName val="GASB 68 (2)"/>
      <sheetName val="GASB 68 (3)"/>
      <sheetName val="GASB 68 (4)"/>
      <sheetName val="GASB 68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O"/>
      <sheetName val="GainLoss"/>
      <sheetName val="GainLoss V2"/>
      <sheetName val="Reconciliation"/>
      <sheetName val="Results"/>
      <sheetName val="Liabilities"/>
      <sheetName val="ProVal"/>
      <sheetName val="Membership"/>
      <sheetName val="Assets"/>
      <sheetName val="Flow - Experience"/>
      <sheetName val="Flow - Final"/>
      <sheetName val="New Retiree ProVal"/>
      <sheetName val="New Active ProVal"/>
    </sheetNames>
    <sheetDataSet>
      <sheetData sheetId="0"/>
      <sheetData sheetId="1"/>
      <sheetData sheetId="2"/>
      <sheetData sheetId="3"/>
      <sheetData sheetId="4"/>
      <sheetData sheetId="5"/>
      <sheetData sheetId="6">
        <row r="6">
          <cell r="B6" t="str">
            <v>R_Teachers_Correct Groups</v>
          </cell>
          <cell r="C6">
            <v>0</v>
          </cell>
          <cell r="D6">
            <v>0</v>
          </cell>
          <cell r="E6">
            <v>0</v>
          </cell>
          <cell r="F6">
            <v>0</v>
          </cell>
          <cell r="G6">
            <v>68735</v>
          </cell>
          <cell r="H6">
            <v>1845314465</v>
          </cell>
          <cell r="I6">
            <v>0</v>
          </cell>
          <cell r="J6">
            <v>15808473119</v>
          </cell>
          <cell r="K6">
            <v>0</v>
          </cell>
          <cell r="L6">
            <v>0</v>
          </cell>
          <cell r="Q6">
            <v>3643</v>
          </cell>
          <cell r="R6">
            <v>983947221</v>
          </cell>
        </row>
        <row r="7">
          <cell r="B7" t="str">
            <v>R_Other Education_Correct Groups</v>
          </cell>
          <cell r="C7">
            <v>0</v>
          </cell>
          <cell r="D7">
            <v>0</v>
          </cell>
          <cell r="E7">
            <v>0</v>
          </cell>
          <cell r="F7">
            <v>0</v>
          </cell>
          <cell r="G7">
            <v>2695</v>
          </cell>
          <cell r="H7">
            <v>67421186</v>
          </cell>
          <cell r="I7">
            <v>0</v>
          </cell>
          <cell r="J7">
            <v>636806753</v>
          </cell>
          <cell r="K7">
            <v>0</v>
          </cell>
          <cell r="L7">
            <v>0</v>
          </cell>
          <cell r="Q7">
            <v>1457</v>
          </cell>
          <cell r="R7">
            <v>356783169</v>
          </cell>
        </row>
        <row r="8">
          <cell r="B8" t="str">
            <v>B_Teachers_Correct Groups</v>
          </cell>
          <cell r="C8">
            <v>0</v>
          </cell>
          <cell r="D8">
            <v>0</v>
          </cell>
          <cell r="E8">
            <v>0</v>
          </cell>
          <cell r="F8">
            <v>0</v>
          </cell>
          <cell r="G8">
            <v>3806</v>
          </cell>
          <cell r="H8">
            <v>63357114</v>
          </cell>
          <cell r="I8">
            <v>0</v>
          </cell>
          <cell r="J8">
            <v>475824519</v>
          </cell>
          <cell r="K8">
            <v>0</v>
          </cell>
          <cell r="L8">
            <v>0</v>
          </cell>
          <cell r="Q8">
            <v>222</v>
          </cell>
          <cell r="R8">
            <v>27661351</v>
          </cell>
        </row>
        <row r="9">
          <cell r="B9" t="str">
            <v>B_Other Education_Correct Groups</v>
          </cell>
          <cell r="C9">
            <v>0</v>
          </cell>
          <cell r="D9">
            <v>0</v>
          </cell>
          <cell r="E9">
            <v>0</v>
          </cell>
          <cell r="F9">
            <v>0</v>
          </cell>
          <cell r="G9">
            <v>4</v>
          </cell>
          <cell r="H9">
            <v>42393</v>
          </cell>
          <cell r="I9">
            <v>0</v>
          </cell>
          <cell r="J9">
            <v>456295</v>
          </cell>
          <cell r="K9">
            <v>0</v>
          </cell>
          <cell r="L9">
            <v>0</v>
          </cell>
          <cell r="Q9">
            <v>3</v>
          </cell>
          <cell r="R9">
            <v>411625</v>
          </cell>
        </row>
        <row r="10">
          <cell r="B10" t="str">
            <v>R_General_Correct Groups</v>
          </cell>
          <cell r="C10">
            <v>0</v>
          </cell>
          <cell r="D10">
            <v>0</v>
          </cell>
          <cell r="E10">
            <v>0</v>
          </cell>
          <cell r="F10">
            <v>0</v>
          </cell>
          <cell r="G10">
            <v>70726</v>
          </cell>
          <cell r="H10">
            <v>1231325396</v>
          </cell>
          <cell r="I10">
            <v>0</v>
          </cell>
          <cell r="J10">
            <v>10360858551</v>
          </cell>
          <cell r="K10">
            <v>0</v>
          </cell>
          <cell r="L10">
            <v>0</v>
          </cell>
          <cell r="Q10">
            <v>3729</v>
          </cell>
          <cell r="R10">
            <v>664220266</v>
          </cell>
        </row>
        <row r="11">
          <cell r="B11" t="str">
            <v>B_General_Correct Groups</v>
          </cell>
          <cell r="C11">
            <v>0</v>
          </cell>
          <cell r="D11">
            <v>0</v>
          </cell>
          <cell r="E11">
            <v>0</v>
          </cell>
          <cell r="F11">
            <v>0</v>
          </cell>
          <cell r="G11">
            <v>8164</v>
          </cell>
          <cell r="H11">
            <v>90856399</v>
          </cell>
          <cell r="I11">
            <v>0</v>
          </cell>
          <cell r="J11">
            <v>684573305</v>
          </cell>
          <cell r="K11">
            <v>0</v>
          </cell>
          <cell r="L11">
            <v>0</v>
          </cell>
          <cell r="Q11">
            <v>582</v>
          </cell>
          <cell r="R11">
            <v>65766484</v>
          </cell>
        </row>
        <row r="12">
          <cell r="B12" t="str">
            <v>R_Law Enforcement Officers_Correct Groups</v>
          </cell>
          <cell r="C12">
            <v>0</v>
          </cell>
          <cell r="D12">
            <v>0</v>
          </cell>
          <cell r="E12">
            <v>0</v>
          </cell>
          <cell r="F12">
            <v>0</v>
          </cell>
          <cell r="G12">
            <v>2305</v>
          </cell>
          <cell r="H12">
            <v>68989420</v>
          </cell>
          <cell r="I12">
            <v>0</v>
          </cell>
          <cell r="J12">
            <v>729435853</v>
          </cell>
          <cell r="K12">
            <v>0</v>
          </cell>
          <cell r="L12">
            <v>0</v>
          </cell>
          <cell r="Q12">
            <v>117</v>
          </cell>
          <cell r="R12">
            <v>46867923</v>
          </cell>
        </row>
        <row r="13">
          <cell r="B13" t="str">
            <v>B_Law Enforcement Officers_Correct Groups</v>
          </cell>
          <cell r="C13">
            <v>0</v>
          </cell>
          <cell r="D13">
            <v>0</v>
          </cell>
          <cell r="E13">
            <v>0</v>
          </cell>
          <cell r="F13">
            <v>0</v>
          </cell>
          <cell r="G13">
            <v>351</v>
          </cell>
          <cell r="H13">
            <v>6667848</v>
          </cell>
          <cell r="I13">
            <v>0</v>
          </cell>
          <cell r="J13">
            <v>55496132</v>
          </cell>
          <cell r="K13">
            <v>0</v>
          </cell>
          <cell r="L13">
            <v>0</v>
          </cell>
          <cell r="Q13">
            <v>24</v>
          </cell>
          <cell r="R13">
            <v>3906564</v>
          </cell>
        </row>
        <row r="14">
          <cell r="C14">
            <v>158280</v>
          </cell>
          <cell r="D14">
            <v>7352563851</v>
          </cell>
          <cell r="E14">
            <v>42.69</v>
          </cell>
          <cell r="F14">
            <v>9.5500000000000007</v>
          </cell>
          <cell r="G14">
            <v>0</v>
          </cell>
          <cell r="H14">
            <v>0</v>
          </cell>
          <cell r="I14">
            <v>23819634824</v>
          </cell>
          <cell r="J14">
            <v>0</v>
          </cell>
          <cell r="K14">
            <v>14437889332</v>
          </cell>
          <cell r="L14">
            <v>75498348832</v>
          </cell>
        </row>
        <row r="15">
          <cell r="C15">
            <v>158280</v>
          </cell>
          <cell r="D15">
            <v>7352563851</v>
          </cell>
          <cell r="E15">
            <v>42.69</v>
          </cell>
          <cell r="F15">
            <v>9.5500000000000007</v>
          </cell>
          <cell r="G15">
            <v>0</v>
          </cell>
          <cell r="H15">
            <v>0</v>
          </cell>
          <cell r="I15">
            <v>23779377466</v>
          </cell>
          <cell r="J15">
            <v>0</v>
          </cell>
          <cell r="K15">
            <v>13448637501</v>
          </cell>
          <cell r="L15">
            <v>75498348832</v>
          </cell>
        </row>
        <row r="16">
          <cell r="C16">
            <v>163725</v>
          </cell>
          <cell r="D16">
            <v>7144162762</v>
          </cell>
          <cell r="E16">
            <v>46.26</v>
          </cell>
          <cell r="F16">
            <v>10.06</v>
          </cell>
          <cell r="G16">
            <v>0</v>
          </cell>
          <cell r="H16">
            <v>0</v>
          </cell>
          <cell r="I16">
            <v>17892240462</v>
          </cell>
          <cell r="J16">
            <v>0</v>
          </cell>
          <cell r="K16">
            <v>12494243353</v>
          </cell>
          <cell r="L16">
            <v>55502792525</v>
          </cell>
        </row>
        <row r="17">
          <cell r="C17">
            <v>163725</v>
          </cell>
          <cell r="D17">
            <v>7144162762</v>
          </cell>
          <cell r="E17">
            <v>46.26</v>
          </cell>
          <cell r="F17">
            <v>10.06</v>
          </cell>
          <cell r="G17">
            <v>0</v>
          </cell>
          <cell r="H17">
            <v>0</v>
          </cell>
          <cell r="I17">
            <v>17892613332</v>
          </cell>
          <cell r="J17">
            <v>0</v>
          </cell>
          <cell r="K17">
            <v>12264442955</v>
          </cell>
          <cell r="L17">
            <v>55502792525</v>
          </cell>
        </row>
        <row r="18">
          <cell r="C18">
            <v>3585</v>
          </cell>
          <cell r="D18">
            <v>208161658</v>
          </cell>
          <cell r="E18">
            <v>39.549999999999997</v>
          </cell>
          <cell r="F18">
            <v>12.51</v>
          </cell>
          <cell r="G18">
            <v>0</v>
          </cell>
          <cell r="H18">
            <v>0</v>
          </cell>
          <cell r="I18">
            <v>709993053</v>
          </cell>
          <cell r="J18">
            <v>0</v>
          </cell>
          <cell r="K18">
            <v>487308926</v>
          </cell>
          <cell r="L18">
            <v>1991200451</v>
          </cell>
        </row>
        <row r="19">
          <cell r="C19">
            <v>3585</v>
          </cell>
          <cell r="D19">
            <v>208161658</v>
          </cell>
          <cell r="E19">
            <v>39.549999999999997</v>
          </cell>
          <cell r="F19">
            <v>12.51</v>
          </cell>
          <cell r="G19">
            <v>0</v>
          </cell>
          <cell r="H19">
            <v>0</v>
          </cell>
          <cell r="I19">
            <v>710162344</v>
          </cell>
          <cell r="J19">
            <v>0</v>
          </cell>
          <cell r="K19">
            <v>465981825</v>
          </cell>
          <cell r="L19">
            <v>1991200451</v>
          </cell>
        </row>
        <row r="20">
          <cell r="C20">
            <v>0</v>
          </cell>
          <cell r="D20">
            <v>0</v>
          </cell>
          <cell r="E20">
            <v>0</v>
          </cell>
          <cell r="F20">
            <v>0</v>
          </cell>
          <cell r="G20">
            <v>67797</v>
          </cell>
          <cell r="H20">
            <v>1828374369</v>
          </cell>
          <cell r="I20">
            <v>0</v>
          </cell>
          <cell r="J20">
            <v>15795012410</v>
          </cell>
          <cell r="K20">
            <v>0</v>
          </cell>
          <cell r="L20">
            <v>0</v>
          </cell>
        </row>
        <row r="21">
          <cell r="C21">
            <v>0</v>
          </cell>
          <cell r="D21">
            <v>0</v>
          </cell>
          <cell r="E21">
            <v>0</v>
          </cell>
          <cell r="F21">
            <v>0</v>
          </cell>
          <cell r="G21">
            <v>3747</v>
          </cell>
          <cell r="H21">
            <v>63000195</v>
          </cell>
          <cell r="I21">
            <v>0</v>
          </cell>
          <cell r="J21">
            <v>502239868</v>
          </cell>
          <cell r="K21">
            <v>0</v>
          </cell>
          <cell r="L21">
            <v>0</v>
          </cell>
        </row>
        <row r="22">
          <cell r="C22">
            <v>0</v>
          </cell>
          <cell r="D22">
            <v>0</v>
          </cell>
          <cell r="E22">
            <v>0</v>
          </cell>
          <cell r="F22">
            <v>0</v>
          </cell>
          <cell r="G22">
            <v>69236</v>
          </cell>
          <cell r="H22">
            <v>1214581245</v>
          </cell>
          <cell r="I22">
            <v>0</v>
          </cell>
          <cell r="J22">
            <v>10286321871</v>
          </cell>
          <cell r="K22">
            <v>0</v>
          </cell>
          <cell r="L22">
            <v>0</v>
          </cell>
        </row>
        <row r="23">
          <cell r="C23">
            <v>0</v>
          </cell>
          <cell r="D23">
            <v>0</v>
          </cell>
          <cell r="E23">
            <v>0</v>
          </cell>
          <cell r="F23">
            <v>0</v>
          </cell>
          <cell r="G23">
            <v>7895</v>
          </cell>
          <cell r="H23">
            <v>86412178</v>
          </cell>
          <cell r="I23">
            <v>0</v>
          </cell>
          <cell r="J23">
            <v>685870622</v>
          </cell>
          <cell r="K23">
            <v>0</v>
          </cell>
          <cell r="L23">
            <v>0</v>
          </cell>
        </row>
        <row r="24">
          <cell r="C24">
            <v>0</v>
          </cell>
          <cell r="D24">
            <v>0</v>
          </cell>
          <cell r="E24">
            <v>0</v>
          </cell>
          <cell r="F24">
            <v>0</v>
          </cell>
          <cell r="G24">
            <v>2312</v>
          </cell>
          <cell r="H24">
            <v>66868780</v>
          </cell>
          <cell r="I24">
            <v>0</v>
          </cell>
          <cell r="J24">
            <v>696905219</v>
          </cell>
          <cell r="K24">
            <v>0</v>
          </cell>
          <cell r="L24">
            <v>0</v>
          </cell>
        </row>
        <row r="25">
          <cell r="C25">
            <v>0</v>
          </cell>
          <cell r="D25">
            <v>0</v>
          </cell>
          <cell r="E25">
            <v>0</v>
          </cell>
          <cell r="F25">
            <v>0</v>
          </cell>
          <cell r="G25">
            <v>333</v>
          </cell>
          <cell r="H25">
            <v>6393815</v>
          </cell>
          <cell r="I25">
            <v>0</v>
          </cell>
          <cell r="J25">
            <v>55424703</v>
          </cell>
          <cell r="K25">
            <v>0</v>
          </cell>
          <cell r="L25">
            <v>0</v>
          </cell>
        </row>
        <row r="26">
          <cell r="C26">
            <v>0</v>
          </cell>
          <cell r="D26">
            <v>0</v>
          </cell>
          <cell r="E26">
            <v>0</v>
          </cell>
          <cell r="F26">
            <v>0</v>
          </cell>
          <cell r="G26">
            <v>95210</v>
          </cell>
          <cell r="H26">
            <v>0</v>
          </cell>
          <cell r="I26">
            <v>0</v>
          </cell>
          <cell r="J26">
            <v>1582972206</v>
          </cell>
          <cell r="K26">
            <v>0</v>
          </cell>
          <cell r="L26">
            <v>0</v>
          </cell>
        </row>
        <row r="27">
          <cell r="B27" t="str">
            <v>A_Teachers_Experience</v>
          </cell>
          <cell r="C27">
            <v>153655</v>
          </cell>
          <cell r="D27">
            <v>7206757480</v>
          </cell>
          <cell r="E27">
            <v>43.12</v>
          </cell>
          <cell r="F27">
            <v>10.039999999999999</v>
          </cell>
          <cell r="G27">
            <v>0</v>
          </cell>
          <cell r="H27">
            <v>0</v>
          </cell>
          <cell r="I27">
            <v>23569531706</v>
          </cell>
          <cell r="J27">
            <v>0</v>
          </cell>
          <cell r="K27">
            <v>13487490542</v>
          </cell>
          <cell r="L27">
            <v>73031092632</v>
          </cell>
          <cell r="M27">
            <v>92765667</v>
          </cell>
        </row>
        <row r="28">
          <cell r="B28" t="str">
            <v>A_Teachers_Salary Scale</v>
          </cell>
          <cell r="C28">
            <v>153655</v>
          </cell>
          <cell r="D28">
            <v>7031428163</v>
          </cell>
          <cell r="E28">
            <v>43.12</v>
          </cell>
          <cell r="F28">
            <v>10.039999999999999</v>
          </cell>
          <cell r="G28">
            <v>0</v>
          </cell>
          <cell r="H28">
            <v>0</v>
          </cell>
          <cell r="I28">
            <v>20864595038</v>
          </cell>
          <cell r="J28">
            <v>0</v>
          </cell>
          <cell r="K28">
            <v>13272238209</v>
          </cell>
          <cell r="L28">
            <v>63488124120</v>
          </cell>
          <cell r="M28">
            <v>87809185</v>
          </cell>
        </row>
        <row r="29">
          <cell r="B29" t="str">
            <v>A_Teachers_Sal + Inflation</v>
          </cell>
          <cell r="C29">
            <v>153655</v>
          </cell>
          <cell r="D29">
            <v>7014484962</v>
          </cell>
          <cell r="E29">
            <v>43.12</v>
          </cell>
          <cell r="F29">
            <v>10.039999999999999</v>
          </cell>
          <cell r="G29">
            <v>0</v>
          </cell>
          <cell r="H29">
            <v>0</v>
          </cell>
          <cell r="I29">
            <v>20363296476</v>
          </cell>
          <cell r="J29">
            <v>0</v>
          </cell>
          <cell r="K29">
            <v>13129152075</v>
          </cell>
          <cell r="L29">
            <v>62235655098</v>
          </cell>
          <cell r="M29">
            <v>87487468</v>
          </cell>
        </row>
        <row r="30">
          <cell r="B30" t="str">
            <v>A_Teachers_Mortality</v>
          </cell>
          <cell r="C30">
            <v>153655</v>
          </cell>
          <cell r="D30">
            <v>7014484962</v>
          </cell>
          <cell r="E30">
            <v>43.12</v>
          </cell>
          <cell r="F30">
            <v>10.039999999999999</v>
          </cell>
          <cell r="G30">
            <v>0</v>
          </cell>
          <cell r="H30">
            <v>0</v>
          </cell>
          <cell r="I30">
            <v>20217818010</v>
          </cell>
          <cell r="J30">
            <v>0</v>
          </cell>
          <cell r="K30">
            <v>13055653410</v>
          </cell>
          <cell r="L30">
            <v>62157527278</v>
          </cell>
          <cell r="M30">
            <v>95186882</v>
          </cell>
        </row>
        <row r="31">
          <cell r="B31" t="str">
            <v>A_Teachers_Ret/Term</v>
          </cell>
          <cell r="C31">
            <v>153655</v>
          </cell>
          <cell r="D31">
            <v>7014484962</v>
          </cell>
          <cell r="E31">
            <v>43.12</v>
          </cell>
          <cell r="F31">
            <v>10.039999999999999</v>
          </cell>
          <cell r="G31">
            <v>0</v>
          </cell>
          <cell r="H31">
            <v>0</v>
          </cell>
          <cell r="I31">
            <v>19957724426</v>
          </cell>
          <cell r="J31">
            <v>0</v>
          </cell>
          <cell r="K31">
            <v>13154146522</v>
          </cell>
          <cell r="L31">
            <v>60188965174</v>
          </cell>
          <cell r="M31">
            <v>123151983</v>
          </cell>
        </row>
        <row r="32">
          <cell r="C32">
            <v>153467</v>
          </cell>
          <cell r="D32">
            <v>7197630199</v>
          </cell>
          <cell r="E32">
            <v>43.12</v>
          </cell>
          <cell r="F32">
            <v>10.050000000000001</v>
          </cell>
          <cell r="G32">
            <v>0</v>
          </cell>
          <cell r="H32">
            <v>0</v>
          </cell>
          <cell r="I32">
            <v>23550895685</v>
          </cell>
          <cell r="J32">
            <v>0</v>
          </cell>
          <cell r="K32">
            <v>13483210188</v>
          </cell>
          <cell r="L32">
            <v>72936824302</v>
          </cell>
          <cell r="M32">
            <v>92419781</v>
          </cell>
        </row>
        <row r="33">
          <cell r="B33" t="str">
            <v>A_Teachers_Fix Disability</v>
          </cell>
          <cell r="C33">
            <v>153467</v>
          </cell>
          <cell r="D33">
            <v>7005852310</v>
          </cell>
          <cell r="E33">
            <v>43.12</v>
          </cell>
          <cell r="F33">
            <v>10.050000000000001</v>
          </cell>
          <cell r="G33">
            <v>0</v>
          </cell>
          <cell r="H33">
            <v>0</v>
          </cell>
          <cell r="I33">
            <v>19945674363</v>
          </cell>
          <cell r="J33">
            <v>0</v>
          </cell>
          <cell r="K33">
            <v>13149793146</v>
          </cell>
          <cell r="L33">
            <v>60128785087</v>
          </cell>
          <cell r="M33">
            <v>122721608</v>
          </cell>
        </row>
        <row r="34">
          <cell r="B34" t="str">
            <v>A_Teachers_Correct Groups</v>
          </cell>
          <cell r="C34">
            <v>150859</v>
          </cell>
          <cell r="D34">
            <v>6918855488</v>
          </cell>
          <cell r="E34">
            <v>43.17</v>
          </cell>
          <cell r="F34">
            <v>10.26</v>
          </cell>
          <cell r="G34">
            <v>0</v>
          </cell>
          <cell r="H34">
            <v>0</v>
          </cell>
          <cell r="I34">
            <v>19580066257</v>
          </cell>
          <cell r="J34">
            <v>0</v>
          </cell>
          <cell r="K34">
            <v>12826185116</v>
          </cell>
          <cell r="L34">
            <v>59749832108</v>
          </cell>
          <cell r="M34">
            <v>115046171</v>
          </cell>
        </row>
        <row r="35">
          <cell r="B35" t="str">
            <v>A_Teachers_Adder</v>
          </cell>
          <cell r="C35">
            <v>150859</v>
          </cell>
          <cell r="D35">
            <v>6918855488</v>
          </cell>
          <cell r="E35">
            <v>43.17</v>
          </cell>
          <cell r="F35">
            <v>10.26</v>
          </cell>
          <cell r="G35">
            <v>0</v>
          </cell>
          <cell r="H35">
            <v>0</v>
          </cell>
          <cell r="I35">
            <v>19588060016</v>
          </cell>
          <cell r="J35">
            <v>0</v>
          </cell>
          <cell r="K35">
            <v>12829797938</v>
          </cell>
          <cell r="L35">
            <v>59749832108</v>
          </cell>
          <cell r="M35">
            <v>115046171</v>
          </cell>
        </row>
        <row r="36">
          <cell r="B36" t="str">
            <v>A_Teachers_Experience_NC</v>
          </cell>
          <cell r="C36">
            <v>153655</v>
          </cell>
          <cell r="D36">
            <v>7206757480</v>
          </cell>
          <cell r="E36">
            <v>43.12</v>
          </cell>
          <cell r="F36">
            <v>10.039999999999999</v>
          </cell>
          <cell r="G36">
            <v>0</v>
          </cell>
          <cell r="H36">
            <v>0</v>
          </cell>
          <cell r="I36">
            <v>23467039422</v>
          </cell>
          <cell r="J36">
            <v>0</v>
          </cell>
          <cell r="K36">
            <v>13451761762</v>
          </cell>
          <cell r="L36">
            <v>73031092632</v>
          </cell>
          <cell r="M36">
            <v>92765667</v>
          </cell>
        </row>
        <row r="37">
          <cell r="B37" t="str">
            <v>A_Teachers_Salary Scale_NC</v>
          </cell>
          <cell r="C37">
            <v>153655</v>
          </cell>
          <cell r="D37">
            <v>7031428163</v>
          </cell>
          <cell r="E37">
            <v>43.12</v>
          </cell>
          <cell r="F37">
            <v>10.039999999999999</v>
          </cell>
          <cell r="G37">
            <v>0</v>
          </cell>
          <cell r="H37">
            <v>0</v>
          </cell>
          <cell r="I37">
            <v>20777835440</v>
          </cell>
          <cell r="J37">
            <v>0</v>
          </cell>
          <cell r="K37">
            <v>13227044560</v>
          </cell>
          <cell r="L37">
            <v>63488124120</v>
          </cell>
          <cell r="M37">
            <v>87809185</v>
          </cell>
        </row>
        <row r="38">
          <cell r="B38" t="str">
            <v>A_Teachers_Sal + Inflation_NC</v>
          </cell>
          <cell r="C38">
            <v>153655</v>
          </cell>
          <cell r="D38">
            <v>7014484962</v>
          </cell>
          <cell r="E38">
            <v>43.12</v>
          </cell>
          <cell r="F38">
            <v>10.039999999999999</v>
          </cell>
          <cell r="G38">
            <v>0</v>
          </cell>
          <cell r="H38">
            <v>0</v>
          </cell>
          <cell r="I38">
            <v>20281454185</v>
          </cell>
          <cell r="J38">
            <v>0</v>
          </cell>
          <cell r="K38">
            <v>13084867871</v>
          </cell>
          <cell r="L38">
            <v>62235655098</v>
          </cell>
          <cell r="M38">
            <v>87487468</v>
          </cell>
        </row>
        <row r="39">
          <cell r="B39" t="str">
            <v>A_Teachers_Mortality_NC</v>
          </cell>
          <cell r="C39">
            <v>153655</v>
          </cell>
          <cell r="D39">
            <v>7014484962</v>
          </cell>
          <cell r="E39">
            <v>43.12</v>
          </cell>
          <cell r="F39">
            <v>10.039999999999999</v>
          </cell>
          <cell r="G39">
            <v>0</v>
          </cell>
          <cell r="H39">
            <v>0</v>
          </cell>
          <cell r="I39">
            <v>20136231488</v>
          </cell>
          <cell r="J39">
            <v>0</v>
          </cell>
          <cell r="K39">
            <v>13010757429</v>
          </cell>
          <cell r="L39">
            <v>62157527278</v>
          </cell>
          <cell r="M39">
            <v>95186882</v>
          </cell>
        </row>
        <row r="40">
          <cell r="B40" t="str">
            <v>A_Teachers_Ret/Term_NC</v>
          </cell>
          <cell r="C40">
            <v>153655</v>
          </cell>
          <cell r="D40">
            <v>7014484962</v>
          </cell>
          <cell r="E40">
            <v>43.12</v>
          </cell>
          <cell r="F40">
            <v>10.039999999999999</v>
          </cell>
          <cell r="G40">
            <v>0</v>
          </cell>
          <cell r="H40">
            <v>0</v>
          </cell>
          <cell r="I40">
            <v>19876720015</v>
          </cell>
          <cell r="J40">
            <v>0</v>
          </cell>
          <cell r="K40">
            <v>13110591511</v>
          </cell>
          <cell r="L40">
            <v>60188965174</v>
          </cell>
          <cell r="M40">
            <v>123151983</v>
          </cell>
        </row>
        <row r="41">
          <cell r="C41">
            <v>153467</v>
          </cell>
          <cell r="D41">
            <v>7197630199</v>
          </cell>
          <cell r="E41">
            <v>43.12</v>
          </cell>
          <cell r="F41">
            <v>10.050000000000001</v>
          </cell>
          <cell r="G41">
            <v>0</v>
          </cell>
          <cell r="H41">
            <v>0</v>
          </cell>
          <cell r="I41">
            <v>23448623732</v>
          </cell>
          <cell r="J41">
            <v>0</v>
          </cell>
          <cell r="K41">
            <v>13447595354</v>
          </cell>
          <cell r="L41">
            <v>72936824302</v>
          </cell>
          <cell r="M41">
            <v>92419781</v>
          </cell>
        </row>
        <row r="42">
          <cell r="B42" t="str">
            <v>A_Teachers_Fix Disability_NC</v>
          </cell>
          <cell r="C42">
            <v>153467</v>
          </cell>
          <cell r="D42">
            <v>7005852310</v>
          </cell>
          <cell r="E42">
            <v>43.12</v>
          </cell>
          <cell r="F42">
            <v>10.050000000000001</v>
          </cell>
          <cell r="G42">
            <v>0</v>
          </cell>
          <cell r="H42">
            <v>0</v>
          </cell>
          <cell r="I42">
            <v>19864939374</v>
          </cell>
          <cell r="J42">
            <v>0</v>
          </cell>
          <cell r="K42">
            <v>13106428115</v>
          </cell>
          <cell r="L42">
            <v>60128785087</v>
          </cell>
          <cell r="M42">
            <v>122721608</v>
          </cell>
        </row>
        <row r="43">
          <cell r="B43" t="str">
            <v>A_Teachers_Correct Groups_NC</v>
          </cell>
          <cell r="C43">
            <v>150859</v>
          </cell>
          <cell r="D43">
            <v>6918855488</v>
          </cell>
          <cell r="E43">
            <v>43.17</v>
          </cell>
          <cell r="F43">
            <v>10.26</v>
          </cell>
          <cell r="G43">
            <v>0</v>
          </cell>
          <cell r="H43">
            <v>0</v>
          </cell>
          <cell r="I43">
            <v>19498140919</v>
          </cell>
          <cell r="J43">
            <v>0</v>
          </cell>
          <cell r="K43">
            <v>12783002871</v>
          </cell>
          <cell r="L43">
            <v>59749832108</v>
          </cell>
          <cell r="M43">
            <v>115046171</v>
          </cell>
        </row>
        <row r="44">
          <cell r="B44" t="str">
            <v>A_Teachers_Adder_NC</v>
          </cell>
          <cell r="C44">
            <v>150859</v>
          </cell>
          <cell r="D44">
            <v>6918855488</v>
          </cell>
          <cell r="E44">
            <v>43.17</v>
          </cell>
          <cell r="F44">
            <v>10.26</v>
          </cell>
          <cell r="G44">
            <v>0</v>
          </cell>
          <cell r="H44">
            <v>0</v>
          </cell>
          <cell r="I44">
            <v>19506090462</v>
          </cell>
          <cell r="J44">
            <v>0</v>
          </cell>
          <cell r="K44">
            <v>12786592978</v>
          </cell>
          <cell r="L44">
            <v>59749832108</v>
          </cell>
          <cell r="M44">
            <v>115046171</v>
          </cell>
        </row>
        <row r="45">
          <cell r="B45" t="str">
            <v>A_General_Experience</v>
          </cell>
          <cell r="C45">
            <v>159781</v>
          </cell>
          <cell r="D45">
            <v>7114432763</v>
          </cell>
          <cell r="E45">
            <v>46.72</v>
          </cell>
          <cell r="F45">
            <v>10.46</v>
          </cell>
          <cell r="G45">
            <v>0</v>
          </cell>
          <cell r="H45">
            <v>0</v>
          </cell>
          <cell r="I45">
            <v>18203682438</v>
          </cell>
          <cell r="J45">
            <v>0</v>
          </cell>
          <cell r="K45">
            <v>12613304977</v>
          </cell>
          <cell r="L45">
            <v>54952076045</v>
          </cell>
          <cell r="M45">
            <v>103539098</v>
          </cell>
        </row>
        <row r="46">
          <cell r="B46" t="str">
            <v>A_General_Salary Scale</v>
          </cell>
          <cell r="C46">
            <v>159781</v>
          </cell>
          <cell r="D46">
            <v>7151946343</v>
          </cell>
          <cell r="E46">
            <v>46.72</v>
          </cell>
          <cell r="F46">
            <v>10.46</v>
          </cell>
          <cell r="G46">
            <v>0</v>
          </cell>
          <cell r="H46">
            <v>0</v>
          </cell>
          <cell r="I46">
            <v>19533447144</v>
          </cell>
          <cell r="J46">
            <v>0</v>
          </cell>
          <cell r="K46">
            <v>13177909460</v>
          </cell>
          <cell r="L46">
            <v>57699590162</v>
          </cell>
          <cell r="M46">
            <v>103769396</v>
          </cell>
        </row>
        <row r="47">
          <cell r="B47" t="str">
            <v>A_General_Sal + Inflation</v>
          </cell>
          <cell r="C47">
            <v>159781</v>
          </cell>
          <cell r="D47">
            <v>7134712737</v>
          </cell>
          <cell r="E47">
            <v>46.72</v>
          </cell>
          <cell r="F47">
            <v>10.46</v>
          </cell>
          <cell r="G47">
            <v>0</v>
          </cell>
          <cell r="H47">
            <v>0</v>
          </cell>
          <cell r="I47">
            <v>19109763266</v>
          </cell>
          <cell r="J47">
            <v>0</v>
          </cell>
          <cell r="K47">
            <v>13029805429</v>
          </cell>
          <cell r="L47">
            <v>56654965178</v>
          </cell>
          <cell r="M47">
            <v>103426819</v>
          </cell>
        </row>
        <row r="48">
          <cell r="B48" t="str">
            <v>A_General_Mortality</v>
          </cell>
          <cell r="C48">
            <v>159781</v>
          </cell>
          <cell r="D48">
            <v>7134712737</v>
          </cell>
          <cell r="E48">
            <v>46.72</v>
          </cell>
          <cell r="F48">
            <v>10.46</v>
          </cell>
          <cell r="G48">
            <v>0</v>
          </cell>
          <cell r="H48">
            <v>0</v>
          </cell>
          <cell r="I48">
            <v>19115272373</v>
          </cell>
          <cell r="J48">
            <v>0</v>
          </cell>
          <cell r="K48">
            <v>13039659317</v>
          </cell>
          <cell r="L48">
            <v>56709388710</v>
          </cell>
          <cell r="M48">
            <v>108298032</v>
          </cell>
        </row>
        <row r="49">
          <cell r="B49" t="str">
            <v>A_General_Ret/Term</v>
          </cell>
          <cell r="C49">
            <v>159781</v>
          </cell>
          <cell r="D49">
            <v>7134712737</v>
          </cell>
          <cell r="E49">
            <v>46.72</v>
          </cell>
          <cell r="F49">
            <v>10.46</v>
          </cell>
          <cell r="G49">
            <v>0</v>
          </cell>
          <cell r="H49">
            <v>0</v>
          </cell>
          <cell r="I49">
            <v>19247203427</v>
          </cell>
          <cell r="J49">
            <v>0</v>
          </cell>
          <cell r="K49">
            <v>13239890937</v>
          </cell>
          <cell r="L49">
            <v>55866842806</v>
          </cell>
          <cell r="M49">
            <v>125142335</v>
          </cell>
        </row>
        <row r="50">
          <cell r="C50">
            <v>159651</v>
          </cell>
          <cell r="D50">
            <v>7110676919</v>
          </cell>
          <cell r="E50">
            <v>46.72</v>
          </cell>
          <cell r="F50">
            <v>10.46</v>
          </cell>
          <cell r="G50">
            <v>0</v>
          </cell>
          <cell r="H50">
            <v>0</v>
          </cell>
          <cell r="I50">
            <v>18198100018</v>
          </cell>
          <cell r="J50">
            <v>0</v>
          </cell>
          <cell r="K50">
            <v>12610873553</v>
          </cell>
          <cell r="L50">
            <v>54923724595</v>
          </cell>
          <cell r="M50">
            <v>103397350</v>
          </cell>
        </row>
        <row r="51">
          <cell r="B51" t="str">
            <v>A_General_Fix Disability</v>
          </cell>
          <cell r="C51">
            <v>159651</v>
          </cell>
          <cell r="D51">
            <v>7130956094</v>
          </cell>
          <cell r="E51">
            <v>46.72</v>
          </cell>
          <cell r="F51">
            <v>10.46</v>
          </cell>
          <cell r="G51">
            <v>0</v>
          </cell>
          <cell r="H51">
            <v>0</v>
          </cell>
          <cell r="I51">
            <v>19241524845</v>
          </cell>
          <cell r="J51">
            <v>0</v>
          </cell>
          <cell r="K51">
            <v>13237330356</v>
          </cell>
          <cell r="L51">
            <v>55839904506</v>
          </cell>
          <cell r="M51">
            <v>124967543</v>
          </cell>
        </row>
        <row r="52">
          <cell r="B52" t="str">
            <v>A_General_Correct Groups</v>
          </cell>
          <cell r="C52">
            <v>113353</v>
          </cell>
          <cell r="D52">
            <v>5214530027</v>
          </cell>
          <cell r="E52">
            <v>45.8</v>
          </cell>
          <cell r="F52">
            <v>10.06</v>
          </cell>
          <cell r="G52">
            <v>0</v>
          </cell>
          <cell r="H52">
            <v>0</v>
          </cell>
          <cell r="I52">
            <v>13720494939</v>
          </cell>
          <cell r="J52">
            <v>0</v>
          </cell>
          <cell r="K52">
            <v>9257315997</v>
          </cell>
          <cell r="L52">
            <v>41545877871</v>
          </cell>
          <cell r="M52">
            <v>101993763</v>
          </cell>
        </row>
        <row r="53">
          <cell r="B53" t="str">
            <v>A_General_Adder</v>
          </cell>
          <cell r="C53">
            <v>113353</v>
          </cell>
          <cell r="D53">
            <v>5214530027</v>
          </cell>
          <cell r="E53">
            <v>45.8</v>
          </cell>
          <cell r="F53">
            <v>10.06</v>
          </cell>
          <cell r="G53">
            <v>0</v>
          </cell>
          <cell r="H53">
            <v>0</v>
          </cell>
          <cell r="I53">
            <v>13666035001</v>
          </cell>
          <cell r="J53">
            <v>0</v>
          </cell>
          <cell r="K53">
            <v>9216800399</v>
          </cell>
          <cell r="L53">
            <v>41545877871</v>
          </cell>
          <cell r="M53">
            <v>101993763</v>
          </cell>
        </row>
        <row r="54">
          <cell r="B54" t="str">
            <v>A_General_Experience_NC</v>
          </cell>
          <cell r="C54">
            <v>159781</v>
          </cell>
          <cell r="D54">
            <v>7114432763</v>
          </cell>
          <cell r="E54">
            <v>46.72</v>
          </cell>
          <cell r="F54">
            <v>10.46</v>
          </cell>
          <cell r="G54">
            <v>0</v>
          </cell>
          <cell r="H54">
            <v>0</v>
          </cell>
          <cell r="I54">
            <v>18171747316</v>
          </cell>
          <cell r="J54">
            <v>0</v>
          </cell>
          <cell r="K54">
            <v>12595741783</v>
          </cell>
          <cell r="L54">
            <v>54952076045</v>
          </cell>
          <cell r="M54">
            <v>103539098</v>
          </cell>
        </row>
        <row r="55">
          <cell r="B55" t="str">
            <v>A_General_Salary Scale_NC</v>
          </cell>
          <cell r="C55">
            <v>159781</v>
          </cell>
          <cell r="D55">
            <v>7151946343</v>
          </cell>
          <cell r="E55">
            <v>46.72</v>
          </cell>
          <cell r="F55">
            <v>10.46</v>
          </cell>
          <cell r="G55">
            <v>0</v>
          </cell>
          <cell r="H55">
            <v>0</v>
          </cell>
          <cell r="I55">
            <v>19484163138</v>
          </cell>
          <cell r="J55">
            <v>0</v>
          </cell>
          <cell r="K55">
            <v>13153737609</v>
          </cell>
          <cell r="L55">
            <v>57699590162</v>
          </cell>
          <cell r="M55">
            <v>103769396</v>
          </cell>
        </row>
        <row r="56">
          <cell r="B56" t="str">
            <v>A_General_Sal + Inflation_NC</v>
          </cell>
          <cell r="C56">
            <v>159781</v>
          </cell>
          <cell r="D56">
            <v>7134712737</v>
          </cell>
          <cell r="E56">
            <v>46.72</v>
          </cell>
          <cell r="F56">
            <v>10.46</v>
          </cell>
          <cell r="G56">
            <v>0</v>
          </cell>
          <cell r="H56">
            <v>0</v>
          </cell>
          <cell r="I56">
            <v>19064846506</v>
          </cell>
          <cell r="J56">
            <v>0</v>
          </cell>
          <cell r="K56">
            <v>13005391127</v>
          </cell>
          <cell r="L56">
            <v>56654965178</v>
          </cell>
          <cell r="M56">
            <v>103426819</v>
          </cell>
        </row>
        <row r="57">
          <cell r="B57" t="str">
            <v>A_General_Mortality_NC</v>
          </cell>
          <cell r="C57">
            <v>159781</v>
          </cell>
          <cell r="D57">
            <v>7134712737</v>
          </cell>
          <cell r="E57">
            <v>46.72</v>
          </cell>
          <cell r="F57">
            <v>10.46</v>
          </cell>
          <cell r="G57">
            <v>0</v>
          </cell>
          <cell r="H57">
            <v>0</v>
          </cell>
          <cell r="I57">
            <v>19070367058</v>
          </cell>
          <cell r="J57">
            <v>0</v>
          </cell>
          <cell r="K57">
            <v>13015172563</v>
          </cell>
          <cell r="L57">
            <v>56709388710</v>
          </cell>
          <cell r="M57">
            <v>108298032</v>
          </cell>
        </row>
        <row r="58">
          <cell r="B58" t="str">
            <v>A_General_Ret/Term_NC</v>
          </cell>
          <cell r="C58">
            <v>159781</v>
          </cell>
          <cell r="D58">
            <v>7134712737</v>
          </cell>
          <cell r="E58">
            <v>46.72</v>
          </cell>
          <cell r="F58">
            <v>10.46</v>
          </cell>
          <cell r="G58">
            <v>0</v>
          </cell>
          <cell r="H58">
            <v>0</v>
          </cell>
          <cell r="I58">
            <v>19202033004</v>
          </cell>
          <cell r="J58">
            <v>0</v>
          </cell>
          <cell r="K58">
            <v>13214139486</v>
          </cell>
          <cell r="L58">
            <v>55866842806</v>
          </cell>
          <cell r="M58">
            <v>125142335</v>
          </cell>
        </row>
        <row r="59">
          <cell r="C59">
            <v>159651</v>
          </cell>
          <cell r="D59">
            <v>7110676919</v>
          </cell>
          <cell r="E59">
            <v>46.72</v>
          </cell>
          <cell r="F59">
            <v>10.46</v>
          </cell>
          <cell r="G59">
            <v>0</v>
          </cell>
          <cell r="H59">
            <v>0</v>
          </cell>
          <cell r="I59">
            <v>18166220750</v>
          </cell>
          <cell r="J59">
            <v>0</v>
          </cell>
          <cell r="K59">
            <v>12593310831</v>
          </cell>
          <cell r="L59">
            <v>54923724595</v>
          </cell>
          <cell r="M59">
            <v>103397350</v>
          </cell>
        </row>
        <row r="60">
          <cell r="B60" t="str">
            <v>A_General_Fix Disability_NC</v>
          </cell>
          <cell r="C60">
            <v>159651</v>
          </cell>
          <cell r="D60">
            <v>7130956094</v>
          </cell>
          <cell r="E60">
            <v>46.72</v>
          </cell>
          <cell r="F60">
            <v>10.46</v>
          </cell>
          <cell r="G60">
            <v>0</v>
          </cell>
          <cell r="H60">
            <v>0</v>
          </cell>
          <cell r="I60">
            <v>19196422939</v>
          </cell>
          <cell r="J60">
            <v>0</v>
          </cell>
          <cell r="K60">
            <v>13211593932</v>
          </cell>
          <cell r="L60">
            <v>55839904506</v>
          </cell>
          <cell r="M60">
            <v>124967543</v>
          </cell>
        </row>
        <row r="61">
          <cell r="B61" t="str">
            <v>A_General_Correct Groups_NC</v>
          </cell>
          <cell r="C61">
            <v>113353</v>
          </cell>
          <cell r="D61">
            <v>5214530027</v>
          </cell>
          <cell r="E61">
            <v>45.8</v>
          </cell>
          <cell r="F61">
            <v>10.06</v>
          </cell>
          <cell r="G61">
            <v>0</v>
          </cell>
          <cell r="H61">
            <v>0</v>
          </cell>
          <cell r="I61">
            <v>13690341704</v>
          </cell>
          <cell r="J61">
            <v>0</v>
          </cell>
          <cell r="K61">
            <v>9238189599</v>
          </cell>
          <cell r="L61">
            <v>41545877871</v>
          </cell>
          <cell r="M61">
            <v>101993763</v>
          </cell>
        </row>
        <row r="62">
          <cell r="B62" t="str">
            <v>A_General_Adder_NC</v>
          </cell>
          <cell r="C62">
            <v>113353</v>
          </cell>
          <cell r="D62">
            <v>5214530027</v>
          </cell>
          <cell r="E62">
            <v>45.8</v>
          </cell>
          <cell r="F62">
            <v>10.06</v>
          </cell>
          <cell r="G62">
            <v>0</v>
          </cell>
          <cell r="H62">
            <v>0</v>
          </cell>
          <cell r="I62">
            <v>13636005517</v>
          </cell>
          <cell r="J62">
            <v>0</v>
          </cell>
          <cell r="K62">
            <v>9197788265</v>
          </cell>
          <cell r="L62">
            <v>41545877871</v>
          </cell>
          <cell r="M62">
            <v>101993763</v>
          </cell>
        </row>
        <row r="63">
          <cell r="B63" t="str">
            <v>A_Law Enforcement Officers_Experience</v>
          </cell>
          <cell r="C63">
            <v>3531</v>
          </cell>
          <cell r="D63">
            <v>204921033</v>
          </cell>
          <cell r="E63">
            <v>39.92</v>
          </cell>
          <cell r="F63">
            <v>12.79</v>
          </cell>
          <cell r="G63">
            <v>0</v>
          </cell>
          <cell r="H63">
            <v>0</v>
          </cell>
          <cell r="I63">
            <v>708954505</v>
          </cell>
          <cell r="J63">
            <v>0</v>
          </cell>
          <cell r="K63">
            <v>470609614</v>
          </cell>
          <cell r="L63">
            <v>1933260599</v>
          </cell>
          <cell r="M63">
            <v>1596836</v>
          </cell>
        </row>
        <row r="64">
          <cell r="B64" t="str">
            <v>A_Law Enforcement Officers_Salary Scale</v>
          </cell>
          <cell r="C64">
            <v>3531</v>
          </cell>
          <cell r="D64">
            <v>205533472</v>
          </cell>
          <cell r="E64">
            <v>39.92</v>
          </cell>
          <cell r="F64">
            <v>12.79</v>
          </cell>
          <cell r="G64">
            <v>0</v>
          </cell>
          <cell r="H64">
            <v>0</v>
          </cell>
          <cell r="I64">
            <v>714412477</v>
          </cell>
          <cell r="J64">
            <v>0</v>
          </cell>
          <cell r="K64">
            <v>470942371</v>
          </cell>
          <cell r="L64">
            <v>1956112867</v>
          </cell>
          <cell r="M64">
            <v>1608659</v>
          </cell>
        </row>
        <row r="65">
          <cell r="B65" t="str">
            <v>A_Law Enforcement Officers_Sal + Inflation</v>
          </cell>
          <cell r="C65">
            <v>3531</v>
          </cell>
          <cell r="D65">
            <v>205038211</v>
          </cell>
          <cell r="E65">
            <v>39.92</v>
          </cell>
          <cell r="F65">
            <v>12.79</v>
          </cell>
          <cell r="G65">
            <v>0</v>
          </cell>
          <cell r="H65">
            <v>0</v>
          </cell>
          <cell r="I65">
            <v>696757223</v>
          </cell>
          <cell r="J65">
            <v>0</v>
          </cell>
          <cell r="K65">
            <v>465128901</v>
          </cell>
          <cell r="L65">
            <v>1918349447</v>
          </cell>
          <cell r="M65">
            <v>1603288</v>
          </cell>
        </row>
        <row r="66">
          <cell r="B66" t="str">
            <v>A_Law Enforcement Officers_Mortality</v>
          </cell>
          <cell r="C66">
            <v>3531</v>
          </cell>
          <cell r="D66">
            <v>205038211</v>
          </cell>
          <cell r="E66">
            <v>39.92</v>
          </cell>
          <cell r="F66">
            <v>12.79</v>
          </cell>
          <cell r="G66">
            <v>0</v>
          </cell>
          <cell r="H66">
            <v>0</v>
          </cell>
          <cell r="I66">
            <v>710249922</v>
          </cell>
          <cell r="J66">
            <v>0</v>
          </cell>
          <cell r="K66">
            <v>474619999</v>
          </cell>
          <cell r="L66">
            <v>1920299304</v>
          </cell>
          <cell r="M66">
            <v>1562132</v>
          </cell>
        </row>
        <row r="67">
          <cell r="B67" t="str">
            <v>A_Law Enforcement Officers_Ret/Term</v>
          </cell>
          <cell r="C67">
            <v>3531</v>
          </cell>
          <cell r="D67">
            <v>205038211</v>
          </cell>
          <cell r="E67">
            <v>39.92</v>
          </cell>
          <cell r="F67">
            <v>12.79</v>
          </cell>
          <cell r="G67">
            <v>0</v>
          </cell>
          <cell r="H67">
            <v>0</v>
          </cell>
          <cell r="I67">
            <v>709426770</v>
          </cell>
          <cell r="J67">
            <v>0</v>
          </cell>
          <cell r="K67">
            <v>479848584</v>
          </cell>
          <cell r="L67">
            <v>1834263218</v>
          </cell>
          <cell r="M67">
            <v>1763392</v>
          </cell>
        </row>
        <row r="68">
          <cell r="C68">
            <v>3529</v>
          </cell>
          <cell r="D68">
            <v>204829979</v>
          </cell>
          <cell r="E68">
            <v>39.92</v>
          </cell>
          <cell r="F68">
            <v>12.8</v>
          </cell>
          <cell r="G68">
            <v>0</v>
          </cell>
          <cell r="H68">
            <v>0</v>
          </cell>
          <cell r="I68">
            <v>708712517</v>
          </cell>
          <cell r="J68">
            <v>0</v>
          </cell>
          <cell r="K68">
            <v>470495366</v>
          </cell>
          <cell r="L68">
            <v>1932204183</v>
          </cell>
          <cell r="M68">
            <v>1595118</v>
          </cell>
        </row>
        <row r="69">
          <cell r="B69" t="str">
            <v>A_Law Enforcement Officers_Fix Disability</v>
          </cell>
          <cell r="C69">
            <v>3529</v>
          </cell>
          <cell r="D69">
            <v>204947078</v>
          </cell>
          <cell r="E69">
            <v>39.92</v>
          </cell>
          <cell r="F69">
            <v>12.8</v>
          </cell>
          <cell r="G69">
            <v>0</v>
          </cell>
          <cell r="H69">
            <v>0</v>
          </cell>
          <cell r="I69">
            <v>709192318</v>
          </cell>
          <cell r="J69">
            <v>0</v>
          </cell>
          <cell r="K69">
            <v>479734850</v>
          </cell>
          <cell r="L69">
            <v>1833276046</v>
          </cell>
          <cell r="M69">
            <v>1761546</v>
          </cell>
        </row>
        <row r="70">
          <cell r="B70" t="str">
            <v>A_Law Enforcement Officers_Correct Groups</v>
          </cell>
          <cell r="C70">
            <v>3529</v>
          </cell>
          <cell r="D70">
            <v>204947078</v>
          </cell>
          <cell r="E70">
            <v>39.92</v>
          </cell>
          <cell r="F70">
            <v>12.8</v>
          </cell>
          <cell r="G70">
            <v>0</v>
          </cell>
          <cell r="H70">
            <v>0</v>
          </cell>
          <cell r="I70">
            <v>709198672</v>
          </cell>
          <cell r="J70">
            <v>0</v>
          </cell>
          <cell r="K70">
            <v>479747821</v>
          </cell>
          <cell r="L70">
            <v>1833276562</v>
          </cell>
          <cell r="M70">
            <v>1761540</v>
          </cell>
        </row>
        <row r="71">
          <cell r="B71" t="str">
            <v>A_Law Enforcement Officers_Adder</v>
          </cell>
          <cell r="C71">
            <v>3529</v>
          </cell>
          <cell r="D71">
            <v>204947078</v>
          </cell>
          <cell r="E71">
            <v>39.92</v>
          </cell>
          <cell r="F71">
            <v>12.8</v>
          </cell>
          <cell r="G71">
            <v>0</v>
          </cell>
          <cell r="H71">
            <v>0</v>
          </cell>
          <cell r="I71">
            <v>721174871</v>
          </cell>
          <cell r="J71">
            <v>0</v>
          </cell>
          <cell r="K71">
            <v>488384054</v>
          </cell>
          <cell r="L71">
            <v>1833276562</v>
          </cell>
          <cell r="M71">
            <v>1761540</v>
          </cell>
        </row>
        <row r="72">
          <cell r="B72" t="str">
            <v>A_Law Enforcement Officers_Experience_NC</v>
          </cell>
          <cell r="C72">
            <v>3531</v>
          </cell>
          <cell r="D72">
            <v>204921033</v>
          </cell>
          <cell r="E72">
            <v>39.92</v>
          </cell>
          <cell r="F72">
            <v>12.79</v>
          </cell>
          <cell r="G72">
            <v>0</v>
          </cell>
          <cell r="H72">
            <v>0</v>
          </cell>
          <cell r="I72">
            <v>708304139</v>
          </cell>
          <cell r="J72">
            <v>0</v>
          </cell>
          <cell r="K72">
            <v>470711802</v>
          </cell>
          <cell r="L72">
            <v>1933260599</v>
          </cell>
          <cell r="M72">
            <v>1596836</v>
          </cell>
        </row>
        <row r="73">
          <cell r="B73" t="str">
            <v>A_Law Enforcement Officers_Salary Scale_NC</v>
          </cell>
          <cell r="C73">
            <v>3531</v>
          </cell>
          <cell r="D73">
            <v>205533472</v>
          </cell>
          <cell r="E73">
            <v>39.92</v>
          </cell>
          <cell r="F73">
            <v>12.79</v>
          </cell>
          <cell r="G73">
            <v>0</v>
          </cell>
          <cell r="H73">
            <v>0</v>
          </cell>
          <cell r="I73">
            <v>713703270</v>
          </cell>
          <cell r="J73">
            <v>0</v>
          </cell>
          <cell r="K73">
            <v>470994374</v>
          </cell>
          <cell r="L73">
            <v>1956112867</v>
          </cell>
          <cell r="M73">
            <v>1608659</v>
          </cell>
        </row>
        <row r="74">
          <cell r="B74" t="str">
            <v>A_Law Enforcement Officers_Sal + Inflation_NC</v>
          </cell>
          <cell r="C74">
            <v>3531</v>
          </cell>
          <cell r="D74">
            <v>205038211</v>
          </cell>
          <cell r="E74">
            <v>39.92</v>
          </cell>
          <cell r="F74">
            <v>12.79</v>
          </cell>
          <cell r="G74">
            <v>0</v>
          </cell>
          <cell r="H74">
            <v>0</v>
          </cell>
          <cell r="I74">
            <v>696139942</v>
          </cell>
          <cell r="J74">
            <v>0</v>
          </cell>
          <cell r="K74">
            <v>465153024</v>
          </cell>
          <cell r="L74">
            <v>1918349447</v>
          </cell>
          <cell r="M74">
            <v>1603288</v>
          </cell>
        </row>
        <row r="75">
          <cell r="B75" t="str">
            <v>A_Law Enforcement Officers_Mortality_NC</v>
          </cell>
          <cell r="C75">
            <v>3531</v>
          </cell>
          <cell r="D75">
            <v>205038211</v>
          </cell>
          <cell r="E75">
            <v>39.92</v>
          </cell>
          <cell r="F75">
            <v>12.79</v>
          </cell>
          <cell r="G75">
            <v>0</v>
          </cell>
          <cell r="H75">
            <v>0</v>
          </cell>
          <cell r="I75">
            <v>709619780</v>
          </cell>
          <cell r="J75">
            <v>0</v>
          </cell>
          <cell r="K75">
            <v>474623854</v>
          </cell>
          <cell r="L75">
            <v>1920299304</v>
          </cell>
          <cell r="M75">
            <v>1562132</v>
          </cell>
        </row>
        <row r="76">
          <cell r="B76" t="str">
            <v>A_Law Enforcement Officers_Ret/Term_NC</v>
          </cell>
          <cell r="C76">
            <v>3531</v>
          </cell>
          <cell r="D76">
            <v>205038211</v>
          </cell>
          <cell r="E76">
            <v>39.92</v>
          </cell>
          <cell r="F76">
            <v>12.79</v>
          </cell>
          <cell r="G76">
            <v>0</v>
          </cell>
          <cell r="H76">
            <v>0</v>
          </cell>
          <cell r="I76">
            <v>708673950</v>
          </cell>
          <cell r="J76">
            <v>0</v>
          </cell>
          <cell r="K76">
            <v>479626701</v>
          </cell>
          <cell r="L76">
            <v>1834263218</v>
          </cell>
          <cell r="M76">
            <v>1763392</v>
          </cell>
        </row>
        <row r="77">
          <cell r="C77">
            <v>3529</v>
          </cell>
          <cell r="D77">
            <v>204829979</v>
          </cell>
          <cell r="E77">
            <v>39.92</v>
          </cell>
          <cell r="F77">
            <v>12.8</v>
          </cell>
          <cell r="G77">
            <v>0</v>
          </cell>
          <cell r="H77">
            <v>0</v>
          </cell>
          <cell r="I77">
            <v>708060807</v>
          </cell>
          <cell r="J77">
            <v>0</v>
          </cell>
          <cell r="K77">
            <v>470600581</v>
          </cell>
          <cell r="L77">
            <v>1932204183</v>
          </cell>
          <cell r="M77">
            <v>1595118</v>
          </cell>
        </row>
        <row r="78">
          <cell r="B78" t="str">
            <v>A_Law Enforcement Officers_Fix Disability_NC</v>
          </cell>
          <cell r="C78">
            <v>3529</v>
          </cell>
          <cell r="D78">
            <v>204947078</v>
          </cell>
          <cell r="E78">
            <v>39.92</v>
          </cell>
          <cell r="F78">
            <v>12.8</v>
          </cell>
          <cell r="G78">
            <v>0</v>
          </cell>
          <cell r="H78">
            <v>0</v>
          </cell>
          <cell r="I78">
            <v>708437817</v>
          </cell>
          <cell r="J78">
            <v>0</v>
          </cell>
          <cell r="K78">
            <v>479516026</v>
          </cell>
          <cell r="L78">
            <v>1833276046</v>
          </cell>
          <cell r="M78">
            <v>1761546</v>
          </cell>
        </row>
        <row r="79">
          <cell r="B79" t="str">
            <v>A_Law Enforcement Officers_Correct Groups_NC</v>
          </cell>
          <cell r="C79">
            <v>3529</v>
          </cell>
          <cell r="D79">
            <v>204947078</v>
          </cell>
          <cell r="E79">
            <v>39.92</v>
          </cell>
          <cell r="F79">
            <v>12.8</v>
          </cell>
          <cell r="G79">
            <v>0</v>
          </cell>
          <cell r="H79">
            <v>0</v>
          </cell>
          <cell r="I79">
            <v>708439904</v>
          </cell>
          <cell r="J79">
            <v>0</v>
          </cell>
          <cell r="K79">
            <v>479518416</v>
          </cell>
          <cell r="L79">
            <v>1833276562</v>
          </cell>
          <cell r="M79">
            <v>1761540</v>
          </cell>
        </row>
        <row r="80">
          <cell r="B80" t="str">
            <v>A_Law Enforcement Officers_Adder_NC</v>
          </cell>
          <cell r="C80">
            <v>3529</v>
          </cell>
          <cell r="D80">
            <v>204947078</v>
          </cell>
          <cell r="E80">
            <v>39.92</v>
          </cell>
          <cell r="F80">
            <v>12.8</v>
          </cell>
          <cell r="G80">
            <v>0</v>
          </cell>
          <cell r="H80">
            <v>0</v>
          </cell>
          <cell r="I80">
            <v>720404503</v>
          </cell>
          <cell r="J80">
            <v>0</v>
          </cell>
          <cell r="K80">
            <v>488145675</v>
          </cell>
          <cell r="L80">
            <v>1833276562</v>
          </cell>
          <cell r="M80">
            <v>1761540</v>
          </cell>
        </row>
        <row r="81">
          <cell r="B81" t="str">
            <v>R_Teachers_Experience</v>
          </cell>
          <cell r="C81">
            <v>0</v>
          </cell>
          <cell r="D81">
            <v>0</v>
          </cell>
          <cell r="E81">
            <v>0</v>
          </cell>
          <cell r="F81">
            <v>0</v>
          </cell>
          <cell r="G81">
            <v>68841</v>
          </cell>
          <cell r="H81">
            <v>1847585434</v>
          </cell>
          <cell r="I81">
            <v>0</v>
          </cell>
          <cell r="J81">
            <v>15957555420</v>
          </cell>
          <cell r="K81">
            <v>0</v>
          </cell>
          <cell r="L81">
            <v>0</v>
          </cell>
        </row>
        <row r="82">
          <cell r="B82" t="str">
            <v>R_Teachers_Mortality</v>
          </cell>
          <cell r="C82">
            <v>0</v>
          </cell>
          <cell r="D82">
            <v>0</v>
          </cell>
          <cell r="E82">
            <v>0</v>
          </cell>
          <cell r="F82">
            <v>0</v>
          </cell>
          <cell r="G82">
            <v>68841</v>
          </cell>
          <cell r="H82">
            <v>1847585434</v>
          </cell>
          <cell r="I82">
            <v>0</v>
          </cell>
          <cell r="J82">
            <v>15915446811</v>
          </cell>
          <cell r="K82">
            <v>0</v>
          </cell>
          <cell r="L82">
            <v>0</v>
          </cell>
        </row>
        <row r="83">
          <cell r="C83">
            <v>0</v>
          </cell>
          <cell r="D83">
            <v>0</v>
          </cell>
          <cell r="E83">
            <v>0</v>
          </cell>
          <cell r="F83">
            <v>0</v>
          </cell>
          <cell r="G83">
            <v>68841</v>
          </cell>
          <cell r="H83">
            <v>1849617003</v>
          </cell>
          <cell r="I83">
            <v>0</v>
          </cell>
          <cell r="J83">
            <v>15916949516</v>
          </cell>
          <cell r="K83">
            <v>0</v>
          </cell>
          <cell r="L83">
            <v>0</v>
          </cell>
        </row>
        <row r="84">
          <cell r="B84" t="str">
            <v>R_Teachers_Fix Disability</v>
          </cell>
          <cell r="C84">
            <v>0</v>
          </cell>
          <cell r="D84">
            <v>0</v>
          </cell>
          <cell r="E84">
            <v>0</v>
          </cell>
          <cell r="F84">
            <v>0</v>
          </cell>
          <cell r="G84">
            <v>68841</v>
          </cell>
          <cell r="H84">
            <v>1849617003</v>
          </cell>
          <cell r="I84">
            <v>0</v>
          </cell>
          <cell r="J84">
            <v>15874371810</v>
          </cell>
          <cell r="K84">
            <v>0</v>
          </cell>
          <cell r="L84">
            <v>0</v>
          </cell>
        </row>
        <row r="85">
          <cell r="C85">
            <v>0</v>
          </cell>
          <cell r="D85">
            <v>0</v>
          </cell>
          <cell r="E85">
            <v>0</v>
          </cell>
          <cell r="F85">
            <v>0</v>
          </cell>
          <cell r="G85">
            <v>68735</v>
          </cell>
          <cell r="H85">
            <v>1846681031</v>
          </cell>
          <cell r="I85">
            <v>0</v>
          </cell>
          <cell r="J85">
            <v>15845650965</v>
          </cell>
          <cell r="K85">
            <v>0</v>
          </cell>
          <cell r="L85">
            <v>0</v>
          </cell>
        </row>
        <row r="86">
          <cell r="C86">
            <v>0</v>
          </cell>
          <cell r="D86">
            <v>0</v>
          </cell>
          <cell r="E86">
            <v>0</v>
          </cell>
          <cell r="F86">
            <v>0</v>
          </cell>
          <cell r="G86">
            <v>2695</v>
          </cell>
          <cell r="H86">
            <v>67411529</v>
          </cell>
          <cell r="I86">
            <v>0</v>
          </cell>
          <cell r="J86">
            <v>637471005</v>
          </cell>
          <cell r="K86">
            <v>0</v>
          </cell>
          <cell r="L86">
            <v>0</v>
          </cell>
        </row>
        <row r="87">
          <cell r="B87" t="str">
            <v>A_Other Education_Correct Groups</v>
          </cell>
          <cell r="C87">
            <v>48906</v>
          </cell>
          <cell r="D87">
            <v>2001734581</v>
          </cell>
          <cell r="E87">
            <v>48.51</v>
          </cell>
          <cell r="F87">
            <v>10.72</v>
          </cell>
          <cell r="G87">
            <v>0</v>
          </cell>
          <cell r="H87">
            <v>0</v>
          </cell>
          <cell r="I87">
            <v>5739278205</v>
          </cell>
          <cell r="J87">
            <v>0</v>
          </cell>
          <cell r="K87">
            <v>4197560229</v>
          </cell>
          <cell r="L87">
            <v>14693640050</v>
          </cell>
          <cell r="M87">
            <v>30291613</v>
          </cell>
        </row>
        <row r="88">
          <cell r="B88" t="str">
            <v>A_Other Education_Adder</v>
          </cell>
          <cell r="C88">
            <v>48906</v>
          </cell>
          <cell r="D88">
            <v>2001734581</v>
          </cell>
          <cell r="E88">
            <v>48.51</v>
          </cell>
          <cell r="F88">
            <v>10.72</v>
          </cell>
          <cell r="G88">
            <v>0</v>
          </cell>
          <cell r="H88">
            <v>0</v>
          </cell>
          <cell r="I88">
            <v>5761087963</v>
          </cell>
          <cell r="J88">
            <v>0</v>
          </cell>
          <cell r="K88">
            <v>4214541754</v>
          </cell>
          <cell r="L88">
            <v>14693640050</v>
          </cell>
          <cell r="M88">
            <v>30291613</v>
          </cell>
        </row>
        <row r="89">
          <cell r="B89" t="str">
            <v>A_Other Education_Correct Groups_NC</v>
          </cell>
          <cell r="C89">
            <v>48906</v>
          </cell>
          <cell r="D89">
            <v>2001734581</v>
          </cell>
          <cell r="E89">
            <v>48.51</v>
          </cell>
          <cell r="F89">
            <v>10.72</v>
          </cell>
          <cell r="G89">
            <v>0</v>
          </cell>
          <cell r="H89">
            <v>0</v>
          </cell>
          <cell r="I89">
            <v>5724709811</v>
          </cell>
          <cell r="J89">
            <v>0</v>
          </cell>
          <cell r="K89">
            <v>4186909441</v>
          </cell>
          <cell r="L89">
            <v>14693640050</v>
          </cell>
          <cell r="M89">
            <v>30291613</v>
          </cell>
        </row>
        <row r="90">
          <cell r="B90" t="str">
            <v>A_Other Education_Adder_NC</v>
          </cell>
          <cell r="C90">
            <v>48906</v>
          </cell>
          <cell r="D90">
            <v>2001734581</v>
          </cell>
          <cell r="E90">
            <v>48.51</v>
          </cell>
          <cell r="F90">
            <v>10.72</v>
          </cell>
          <cell r="G90">
            <v>0</v>
          </cell>
          <cell r="H90">
            <v>0</v>
          </cell>
          <cell r="I90">
            <v>5746463894</v>
          </cell>
          <cell r="J90">
            <v>0</v>
          </cell>
          <cell r="K90">
            <v>4203843173</v>
          </cell>
          <cell r="L90">
            <v>14693640050</v>
          </cell>
          <cell r="M90">
            <v>30291613</v>
          </cell>
        </row>
        <row r="91">
          <cell r="B91" t="str">
            <v>B_Teachers_Experience</v>
          </cell>
          <cell r="C91">
            <v>0</v>
          </cell>
          <cell r="D91">
            <v>0</v>
          </cell>
          <cell r="E91">
            <v>0</v>
          </cell>
          <cell r="F91">
            <v>0</v>
          </cell>
          <cell r="G91">
            <v>3850</v>
          </cell>
          <cell r="H91">
            <v>63949635</v>
          </cell>
          <cell r="I91">
            <v>0</v>
          </cell>
          <cell r="J91">
            <v>509309400</v>
          </cell>
          <cell r="K91">
            <v>0</v>
          </cell>
          <cell r="L91">
            <v>0</v>
          </cell>
        </row>
        <row r="92">
          <cell r="B92" t="str">
            <v>B_Teachers_Mortality</v>
          </cell>
          <cell r="C92">
            <v>0</v>
          </cell>
          <cell r="D92">
            <v>0</v>
          </cell>
          <cell r="E92">
            <v>0</v>
          </cell>
          <cell r="F92">
            <v>0</v>
          </cell>
          <cell r="G92">
            <v>3850</v>
          </cell>
          <cell r="H92">
            <v>63949635</v>
          </cell>
          <cell r="I92">
            <v>0</v>
          </cell>
          <cell r="J92">
            <v>499131345</v>
          </cell>
          <cell r="K92">
            <v>0</v>
          </cell>
          <cell r="L92">
            <v>0</v>
          </cell>
        </row>
        <row r="93">
          <cell r="C93">
            <v>0</v>
          </cell>
          <cell r="D93">
            <v>0</v>
          </cell>
          <cell r="E93">
            <v>0</v>
          </cell>
          <cell r="F93">
            <v>0</v>
          </cell>
          <cell r="G93">
            <v>3805</v>
          </cell>
          <cell r="H93">
            <v>63344976</v>
          </cell>
          <cell r="I93">
            <v>0</v>
          </cell>
          <cell r="J93">
            <v>491494756</v>
          </cell>
          <cell r="K93">
            <v>0</v>
          </cell>
          <cell r="L93">
            <v>0</v>
          </cell>
        </row>
        <row r="94">
          <cell r="C94">
            <v>0</v>
          </cell>
          <cell r="D94">
            <v>0</v>
          </cell>
          <cell r="E94">
            <v>0</v>
          </cell>
          <cell r="F94">
            <v>0</v>
          </cell>
          <cell r="G94">
            <v>4</v>
          </cell>
          <cell r="H94">
            <v>42393</v>
          </cell>
          <cell r="I94">
            <v>0</v>
          </cell>
          <cell r="J94">
            <v>456295</v>
          </cell>
          <cell r="K94">
            <v>0</v>
          </cell>
          <cell r="L94">
            <v>0</v>
          </cell>
        </row>
        <row r="95">
          <cell r="B95" t="str">
            <v>R_General_Experience</v>
          </cell>
          <cell r="C95">
            <v>0</v>
          </cell>
          <cell r="D95">
            <v>0</v>
          </cell>
          <cell r="E95">
            <v>0</v>
          </cell>
          <cell r="F95">
            <v>0</v>
          </cell>
          <cell r="G95">
            <v>73315</v>
          </cell>
          <cell r="H95">
            <v>1294719448</v>
          </cell>
          <cell r="I95">
            <v>0</v>
          </cell>
          <cell r="J95">
            <v>11017295178</v>
          </cell>
          <cell r="K95">
            <v>0</v>
          </cell>
          <cell r="L95">
            <v>0</v>
          </cell>
        </row>
        <row r="96">
          <cell r="B96" t="str">
            <v>R_General_Mortality</v>
          </cell>
          <cell r="C96">
            <v>0</v>
          </cell>
          <cell r="D96">
            <v>0</v>
          </cell>
          <cell r="E96">
            <v>0</v>
          </cell>
          <cell r="F96">
            <v>0</v>
          </cell>
          <cell r="G96">
            <v>73315</v>
          </cell>
          <cell r="H96">
            <v>1294719448</v>
          </cell>
          <cell r="I96">
            <v>0</v>
          </cell>
          <cell r="J96">
            <v>11013868775</v>
          </cell>
          <cell r="K96">
            <v>0</v>
          </cell>
          <cell r="L96">
            <v>0</v>
          </cell>
        </row>
        <row r="97">
          <cell r="C97">
            <v>0</v>
          </cell>
          <cell r="D97">
            <v>0</v>
          </cell>
          <cell r="E97">
            <v>0</v>
          </cell>
          <cell r="F97">
            <v>0</v>
          </cell>
          <cell r="G97">
            <v>73315</v>
          </cell>
          <cell r="H97">
            <v>1294721957</v>
          </cell>
          <cell r="I97">
            <v>0</v>
          </cell>
          <cell r="J97">
            <v>10996240964</v>
          </cell>
          <cell r="K97">
            <v>0</v>
          </cell>
          <cell r="L97">
            <v>0</v>
          </cell>
        </row>
        <row r="98">
          <cell r="B98" t="str">
            <v>R_General_Fix Disability</v>
          </cell>
          <cell r="C98">
            <v>0</v>
          </cell>
          <cell r="D98">
            <v>0</v>
          </cell>
          <cell r="E98">
            <v>0</v>
          </cell>
          <cell r="F98">
            <v>0</v>
          </cell>
          <cell r="G98">
            <v>73315</v>
          </cell>
          <cell r="H98">
            <v>1294721957</v>
          </cell>
          <cell r="I98">
            <v>0</v>
          </cell>
          <cell r="J98">
            <v>10994180662</v>
          </cell>
          <cell r="K98">
            <v>0</v>
          </cell>
          <cell r="L98">
            <v>0</v>
          </cell>
        </row>
        <row r="99">
          <cell r="C99">
            <v>0</v>
          </cell>
          <cell r="D99">
            <v>0</v>
          </cell>
          <cell r="E99">
            <v>0</v>
          </cell>
          <cell r="F99">
            <v>0</v>
          </cell>
          <cell r="G99">
            <v>70726</v>
          </cell>
          <cell r="H99">
            <v>1230141222</v>
          </cell>
          <cell r="I99">
            <v>0</v>
          </cell>
          <cell r="J99">
            <v>10381313729</v>
          </cell>
          <cell r="K99">
            <v>0</v>
          </cell>
          <cell r="L99">
            <v>0</v>
          </cell>
        </row>
        <row r="100">
          <cell r="B100" t="str">
            <v>B_General_Experience</v>
          </cell>
          <cell r="C100">
            <v>0</v>
          </cell>
          <cell r="D100">
            <v>0</v>
          </cell>
          <cell r="E100">
            <v>0</v>
          </cell>
          <cell r="F100">
            <v>0</v>
          </cell>
          <cell r="G100">
            <v>8123</v>
          </cell>
          <cell r="H100">
            <v>90292018</v>
          </cell>
          <cell r="I100">
            <v>0</v>
          </cell>
          <cell r="J100">
            <v>717480150</v>
          </cell>
          <cell r="K100">
            <v>0</v>
          </cell>
          <cell r="L100">
            <v>0</v>
          </cell>
        </row>
        <row r="101">
          <cell r="B101" t="str">
            <v>B_General_Mortality</v>
          </cell>
          <cell r="C101">
            <v>0</v>
          </cell>
          <cell r="D101">
            <v>0</v>
          </cell>
          <cell r="E101">
            <v>0</v>
          </cell>
          <cell r="F101">
            <v>0</v>
          </cell>
          <cell r="G101">
            <v>8123</v>
          </cell>
          <cell r="H101">
            <v>90292018</v>
          </cell>
          <cell r="I101">
            <v>0</v>
          </cell>
          <cell r="J101">
            <v>697745341</v>
          </cell>
          <cell r="K101">
            <v>0</v>
          </cell>
          <cell r="L101">
            <v>0</v>
          </cell>
        </row>
        <row r="102">
          <cell r="C102">
            <v>0</v>
          </cell>
          <cell r="D102">
            <v>0</v>
          </cell>
          <cell r="E102">
            <v>0</v>
          </cell>
          <cell r="F102">
            <v>0</v>
          </cell>
          <cell r="G102">
            <v>8164</v>
          </cell>
          <cell r="H102">
            <v>90824945</v>
          </cell>
          <cell r="I102">
            <v>0</v>
          </cell>
          <cell r="J102">
            <v>701401784</v>
          </cell>
          <cell r="K102">
            <v>0</v>
          </cell>
          <cell r="L102">
            <v>0</v>
          </cell>
        </row>
        <row r="103">
          <cell r="B103" t="str">
            <v>R_Law Enforcement Officers_Experience</v>
          </cell>
          <cell r="C103">
            <v>0</v>
          </cell>
          <cell r="D103">
            <v>0</v>
          </cell>
          <cell r="E103">
            <v>0</v>
          </cell>
          <cell r="F103">
            <v>0</v>
          </cell>
          <cell r="G103">
            <v>2305</v>
          </cell>
          <cell r="H103">
            <v>68995116</v>
          </cell>
          <cell r="I103">
            <v>0</v>
          </cell>
          <cell r="J103">
            <v>720981233</v>
          </cell>
          <cell r="K103">
            <v>0</v>
          </cell>
          <cell r="L103">
            <v>0</v>
          </cell>
        </row>
        <row r="104">
          <cell r="B104" t="str">
            <v>R_Law Enforcement Officers_Mortality</v>
          </cell>
          <cell r="C104">
            <v>0</v>
          </cell>
          <cell r="D104">
            <v>0</v>
          </cell>
          <cell r="E104">
            <v>0</v>
          </cell>
          <cell r="F104">
            <v>0</v>
          </cell>
          <cell r="G104">
            <v>2305</v>
          </cell>
          <cell r="H104">
            <v>68995116</v>
          </cell>
          <cell r="I104">
            <v>0</v>
          </cell>
          <cell r="J104">
            <v>730462901</v>
          </cell>
          <cell r="K104">
            <v>0</v>
          </cell>
          <cell r="L104">
            <v>0</v>
          </cell>
        </row>
        <row r="105">
          <cell r="C105">
            <v>0</v>
          </cell>
          <cell r="D105">
            <v>0</v>
          </cell>
          <cell r="E105">
            <v>0</v>
          </cell>
          <cell r="F105">
            <v>0</v>
          </cell>
          <cell r="G105">
            <v>2305</v>
          </cell>
          <cell r="H105">
            <v>68995116</v>
          </cell>
          <cell r="I105">
            <v>0</v>
          </cell>
          <cell r="J105">
            <v>720362914</v>
          </cell>
          <cell r="K105">
            <v>0</v>
          </cell>
          <cell r="L105">
            <v>0</v>
          </cell>
        </row>
        <row r="106">
          <cell r="B106" t="str">
            <v>R_Law Enforcement Officers_Fix Disability</v>
          </cell>
          <cell r="C106">
            <v>0</v>
          </cell>
          <cell r="D106">
            <v>0</v>
          </cell>
          <cell r="E106">
            <v>0</v>
          </cell>
          <cell r="F106">
            <v>0</v>
          </cell>
          <cell r="G106">
            <v>2305</v>
          </cell>
          <cell r="H106">
            <v>68995116</v>
          </cell>
          <cell r="I106">
            <v>0</v>
          </cell>
          <cell r="J106">
            <v>730133463</v>
          </cell>
          <cell r="K106">
            <v>0</v>
          </cell>
          <cell r="L106">
            <v>0</v>
          </cell>
        </row>
        <row r="107">
          <cell r="C107">
            <v>0</v>
          </cell>
          <cell r="D107">
            <v>0</v>
          </cell>
          <cell r="E107">
            <v>0</v>
          </cell>
          <cell r="F107">
            <v>0</v>
          </cell>
          <cell r="G107">
            <v>2305</v>
          </cell>
          <cell r="H107">
            <v>68995086</v>
          </cell>
          <cell r="I107">
            <v>0</v>
          </cell>
          <cell r="J107">
            <v>730102232</v>
          </cell>
          <cell r="K107">
            <v>0</v>
          </cell>
          <cell r="L107">
            <v>0</v>
          </cell>
        </row>
        <row r="108">
          <cell r="B108" t="str">
            <v>B_Law Enforcement Officers_Experience</v>
          </cell>
          <cell r="C108">
            <v>0</v>
          </cell>
          <cell r="D108">
            <v>0</v>
          </cell>
          <cell r="E108">
            <v>0</v>
          </cell>
          <cell r="F108">
            <v>0</v>
          </cell>
          <cell r="G108">
            <v>352</v>
          </cell>
          <cell r="H108">
            <v>6669964</v>
          </cell>
          <cell r="I108">
            <v>0</v>
          </cell>
          <cell r="J108">
            <v>57558402</v>
          </cell>
          <cell r="K108">
            <v>0</v>
          </cell>
          <cell r="L108">
            <v>0</v>
          </cell>
        </row>
        <row r="109">
          <cell r="B109" t="str">
            <v>B_Law Enforcement Officers_Mortality</v>
          </cell>
          <cell r="C109">
            <v>0</v>
          </cell>
          <cell r="D109">
            <v>0</v>
          </cell>
          <cell r="E109">
            <v>0</v>
          </cell>
          <cell r="F109">
            <v>0</v>
          </cell>
          <cell r="G109">
            <v>352</v>
          </cell>
          <cell r="H109">
            <v>6669964</v>
          </cell>
          <cell r="I109">
            <v>0</v>
          </cell>
          <cell r="J109">
            <v>55765870</v>
          </cell>
          <cell r="K109">
            <v>0</v>
          </cell>
          <cell r="L109">
            <v>0</v>
          </cell>
        </row>
        <row r="110">
          <cell r="C110">
            <v>0</v>
          </cell>
          <cell r="D110">
            <v>0</v>
          </cell>
          <cell r="E110">
            <v>0</v>
          </cell>
          <cell r="F110">
            <v>0</v>
          </cell>
          <cell r="G110">
            <v>351</v>
          </cell>
          <cell r="H110">
            <v>6667848</v>
          </cell>
          <cell r="I110">
            <v>0</v>
          </cell>
          <cell r="J110">
            <v>55648593</v>
          </cell>
          <cell r="K110">
            <v>0</v>
          </cell>
          <cell r="L110">
            <v>0</v>
          </cell>
        </row>
        <row r="111">
          <cell r="C111">
            <v>0</v>
          </cell>
          <cell r="D111">
            <v>0</v>
          </cell>
          <cell r="E111">
            <v>0</v>
          </cell>
          <cell r="F111">
            <v>0</v>
          </cell>
          <cell r="G111">
            <v>104041</v>
          </cell>
          <cell r="H111">
            <v>0</v>
          </cell>
          <cell r="I111">
            <v>0</v>
          </cell>
          <cell r="J111">
            <v>1756646365</v>
          </cell>
          <cell r="K111">
            <v>0</v>
          </cell>
          <cell r="L111">
            <v>0</v>
          </cell>
        </row>
        <row r="112">
          <cell r="C112">
            <v>0</v>
          </cell>
          <cell r="D112">
            <v>0</v>
          </cell>
          <cell r="E112">
            <v>0</v>
          </cell>
          <cell r="F112">
            <v>0</v>
          </cell>
          <cell r="G112">
            <v>97429</v>
          </cell>
          <cell r="H112">
            <v>0</v>
          </cell>
          <cell r="I112">
            <v>0</v>
          </cell>
          <cell r="J112">
            <v>1528818350</v>
          </cell>
          <cell r="K112">
            <v>0</v>
          </cell>
          <cell r="L112">
            <v>0</v>
          </cell>
        </row>
        <row r="113">
          <cell r="C113">
            <v>0</v>
          </cell>
          <cell r="D113">
            <v>0</v>
          </cell>
          <cell r="E113">
            <v>0</v>
          </cell>
          <cell r="F113">
            <v>0</v>
          </cell>
          <cell r="G113">
            <v>97429</v>
          </cell>
          <cell r="H113">
            <v>0</v>
          </cell>
          <cell r="I113">
            <v>0</v>
          </cell>
          <cell r="J113">
            <v>1528815591</v>
          </cell>
          <cell r="K113">
            <v>0</v>
          </cell>
          <cell r="L113">
            <v>0</v>
          </cell>
        </row>
        <row r="114">
          <cell r="C114">
            <v>971</v>
          </cell>
          <cell r="D114">
            <v>36334517</v>
          </cell>
          <cell r="E114">
            <v>52.95</v>
          </cell>
          <cell r="F114">
            <v>7.82</v>
          </cell>
          <cell r="G114">
            <v>0</v>
          </cell>
          <cell r="H114">
            <v>0</v>
          </cell>
          <cell r="I114">
            <v>65066200</v>
          </cell>
          <cell r="J114">
            <v>0</v>
          </cell>
          <cell r="K114">
            <v>37825843</v>
          </cell>
          <cell r="L114">
            <v>282415331</v>
          </cell>
          <cell r="M114">
            <v>662646</v>
          </cell>
        </row>
        <row r="115">
          <cell r="B115" t="str">
            <v>D_Teachers_Fix Disability</v>
          </cell>
          <cell r="C115">
            <v>971</v>
          </cell>
          <cell r="D115">
            <v>36334517</v>
          </cell>
          <cell r="E115">
            <v>52.95</v>
          </cell>
          <cell r="F115">
            <v>7.82</v>
          </cell>
          <cell r="G115">
            <v>0</v>
          </cell>
          <cell r="H115">
            <v>0</v>
          </cell>
          <cell r="I115">
            <v>61305742</v>
          </cell>
          <cell r="J115">
            <v>0</v>
          </cell>
          <cell r="K115">
            <v>36904565</v>
          </cell>
          <cell r="L115">
            <v>265466385</v>
          </cell>
          <cell r="M115">
            <v>1484041</v>
          </cell>
        </row>
        <row r="116">
          <cell r="B116" t="str">
            <v>D_Teachers_Correct Groups</v>
          </cell>
          <cell r="C116">
            <v>829</v>
          </cell>
          <cell r="D116">
            <v>31890315</v>
          </cell>
          <cell r="E116">
            <v>51.1</v>
          </cell>
          <cell r="F116">
            <v>9.11</v>
          </cell>
          <cell r="G116">
            <v>0</v>
          </cell>
          <cell r="H116">
            <v>0</v>
          </cell>
          <cell r="I116">
            <v>58253706</v>
          </cell>
          <cell r="J116">
            <v>0</v>
          </cell>
          <cell r="K116">
            <v>36077211</v>
          </cell>
          <cell r="L116">
            <v>247170338</v>
          </cell>
          <cell r="M116">
            <v>1406857</v>
          </cell>
        </row>
        <row r="117">
          <cell r="C117">
            <v>971</v>
          </cell>
          <cell r="D117">
            <v>36334517</v>
          </cell>
          <cell r="E117">
            <v>52.95</v>
          </cell>
          <cell r="F117">
            <v>7.82</v>
          </cell>
          <cell r="G117">
            <v>0</v>
          </cell>
          <cell r="H117">
            <v>0</v>
          </cell>
          <cell r="I117">
            <v>65485767</v>
          </cell>
          <cell r="J117">
            <v>0</v>
          </cell>
          <cell r="K117">
            <v>38231479</v>
          </cell>
          <cell r="L117">
            <v>282415331</v>
          </cell>
          <cell r="M117">
            <v>662646</v>
          </cell>
        </row>
        <row r="118">
          <cell r="B118" t="str">
            <v>D_Teachers_Fix Disability_NC</v>
          </cell>
          <cell r="C118">
            <v>971</v>
          </cell>
          <cell r="D118">
            <v>36334517</v>
          </cell>
          <cell r="E118">
            <v>52.95</v>
          </cell>
          <cell r="F118">
            <v>7.82</v>
          </cell>
          <cell r="G118">
            <v>0</v>
          </cell>
          <cell r="H118">
            <v>0</v>
          </cell>
          <cell r="I118">
            <v>61759603</v>
          </cell>
          <cell r="J118">
            <v>0</v>
          </cell>
          <cell r="K118">
            <v>37275609</v>
          </cell>
          <cell r="L118">
            <v>265466385</v>
          </cell>
          <cell r="M118">
            <v>1484041</v>
          </cell>
        </row>
        <row r="119">
          <cell r="B119" t="str">
            <v>D_Teachers_Correct Groups_NC</v>
          </cell>
          <cell r="C119">
            <v>829</v>
          </cell>
          <cell r="D119">
            <v>31890315</v>
          </cell>
          <cell r="E119">
            <v>51.1</v>
          </cell>
          <cell r="F119">
            <v>9.11</v>
          </cell>
          <cell r="G119">
            <v>0</v>
          </cell>
          <cell r="H119">
            <v>0</v>
          </cell>
          <cell r="I119">
            <v>58951615</v>
          </cell>
          <cell r="J119">
            <v>0</v>
          </cell>
          <cell r="K119">
            <v>36613113</v>
          </cell>
          <cell r="L119">
            <v>247170338</v>
          </cell>
          <cell r="M119">
            <v>1406857</v>
          </cell>
        </row>
        <row r="120">
          <cell r="C120">
            <v>5904</v>
          </cell>
          <cell r="D120">
            <v>190251135</v>
          </cell>
          <cell r="E120">
            <v>54.91</v>
          </cell>
          <cell r="F120">
            <v>11.27</v>
          </cell>
          <cell r="G120">
            <v>0</v>
          </cell>
          <cell r="H120">
            <v>0</v>
          </cell>
          <cell r="I120">
            <v>389310930</v>
          </cell>
          <cell r="J120">
            <v>0</v>
          </cell>
          <cell r="K120">
            <v>271707637</v>
          </cell>
          <cell r="L120">
            <v>1259144552</v>
          </cell>
          <cell r="M120">
            <v>4163345</v>
          </cell>
        </row>
        <row r="121">
          <cell r="B121" t="str">
            <v>D_General_Fix Disability</v>
          </cell>
          <cell r="C121">
            <v>5904</v>
          </cell>
          <cell r="D121">
            <v>190251135</v>
          </cell>
          <cell r="E121">
            <v>54.91</v>
          </cell>
          <cell r="F121">
            <v>11.27</v>
          </cell>
          <cell r="G121">
            <v>0</v>
          </cell>
          <cell r="H121">
            <v>0</v>
          </cell>
          <cell r="I121">
            <v>376137026</v>
          </cell>
          <cell r="J121">
            <v>0</v>
          </cell>
          <cell r="K121">
            <v>270612320</v>
          </cell>
          <cell r="L121">
            <v>1188047338</v>
          </cell>
          <cell r="M121">
            <v>9310577</v>
          </cell>
        </row>
        <row r="122">
          <cell r="B122" t="str">
            <v>D_General_Correct Groups</v>
          </cell>
          <cell r="C122">
            <v>5785</v>
          </cell>
          <cell r="D122">
            <v>187581096</v>
          </cell>
          <cell r="E122">
            <v>55.19</v>
          </cell>
          <cell r="F122">
            <v>11.04</v>
          </cell>
          <cell r="G122">
            <v>0</v>
          </cell>
          <cell r="H122">
            <v>0</v>
          </cell>
          <cell r="I122">
            <v>355932262</v>
          </cell>
          <cell r="J122">
            <v>0</v>
          </cell>
          <cell r="K122">
            <v>254869203</v>
          </cell>
          <cell r="L122">
            <v>1160411680</v>
          </cell>
          <cell r="M122">
            <v>9124111</v>
          </cell>
        </row>
        <row r="123">
          <cell r="C123">
            <v>5904</v>
          </cell>
          <cell r="D123">
            <v>190251135</v>
          </cell>
          <cell r="E123">
            <v>54.91</v>
          </cell>
          <cell r="F123">
            <v>11.27</v>
          </cell>
          <cell r="G123">
            <v>0</v>
          </cell>
          <cell r="H123">
            <v>0</v>
          </cell>
          <cell r="I123">
            <v>387705597</v>
          </cell>
          <cell r="J123">
            <v>0</v>
          </cell>
          <cell r="K123">
            <v>271298035</v>
          </cell>
          <cell r="L123">
            <v>1259144552</v>
          </cell>
          <cell r="M123">
            <v>4163345</v>
          </cell>
        </row>
        <row r="124">
          <cell r="B124" t="str">
            <v>D_General_Fix Disability_NC</v>
          </cell>
          <cell r="C124">
            <v>5904</v>
          </cell>
          <cell r="D124">
            <v>190251135</v>
          </cell>
          <cell r="E124">
            <v>54.91</v>
          </cell>
          <cell r="F124">
            <v>11.27</v>
          </cell>
          <cell r="G124">
            <v>0</v>
          </cell>
          <cell r="H124">
            <v>0</v>
          </cell>
          <cell r="I124">
            <v>374744247</v>
          </cell>
          <cell r="J124">
            <v>0</v>
          </cell>
          <cell r="K124">
            <v>269485262</v>
          </cell>
          <cell r="L124">
            <v>1188047338</v>
          </cell>
          <cell r="M124">
            <v>9310577</v>
          </cell>
        </row>
        <row r="125">
          <cell r="B125" t="str">
            <v>D_General_Correct Groups_NC</v>
          </cell>
          <cell r="C125">
            <v>5785</v>
          </cell>
          <cell r="D125">
            <v>187581096</v>
          </cell>
          <cell r="E125">
            <v>55.19</v>
          </cell>
          <cell r="F125">
            <v>11.04</v>
          </cell>
          <cell r="G125">
            <v>0</v>
          </cell>
          <cell r="H125">
            <v>0</v>
          </cell>
          <cell r="I125">
            <v>363065543</v>
          </cell>
          <cell r="J125">
            <v>0</v>
          </cell>
          <cell r="K125">
            <v>259826502</v>
          </cell>
          <cell r="L125">
            <v>1160411680</v>
          </cell>
          <cell r="M125">
            <v>9124111</v>
          </cell>
        </row>
        <row r="126">
          <cell r="C126">
            <v>58</v>
          </cell>
          <cell r="D126">
            <v>2540584</v>
          </cell>
          <cell r="E126">
            <v>49.33</v>
          </cell>
          <cell r="F126">
            <v>10.78</v>
          </cell>
          <cell r="G126">
            <v>0</v>
          </cell>
          <cell r="H126">
            <v>0</v>
          </cell>
          <cell r="I126">
            <v>5931414</v>
          </cell>
          <cell r="J126">
            <v>0</v>
          </cell>
          <cell r="K126">
            <v>4172989</v>
          </cell>
          <cell r="L126">
            <v>16391218</v>
          </cell>
          <cell r="M126">
            <v>33720</v>
          </cell>
        </row>
        <row r="127">
          <cell r="B127" t="str">
            <v>D_Law Enforcement Officers_Fix Disability</v>
          </cell>
          <cell r="C127">
            <v>58</v>
          </cell>
          <cell r="D127">
            <v>2540584</v>
          </cell>
          <cell r="E127">
            <v>49.33</v>
          </cell>
          <cell r="F127">
            <v>10.78</v>
          </cell>
          <cell r="G127">
            <v>0</v>
          </cell>
          <cell r="H127">
            <v>0</v>
          </cell>
          <cell r="I127">
            <v>5367782</v>
          </cell>
          <cell r="J127">
            <v>0</v>
          </cell>
          <cell r="K127">
            <v>3916454</v>
          </cell>
          <cell r="L127">
            <v>15304273</v>
          </cell>
          <cell r="M127">
            <v>121171</v>
          </cell>
        </row>
        <row r="128">
          <cell r="B128" t="str">
            <v>D_Law Enforcement Officers_Correct Groups</v>
          </cell>
          <cell r="C128">
            <v>54</v>
          </cell>
          <cell r="D128">
            <v>2416084</v>
          </cell>
          <cell r="E128">
            <v>48.59</v>
          </cell>
          <cell r="F128">
            <v>11.52</v>
          </cell>
          <cell r="G128">
            <v>0</v>
          </cell>
          <cell r="H128">
            <v>0</v>
          </cell>
          <cell r="I128">
            <v>5299492</v>
          </cell>
          <cell r="J128">
            <v>0</v>
          </cell>
          <cell r="K128">
            <v>3902527</v>
          </cell>
          <cell r="L128">
            <v>14859237</v>
          </cell>
          <cell r="M128">
            <v>119611</v>
          </cell>
        </row>
        <row r="129">
          <cell r="C129">
            <v>58</v>
          </cell>
          <cell r="D129">
            <v>2540584</v>
          </cell>
          <cell r="E129">
            <v>49.33</v>
          </cell>
          <cell r="F129">
            <v>10.78</v>
          </cell>
          <cell r="G129">
            <v>0</v>
          </cell>
          <cell r="H129">
            <v>0</v>
          </cell>
          <cell r="I129">
            <v>5929537</v>
          </cell>
          <cell r="J129">
            <v>0</v>
          </cell>
          <cell r="K129">
            <v>4170628</v>
          </cell>
          <cell r="L129">
            <v>16391218</v>
          </cell>
          <cell r="M129">
            <v>33720</v>
          </cell>
        </row>
        <row r="130">
          <cell r="B130" t="str">
            <v>D_Law Enforcement Officers_Fix Disability_NC</v>
          </cell>
          <cell r="C130">
            <v>58</v>
          </cell>
          <cell r="D130">
            <v>2540584</v>
          </cell>
          <cell r="E130">
            <v>49.33</v>
          </cell>
          <cell r="F130">
            <v>10.78</v>
          </cell>
          <cell r="G130">
            <v>0</v>
          </cell>
          <cell r="H130">
            <v>0</v>
          </cell>
          <cell r="I130">
            <v>5366970</v>
          </cell>
          <cell r="J130">
            <v>0</v>
          </cell>
          <cell r="K130">
            <v>3905769</v>
          </cell>
          <cell r="L130">
            <v>15304273</v>
          </cell>
          <cell r="M130">
            <v>121171</v>
          </cell>
        </row>
        <row r="131">
          <cell r="B131" t="str">
            <v>D_Law Enforcement Officers_Correct Groups_NC</v>
          </cell>
          <cell r="C131">
            <v>54</v>
          </cell>
          <cell r="D131">
            <v>2416084</v>
          </cell>
          <cell r="E131">
            <v>48.59</v>
          </cell>
          <cell r="F131">
            <v>11.52</v>
          </cell>
          <cell r="G131">
            <v>0</v>
          </cell>
          <cell r="H131">
            <v>0</v>
          </cell>
          <cell r="I131">
            <v>5300664</v>
          </cell>
          <cell r="J131">
            <v>0</v>
          </cell>
          <cell r="K131">
            <v>3893078</v>
          </cell>
          <cell r="L131">
            <v>14859237</v>
          </cell>
          <cell r="M131">
            <v>119611</v>
          </cell>
        </row>
        <row r="132">
          <cell r="B132" t="str">
            <v>D_Other Education_Correct Groups</v>
          </cell>
          <cell r="C132">
            <v>265</v>
          </cell>
          <cell r="D132">
            <v>7238740</v>
          </cell>
          <cell r="E132">
            <v>53.55</v>
          </cell>
          <cell r="F132">
            <v>10.18</v>
          </cell>
          <cell r="G132">
            <v>0</v>
          </cell>
          <cell r="H132">
            <v>0</v>
          </cell>
          <cell r="I132">
            <v>14175087</v>
          </cell>
          <cell r="J132">
            <v>0</v>
          </cell>
          <cell r="K132">
            <v>9986551</v>
          </cell>
          <cell r="L132">
            <v>46709065</v>
          </cell>
          <cell r="M132">
            <v>273620</v>
          </cell>
        </row>
        <row r="133">
          <cell r="B133" t="str">
            <v>D_Other Education_Correct Groups_NC</v>
          </cell>
          <cell r="C133">
            <v>265</v>
          </cell>
          <cell r="D133">
            <v>7238740</v>
          </cell>
          <cell r="E133">
            <v>53.55</v>
          </cell>
          <cell r="F133">
            <v>10.18</v>
          </cell>
          <cell r="G133">
            <v>0</v>
          </cell>
          <cell r="H133">
            <v>0</v>
          </cell>
          <cell r="I133">
            <v>14452810</v>
          </cell>
          <cell r="J133">
            <v>0</v>
          </cell>
          <cell r="K133">
            <v>10230361</v>
          </cell>
          <cell r="L133">
            <v>46709065</v>
          </cell>
          <cell r="M133">
            <v>273620</v>
          </cell>
        </row>
        <row r="134">
          <cell r="B134" t="str">
            <v>A_Teachers_AFC Load</v>
          </cell>
          <cell r="C134">
            <v>150859</v>
          </cell>
          <cell r="D134">
            <v>6918855488</v>
          </cell>
          <cell r="E134">
            <v>43.17</v>
          </cell>
          <cell r="F134">
            <v>10.26</v>
          </cell>
          <cell r="G134">
            <v>0</v>
          </cell>
          <cell r="H134">
            <v>0</v>
          </cell>
          <cell r="I134">
            <v>19814003983</v>
          </cell>
          <cell r="J134">
            <v>0</v>
          </cell>
          <cell r="K134">
            <v>12984790666</v>
          </cell>
          <cell r="L134">
            <v>59749832108</v>
          </cell>
          <cell r="M134">
            <v>115046171</v>
          </cell>
          <cell r="N134">
            <v>411181250</v>
          </cell>
          <cell r="O134">
            <v>3072433749</v>
          </cell>
          <cell r="P134">
            <v>21442116</v>
          </cell>
        </row>
        <row r="135">
          <cell r="B135" t="str">
            <v>A_Teachers_AFC Load_NC</v>
          </cell>
          <cell r="C135">
            <v>150859</v>
          </cell>
          <cell r="D135">
            <v>6918855488</v>
          </cell>
          <cell r="E135">
            <v>43.17</v>
          </cell>
          <cell r="F135">
            <v>10.26</v>
          </cell>
          <cell r="G135">
            <v>0</v>
          </cell>
          <cell r="H135">
            <v>0</v>
          </cell>
          <cell r="I135">
            <v>19731025387</v>
          </cell>
          <cell r="J135">
            <v>0</v>
          </cell>
          <cell r="K135">
            <v>12940741107</v>
          </cell>
          <cell r="L135">
            <v>59749832108</v>
          </cell>
          <cell r="M135">
            <v>115046171</v>
          </cell>
          <cell r="N135">
            <v>410388580</v>
          </cell>
          <cell r="O135">
            <v>3072433749</v>
          </cell>
          <cell r="P135">
            <v>21442116</v>
          </cell>
        </row>
        <row r="136">
          <cell r="B136" t="str">
            <v>A_General_AFC Load</v>
          </cell>
          <cell r="C136">
            <v>113353</v>
          </cell>
          <cell r="D136">
            <v>5214530027</v>
          </cell>
          <cell r="E136">
            <v>45.8</v>
          </cell>
          <cell r="F136">
            <v>10.06</v>
          </cell>
          <cell r="G136">
            <v>0</v>
          </cell>
          <cell r="H136">
            <v>0</v>
          </cell>
          <cell r="I136">
            <v>13499019397</v>
          </cell>
          <cell r="J136">
            <v>0</v>
          </cell>
          <cell r="K136">
            <v>9098313614</v>
          </cell>
          <cell r="L136">
            <v>41545877871</v>
          </cell>
          <cell r="M136">
            <v>101993763</v>
          </cell>
          <cell r="N136">
            <v>252174087</v>
          </cell>
          <cell r="O136">
            <v>1973350931</v>
          </cell>
          <cell r="P136">
            <v>14202668</v>
          </cell>
        </row>
        <row r="137">
          <cell r="B137" t="str">
            <v>A_General_AFC Load_NC</v>
          </cell>
          <cell r="C137">
            <v>113353</v>
          </cell>
          <cell r="D137">
            <v>5214530027</v>
          </cell>
          <cell r="E137">
            <v>45.8</v>
          </cell>
          <cell r="F137">
            <v>10.06</v>
          </cell>
          <cell r="G137">
            <v>0</v>
          </cell>
          <cell r="H137">
            <v>0</v>
          </cell>
          <cell r="I137">
            <v>13469389802</v>
          </cell>
          <cell r="J137">
            <v>0</v>
          </cell>
          <cell r="K137">
            <v>9079625701</v>
          </cell>
          <cell r="L137">
            <v>41545877871</v>
          </cell>
          <cell r="M137">
            <v>101993763</v>
          </cell>
          <cell r="N137">
            <v>251494004</v>
          </cell>
          <cell r="O137">
            <v>1973350931</v>
          </cell>
          <cell r="P137">
            <v>14202668</v>
          </cell>
        </row>
        <row r="138">
          <cell r="B138" t="str">
            <v>A_Law Enforcement Officers_AFC Load</v>
          </cell>
          <cell r="C138">
            <v>3529</v>
          </cell>
          <cell r="D138">
            <v>204947078</v>
          </cell>
          <cell r="E138">
            <v>39.92</v>
          </cell>
          <cell r="F138">
            <v>12.8</v>
          </cell>
          <cell r="G138">
            <v>0</v>
          </cell>
          <cell r="H138">
            <v>0</v>
          </cell>
          <cell r="I138">
            <v>724185605</v>
          </cell>
          <cell r="J138">
            <v>0</v>
          </cell>
          <cell r="K138">
            <v>492446253</v>
          </cell>
          <cell r="L138">
            <v>1810236207</v>
          </cell>
          <cell r="M138">
            <v>1761540</v>
          </cell>
          <cell r="N138">
            <v>5708161</v>
          </cell>
          <cell r="O138">
            <v>30044906</v>
          </cell>
          <cell r="P138">
            <v>105362</v>
          </cell>
        </row>
        <row r="139">
          <cell r="B139" t="str">
            <v>A_Law Enforcement Officers_AFC Load_NC</v>
          </cell>
          <cell r="C139">
            <v>3529</v>
          </cell>
          <cell r="D139">
            <v>204947078</v>
          </cell>
          <cell r="E139">
            <v>39.92</v>
          </cell>
          <cell r="F139">
            <v>12.8</v>
          </cell>
          <cell r="G139">
            <v>0</v>
          </cell>
          <cell r="H139">
            <v>0</v>
          </cell>
          <cell r="I139">
            <v>723389605</v>
          </cell>
          <cell r="J139">
            <v>0</v>
          </cell>
          <cell r="K139">
            <v>492185920</v>
          </cell>
          <cell r="L139">
            <v>1810236207</v>
          </cell>
          <cell r="M139">
            <v>1761540</v>
          </cell>
          <cell r="N139">
            <v>5790859</v>
          </cell>
          <cell r="O139">
            <v>30044906</v>
          </cell>
          <cell r="P139">
            <v>105362</v>
          </cell>
        </row>
        <row r="140">
          <cell r="B140" t="str">
            <v>A_Other Education_AFC Load</v>
          </cell>
          <cell r="C140">
            <v>48906</v>
          </cell>
          <cell r="D140">
            <v>2001734581</v>
          </cell>
          <cell r="E140">
            <v>48.51</v>
          </cell>
          <cell r="F140">
            <v>10.72</v>
          </cell>
          <cell r="G140">
            <v>0</v>
          </cell>
          <cell r="H140">
            <v>0</v>
          </cell>
          <cell r="I140">
            <v>5898471414</v>
          </cell>
          <cell r="J140">
            <v>0</v>
          </cell>
          <cell r="K140">
            <v>4319266882</v>
          </cell>
          <cell r="L140">
            <v>14693640050</v>
          </cell>
          <cell r="M140">
            <v>30291613</v>
          </cell>
          <cell r="N140">
            <v>67424448</v>
          </cell>
          <cell r="O140">
            <v>485591978</v>
          </cell>
          <cell r="P140">
            <v>3729722</v>
          </cell>
        </row>
        <row r="141">
          <cell r="B141" t="str">
            <v>A_Other Education_AFC Load_NC</v>
          </cell>
          <cell r="C141">
            <v>48906</v>
          </cell>
          <cell r="D141">
            <v>2001734581</v>
          </cell>
          <cell r="E141">
            <v>48.51</v>
          </cell>
          <cell r="F141">
            <v>10.72</v>
          </cell>
          <cell r="G141">
            <v>0</v>
          </cell>
          <cell r="H141">
            <v>0</v>
          </cell>
          <cell r="I141">
            <v>5883485163</v>
          </cell>
          <cell r="J141">
            <v>0</v>
          </cell>
          <cell r="K141">
            <v>4308279747</v>
          </cell>
          <cell r="L141">
            <v>14693640050</v>
          </cell>
          <cell r="M141">
            <v>30291613</v>
          </cell>
          <cell r="N141">
            <v>67081485</v>
          </cell>
          <cell r="O141">
            <v>485591978</v>
          </cell>
          <cell r="P141">
            <v>3729722</v>
          </cell>
        </row>
        <row r="142">
          <cell r="C142" t="str">
            <v>01.09.01.04.05 - TSERS - Inactives - Teachers - New Groups</v>
          </cell>
          <cell r="D142" t="str">
            <v>01.09.01.04.06 - TSERS - Inactives - Other Ed. - New Groups</v>
          </cell>
          <cell r="E142" t="str">
            <v>01.09.01.05.03 - TSERS - Beneficiaries - Teachers - New Groups</v>
          </cell>
          <cell r="F142" t="str">
            <v>01.09.01.05.04 - TSERS - Beneficiaries - Other Ed. - New Groups</v>
          </cell>
          <cell r="G142" t="str">
            <v>01.09.01.06.05 - TSERS - Inactives - General - New Groups</v>
          </cell>
          <cell r="H142" t="str">
            <v>01.09.01.07.03 - TSERS - Beneficiaries - General - New Groups</v>
          </cell>
          <cell r="I142" t="str">
            <v>01.09.01.08.05 - TSERS - Inactives - LEO - New Groups</v>
          </cell>
          <cell r="J142" t="str">
            <v>01.09.01.09.03 - TSERS - Beneficiaries - LEO - New Groups</v>
          </cell>
          <cell r="K142" t="str">
            <v>02.08.01.01.01 - TSERS - Actives - Teachers - Grouped</v>
          </cell>
          <cell r="L142" t="str">
            <v>02.08.01.01.02 - TSERS - Actives - Teachers - Grouped - NC</v>
          </cell>
          <cell r="M142" t="str">
            <v>02.08.01.02.01 - TSERS - Actives - General - Grouped</v>
          </cell>
          <cell r="N142" t="str">
            <v>02.08.01.02.02 - TSERS - Actives - General - Grouped - NC</v>
          </cell>
          <cell r="O142" t="str">
            <v>02.08.01.03.01 - TSERS - Actives - Law Enforcement - Grouped</v>
          </cell>
          <cell r="P142" t="str">
            <v>02.08.01.03.02 - TSERS - Actives - Law Enforcement - Grouped - NC</v>
          </cell>
          <cell r="Q142" t="str">
            <v>02.08.01.04.01 - TSERS - Inactives - Teachers</v>
          </cell>
          <cell r="R142" t="str">
            <v>02.08.01.05.01 - TSERS - Beneficiaries - Teachers</v>
          </cell>
          <cell r="S142" t="str">
            <v>02.08.01.06.01 - TSERS - Inactives - General</v>
          </cell>
        </row>
        <row r="143">
          <cell r="C143" t="str">
            <v xml:space="preserve"> 01.09.01.04.05 - TSERS - Inactives - Teachers - New Groups</v>
          </cell>
          <cell r="D143" t="str">
            <v xml:space="preserve"> 01.09.01.04.06 - TSERS - Inactives - Other Ed. - New Groups</v>
          </cell>
          <cell r="E143" t="str">
            <v xml:space="preserve"> 01.09.01.05.03 - TSERS - Beneficiaries - Teachers - New Groups</v>
          </cell>
          <cell r="F143" t="str">
            <v xml:space="preserve"> 01.09.01.05.04 - TSERS - Beneficiaries - Other Ed. - New Groups</v>
          </cell>
          <cell r="G143" t="str">
            <v xml:space="preserve"> 01.09.01.06.05 - TSERS - Inactives - General - New Groups</v>
          </cell>
          <cell r="H143" t="str">
            <v xml:space="preserve"> 01.09.01.07.03 - TSERS - Beneficiaries - General - New Groups</v>
          </cell>
          <cell r="I143" t="str">
            <v xml:space="preserve"> 01.09.01.08.05 - TSERS - Inactives - LEO - New Groups</v>
          </cell>
          <cell r="J143" t="str">
            <v xml:space="preserve"> 01.09.01.09.03 - TSERS - Beneficiaries - LEO - New Groups</v>
          </cell>
          <cell r="K143" t="str">
            <v xml:space="preserve"> 02.08.01.01.01 - TSERS - Actives - Teachers - Grouped</v>
          </cell>
          <cell r="L143" t="str">
            <v xml:space="preserve"> 02.08.01.01.02 - TSERS - Actives - Teachers - Grouped - NC</v>
          </cell>
          <cell r="M143" t="str">
            <v xml:space="preserve"> 02.08.01.02.01 - TSERS - Actives - General - Grouped</v>
          </cell>
          <cell r="N143" t="str">
            <v xml:space="preserve"> 02.08.01.02.02 - TSERS - Actives - General - Grouped - NC</v>
          </cell>
          <cell r="O143" t="str">
            <v xml:space="preserve"> 02.08.01.03.01 - TSERS - Actives - Law Enforcement - Grouped</v>
          </cell>
          <cell r="P143" t="str">
            <v xml:space="preserve"> 02.08.01.03.02 - TSERS - Actives - Law Enforcement - Grouped - NC</v>
          </cell>
          <cell r="Q143" t="str">
            <v xml:space="preserve"> 02.08.01.04.01 - TSERS - Inactives - Teachers</v>
          </cell>
          <cell r="R143" t="str">
            <v xml:space="preserve"> 02.08.01.05.01 - TSERS - Beneficiaries - Teachers</v>
          </cell>
          <cell r="S143" t="str">
            <v xml:space="preserve"> 02.08.01.06.01 - TSERS - Inactives - General</v>
          </cell>
        </row>
        <row r="144">
          <cell r="C144" t="str">
            <v xml:space="preserve"> 12/31/2009</v>
          </cell>
          <cell r="D144" t="str">
            <v xml:space="preserve"> 12/31/2009</v>
          </cell>
          <cell r="E144" t="str">
            <v xml:space="preserve"> 12/31/2009</v>
          </cell>
          <cell r="F144" t="str">
            <v xml:space="preserve"> 12/31/2009</v>
          </cell>
          <cell r="G144" t="str">
            <v xml:space="preserve"> 12/31/2009</v>
          </cell>
          <cell r="H144" t="str">
            <v xml:space="preserve"> 12/31/2009</v>
          </cell>
          <cell r="I144" t="str">
            <v xml:space="preserve"> 12/31/2009</v>
          </cell>
          <cell r="J144" t="str">
            <v xml:space="preserve"> 12/31/2009</v>
          </cell>
          <cell r="K144" t="str">
            <v xml:space="preserve"> 12/31/2008</v>
          </cell>
          <cell r="L144" t="str">
            <v xml:space="preserve"> 12/31/2008</v>
          </cell>
          <cell r="M144" t="str">
            <v xml:space="preserve"> 12/31/2008</v>
          </cell>
          <cell r="N144" t="str">
            <v xml:space="preserve"> 12/31/2008</v>
          </cell>
          <cell r="O144" t="str">
            <v xml:space="preserve"> 12/31/2008</v>
          </cell>
          <cell r="P144" t="str">
            <v xml:space="preserve"> 12/31/2008</v>
          </cell>
          <cell r="Q144" t="str">
            <v xml:space="preserve"> 12/31/2008</v>
          </cell>
          <cell r="R144" t="str">
            <v xml:space="preserve"> 12/31/2008</v>
          </cell>
          <cell r="S144" t="str">
            <v xml:space="preserve"> 12/31/2008</v>
          </cell>
        </row>
        <row r="145">
          <cell r="C145" t="str">
            <v xml:space="preserve"> 01.01.09.01 - TSERS - Teachers &amp; General</v>
          </cell>
          <cell r="D145" t="str">
            <v xml:space="preserve"> 01.01.09.01 - TSERS - Teachers &amp; General</v>
          </cell>
          <cell r="E145" t="str">
            <v xml:space="preserve"> 01.01.09.01 - TSERS - Teachers &amp; General</v>
          </cell>
          <cell r="F145" t="str">
            <v xml:space="preserve"> 01.01.09.01 - TSERS - Teachers &amp; General</v>
          </cell>
          <cell r="G145" t="str">
            <v xml:space="preserve"> 01.01.09.01 - TSERS - Teachers &amp; General</v>
          </cell>
          <cell r="H145" t="str">
            <v xml:space="preserve"> 01.01.09.01 - TSERS - Teachers &amp; General</v>
          </cell>
          <cell r="I145" t="str">
            <v xml:space="preserve"> 01.02.09.01 - TSERS - Law Enforcement Officers</v>
          </cell>
          <cell r="J145" t="str">
            <v xml:space="preserve"> 01.02.09.01 - TSERS - Law Enforcement Officers</v>
          </cell>
          <cell r="K145" t="str">
            <v xml:space="preserve"> 01.01.08 - TSERS - Teachers &amp; General</v>
          </cell>
          <cell r="L145" t="str">
            <v xml:space="preserve"> 01.01.08 - TSERS - Teachers &amp; General</v>
          </cell>
          <cell r="M145" t="str">
            <v xml:space="preserve"> 01.01.08 - TSERS - Teachers &amp; General</v>
          </cell>
          <cell r="N145" t="str">
            <v xml:space="preserve"> 01.01.08 - TSERS - Teachers &amp; General</v>
          </cell>
          <cell r="O145" t="str">
            <v xml:space="preserve"> 01.02.08 - TSERS - Law Enforcement Officers</v>
          </cell>
          <cell r="P145" t="str">
            <v xml:space="preserve"> 01.02.08 - TSERS - Law Enforcement Officers</v>
          </cell>
          <cell r="Q145" t="str">
            <v xml:space="preserve"> 01.01.08 - TSERS - Teachers &amp; General</v>
          </cell>
          <cell r="R145" t="str">
            <v xml:space="preserve"> 01.01.08 - TSERS - Teachers &amp; General</v>
          </cell>
          <cell r="S145" t="str">
            <v xml:space="preserve"> 01.01.08 - TSERS - Teachers &amp; General</v>
          </cell>
        </row>
        <row r="146">
          <cell r="C146" t="str">
            <v xml:space="preserve"> 09.01.02 - Inactives</v>
          </cell>
          <cell r="D146" t="str">
            <v xml:space="preserve"> 09.01.02 - Inactives</v>
          </cell>
          <cell r="E146" t="str">
            <v xml:space="preserve"> 09.01.03 - Beneficiaries</v>
          </cell>
          <cell r="F146" t="str">
            <v xml:space="preserve"> 09.01.03 - Beneficiaries</v>
          </cell>
          <cell r="G146" t="str">
            <v xml:space="preserve"> 09.01.02 - Inactives</v>
          </cell>
          <cell r="H146" t="str">
            <v xml:space="preserve"> 09.01.03 - Beneficiaries</v>
          </cell>
          <cell r="I146" t="str">
            <v xml:space="preserve"> 09.01.02 - Inactives</v>
          </cell>
          <cell r="J146" t="str">
            <v xml:space="preserve"> 09.01.03 - Beneficiaries</v>
          </cell>
          <cell r="K146" t="str">
            <v xml:space="preserve"> 08.02.01 - Actives - Grouped</v>
          </cell>
          <cell r="L146" t="str">
            <v xml:space="preserve"> 08.02.02 - Actives - Grouped - NC</v>
          </cell>
          <cell r="M146" t="str">
            <v xml:space="preserve"> 08.02.01 - Actives - Grouped</v>
          </cell>
          <cell r="N146" t="str">
            <v xml:space="preserve"> 08.02.02 - Actives - Grouped - NC</v>
          </cell>
          <cell r="O146" t="str">
            <v xml:space="preserve"> 08.02.01 - Actives - Grouped</v>
          </cell>
          <cell r="P146" t="str">
            <v xml:space="preserve"> 08.02.02 - Actives - Grouped - NC</v>
          </cell>
          <cell r="Q146" t="str">
            <v xml:space="preserve"> 08.02.02 - Inactives - Grouped</v>
          </cell>
          <cell r="R146" t="str">
            <v xml:space="preserve"> 08.02.03 - Beneficiaries - Grouped</v>
          </cell>
          <cell r="S146" t="str">
            <v xml:space="preserve"> 08.02.02 - Inactives - Grouped</v>
          </cell>
        </row>
        <row r="147">
          <cell r="C147" t="str">
            <v xml:space="preserve"> 09.08 Correct Groups</v>
          </cell>
          <cell r="D147" t="str">
            <v xml:space="preserve"> 09.08 Correct Groups</v>
          </cell>
          <cell r="E147" t="str">
            <v xml:space="preserve"> 09.08 Correct Groups</v>
          </cell>
          <cell r="F147" t="str">
            <v xml:space="preserve"> 09.08 Correct Groups</v>
          </cell>
          <cell r="G147" t="str">
            <v xml:space="preserve"> 09.08 Correct Groups</v>
          </cell>
          <cell r="H147" t="str">
            <v xml:space="preserve"> 09.08 Correct Groups</v>
          </cell>
          <cell r="I147" t="str">
            <v xml:space="preserve"> 09.08 Correct Groups</v>
          </cell>
          <cell r="J147" t="str">
            <v xml:space="preserve"> 09.08 Correct Groups</v>
          </cell>
          <cell r="K147" t="str">
            <v xml:space="preserve"> 2008 Grouped Data - Round EA</v>
          </cell>
          <cell r="L147" t="str">
            <v xml:space="preserve"> 2008 Grouped Data - Round EA</v>
          </cell>
          <cell r="M147" t="str">
            <v xml:space="preserve"> 2008 Grouped Data - Round EA</v>
          </cell>
          <cell r="N147" t="str">
            <v xml:space="preserve"> 2008 Grouped Data - Round EA</v>
          </cell>
          <cell r="O147" t="str">
            <v xml:space="preserve"> 2008 Grouped Data - Round EA</v>
          </cell>
          <cell r="P147" t="str">
            <v xml:space="preserve"> 2008 Grouped Data - Round EA</v>
          </cell>
          <cell r="Q147" t="str">
            <v xml:space="preserve"> 2008 Grouped Data - Round EA</v>
          </cell>
          <cell r="R147" t="str">
            <v xml:space="preserve"> 2008 Grouped Data - Round EA</v>
          </cell>
          <cell r="S147" t="str">
            <v xml:space="preserve"> 2008 Grouped Data - Round EA</v>
          </cell>
        </row>
        <row r="148">
          <cell r="C148" t="str">
            <v xml:space="preserve"> &lt;none&gt;</v>
          </cell>
          <cell r="D148" t="str">
            <v xml:space="preserve"> &lt;none&gt;</v>
          </cell>
          <cell r="E148" t="str">
            <v xml:space="preserve"> &lt;none&gt;</v>
          </cell>
          <cell r="F148" t="str">
            <v xml:space="preserve"> &lt;none&gt;</v>
          </cell>
          <cell r="G148" t="str">
            <v xml:space="preserve"> &lt;none&gt;</v>
          </cell>
          <cell r="H148" t="str">
            <v xml:space="preserve"> &lt;none&gt;</v>
          </cell>
          <cell r="I148" t="str">
            <v xml:space="preserve"> &lt;none&gt;</v>
          </cell>
          <cell r="J148" t="str">
            <v xml:space="preserve"> &lt;none&gt;</v>
          </cell>
          <cell r="K148" t="str">
            <v xml:space="preserve"> &lt;none&gt;</v>
          </cell>
          <cell r="L148" t="str">
            <v xml:space="preserve"> &lt;none&gt;</v>
          </cell>
          <cell r="M148" t="str">
            <v xml:space="preserve"> &lt;none&gt;</v>
          </cell>
          <cell r="N148" t="str">
            <v xml:space="preserve"> &lt;none&gt;</v>
          </cell>
          <cell r="O148" t="str">
            <v xml:space="preserve"> &lt;none&gt;</v>
          </cell>
          <cell r="P148" t="str">
            <v xml:space="preserve"> &lt;none&gt;</v>
          </cell>
          <cell r="Q148" t="str">
            <v xml:space="preserve"> &lt;none&gt;</v>
          </cell>
          <cell r="R148" t="str">
            <v xml:space="preserve"> &lt;none&gt;</v>
          </cell>
          <cell r="S148" t="str">
            <v xml:space="preserve"> &lt;none&gt;</v>
          </cell>
        </row>
        <row r="149">
          <cell r="C149" t="str">
            <v xml:space="preserve"> October 1, 2010  4:49 PM</v>
          </cell>
          <cell r="D149" t="str">
            <v xml:space="preserve"> October 1, 2010  4:49 PM</v>
          </cell>
          <cell r="E149" t="str">
            <v xml:space="preserve"> October 1, 2010  4:50 PM</v>
          </cell>
          <cell r="F149" t="str">
            <v xml:space="preserve"> October 1, 2010  4:50 PM</v>
          </cell>
          <cell r="G149" t="str">
            <v xml:space="preserve"> October 1, 2010  4:59 PM</v>
          </cell>
          <cell r="H149" t="str">
            <v xml:space="preserve"> October 1, 2010  5:00 PM</v>
          </cell>
          <cell r="I149" t="str">
            <v xml:space="preserve"> October 1, 2010  5:00 PM</v>
          </cell>
          <cell r="J149" t="str">
            <v xml:space="preserve"> October 1, 2010  5:00 PM</v>
          </cell>
          <cell r="K149" t="str">
            <v xml:space="preserve"> October 1, 2010  5:22 PM</v>
          </cell>
          <cell r="L149" t="str">
            <v xml:space="preserve"> October 1, 2010  5:22 PM</v>
          </cell>
          <cell r="M149" t="str">
            <v xml:space="preserve"> October 1, 2010  5:23 PM</v>
          </cell>
          <cell r="N149" t="str">
            <v xml:space="preserve"> October 1, 2010  5:23 PM</v>
          </cell>
          <cell r="O149" t="str">
            <v xml:space="preserve"> October 1, 2010  5:24 PM</v>
          </cell>
          <cell r="P149" t="str">
            <v xml:space="preserve"> October 1, 2010  5:24 PM</v>
          </cell>
          <cell r="Q149" t="str">
            <v xml:space="preserve"> August 31, 2010  12:01 AM</v>
          </cell>
          <cell r="R149" t="str">
            <v xml:space="preserve"> August 31, 2010  12:01 AM</v>
          </cell>
          <cell r="S149" t="str">
            <v xml:space="preserve"> August 31, 2010  12:02 AM</v>
          </cell>
        </row>
        <row r="150">
          <cell r="C150" t="str">
            <v xml:space="preserve"> 3.01 Sep 13, 2010</v>
          </cell>
          <cell r="D150" t="str">
            <v xml:space="preserve"> 3.01 Sep 13, 2010</v>
          </cell>
          <cell r="E150" t="str">
            <v xml:space="preserve"> 3.01 Sep 13, 2010</v>
          </cell>
          <cell r="F150" t="str">
            <v xml:space="preserve"> 3.01 Sep 13, 2010</v>
          </cell>
          <cell r="G150" t="str">
            <v xml:space="preserve"> 3.01 Sep 13, 2010</v>
          </cell>
          <cell r="H150" t="str">
            <v xml:space="preserve"> 3.01 Sep 13, 2010</v>
          </cell>
          <cell r="I150" t="str">
            <v xml:space="preserve"> 3.01 Sep 13, 2010</v>
          </cell>
          <cell r="J150" t="str">
            <v xml:space="preserve"> 3.01 Sep 13, 2010</v>
          </cell>
          <cell r="K150" t="str">
            <v xml:space="preserve"> 3.01 Sep 13, 2010</v>
          </cell>
          <cell r="L150" t="str">
            <v xml:space="preserve"> 3.01 Sep 13, 2010</v>
          </cell>
          <cell r="M150" t="str">
            <v xml:space="preserve"> 3.01 Sep 13, 2010</v>
          </cell>
          <cell r="N150" t="str">
            <v xml:space="preserve"> 3.01 Sep 13, 2010</v>
          </cell>
          <cell r="O150" t="str">
            <v xml:space="preserve"> 3.01 Sep 13, 2010</v>
          </cell>
          <cell r="P150" t="str">
            <v xml:space="preserve"> 3.01 Sep 13, 2010</v>
          </cell>
          <cell r="Q150" t="str">
            <v xml:space="preserve"> 3.01 Aug 19, 2010</v>
          </cell>
          <cell r="R150" t="str">
            <v xml:space="preserve"> 3.01 Aug 19, 2010</v>
          </cell>
          <cell r="S150" t="str">
            <v xml:space="preserve"> 3.01 Aug 19, 2010</v>
          </cell>
        </row>
        <row r="151">
          <cell r="C151" t="str">
            <v xml:space="preserve"> 01.01.09.04 - TSERS - Teachers - Mortality</v>
          </cell>
          <cell r="D151" t="str">
            <v xml:space="preserve"> 01.02.09.04 - TSERS - General - Mortality</v>
          </cell>
          <cell r="E151" t="str">
            <v xml:space="preserve"> 01.01.09.04 - TSERS - Teachers - Mortality</v>
          </cell>
          <cell r="F151" t="str">
            <v xml:space="preserve"> 01.02.09.04 - TSERS - General - Mortality</v>
          </cell>
          <cell r="G151" t="str">
            <v xml:space="preserve"> 01.02.09.04 - TSERS - General - Mortality</v>
          </cell>
          <cell r="H151" t="str">
            <v xml:space="preserve"> 01.02.09.04 - TSERS - General - Mortality</v>
          </cell>
          <cell r="I151" t="str">
            <v xml:space="preserve"> 01.03.09.04 - TSERS - Law Enforcement Officers - Mortality</v>
          </cell>
          <cell r="J151" t="str">
            <v xml:space="preserve"> 01.03.09.04 - TSERS - Law Enforcement Officers - Mortality</v>
          </cell>
          <cell r="K151" t="str">
            <v xml:space="preserve"> 01.01.08.01 - TSERS - Teachers</v>
          </cell>
          <cell r="L151" t="str">
            <v xml:space="preserve"> 01.01.08.02 - TSERS - Teachers - NC</v>
          </cell>
          <cell r="M151" t="str">
            <v xml:space="preserve"> 01.02.08.01 - TSERS - General</v>
          </cell>
          <cell r="N151" t="str">
            <v xml:space="preserve"> 01.02.08.02 - TSERS - General - NC</v>
          </cell>
          <cell r="O151" t="str">
            <v xml:space="preserve"> 01.03.08.01 - TSERS - Law Enforcement Officers</v>
          </cell>
          <cell r="P151" t="str">
            <v xml:space="preserve"> 01.03.08.02 - TSERS - Law Enforcement Officers - NC</v>
          </cell>
          <cell r="Q151" t="str">
            <v xml:space="preserve"> 01.01.08.01 - TSERS - Teachers</v>
          </cell>
          <cell r="R151" t="str">
            <v xml:space="preserve"> 01.01.08.01 - TSERS - Teachers</v>
          </cell>
          <cell r="S151" t="str">
            <v xml:space="preserve"> 01.02.08.01 - TSERS - General</v>
          </cell>
        </row>
        <row r="152">
          <cell r="C152">
            <v>7.2499999999999995E-2</v>
          </cell>
          <cell r="D152">
            <v>7.2499999999999995E-2</v>
          </cell>
          <cell r="E152">
            <v>7.2499999999999995E-2</v>
          </cell>
          <cell r="F152">
            <v>7.2499999999999995E-2</v>
          </cell>
          <cell r="G152">
            <v>7.2499999999999995E-2</v>
          </cell>
          <cell r="H152">
            <v>7.2499999999999995E-2</v>
          </cell>
          <cell r="I152">
            <v>7.2499999999999995E-2</v>
          </cell>
          <cell r="J152">
            <v>7.2499999999999995E-2</v>
          </cell>
          <cell r="K152">
            <v>7.2499999999999995E-2</v>
          </cell>
          <cell r="L152">
            <v>7.2499999999999995E-2</v>
          </cell>
          <cell r="M152">
            <v>7.2499999999999995E-2</v>
          </cell>
          <cell r="N152">
            <v>7.2499999999999995E-2</v>
          </cell>
          <cell r="O152">
            <v>7.2499999999999995E-2</v>
          </cell>
          <cell r="P152">
            <v>7.2499999999999995E-2</v>
          </cell>
          <cell r="Q152">
            <v>7.2499999999999995E-2</v>
          </cell>
          <cell r="R152">
            <v>7.2499999999999995E-2</v>
          </cell>
          <cell r="S152">
            <v>7.2499999999999995E-2</v>
          </cell>
        </row>
        <row r="153">
          <cell r="C153" t="str">
            <v xml:space="preserve"> 0.035 + merit scale</v>
          </cell>
          <cell r="D153" t="str">
            <v xml:space="preserve"> 0.035 + merit scale</v>
          </cell>
          <cell r="E153" t="str">
            <v xml:space="preserve"> 0.035 + merit scale</v>
          </cell>
          <cell r="F153" t="str">
            <v xml:space="preserve"> 0.035 + merit scale</v>
          </cell>
          <cell r="G153" t="str">
            <v xml:space="preserve"> 0.035 + merit scale</v>
          </cell>
          <cell r="H153" t="str">
            <v xml:space="preserve"> 0.035 + merit scale</v>
          </cell>
          <cell r="I153" t="str">
            <v xml:space="preserve"> 0.035 + merit scale</v>
          </cell>
          <cell r="J153" t="str">
            <v xml:space="preserve"> 0.035 + merit scale</v>
          </cell>
          <cell r="K153" t="str">
            <v xml:space="preserve"> 0.0375 + merit scale</v>
          </cell>
          <cell r="L153" t="str">
            <v xml:space="preserve"> 0.0375 + merit scale</v>
          </cell>
          <cell r="M153" t="str">
            <v xml:space="preserve"> 0.0375 + merit scale</v>
          </cell>
          <cell r="N153" t="str">
            <v xml:space="preserve"> 0.0375 + merit scale</v>
          </cell>
          <cell r="O153" t="str">
            <v xml:space="preserve"> 0.0375 + merit scale</v>
          </cell>
          <cell r="P153" t="str">
            <v xml:space="preserve"> 0.0375 + merit scale</v>
          </cell>
          <cell r="Q153" t="str">
            <v xml:space="preserve"> 0.0375 + merit scale</v>
          </cell>
          <cell r="R153" t="str">
            <v xml:space="preserve"> 0.0375 + merit scale</v>
          </cell>
          <cell r="S153" t="str">
            <v xml:space="preserve"> 0.0375 + merit scale</v>
          </cell>
        </row>
        <row r="154">
          <cell r="C154" t="str">
            <v xml:space="preserve"> &lt;not run&gt;</v>
          </cell>
          <cell r="D154" t="str">
            <v xml:space="preserve"> &lt;not run&gt;</v>
          </cell>
          <cell r="E154" t="str">
            <v xml:space="preserve"> &lt;not run&gt;</v>
          </cell>
          <cell r="F154" t="str">
            <v xml:space="preserve"> &lt;not run&gt;</v>
          </cell>
          <cell r="G154" t="str">
            <v xml:space="preserve"> &lt;not run&gt;</v>
          </cell>
          <cell r="H154" t="str">
            <v xml:space="preserve"> &lt;not run&gt;</v>
          </cell>
          <cell r="I154" t="str">
            <v xml:space="preserve"> &lt;not run&gt;</v>
          </cell>
          <cell r="J154" t="str">
            <v xml:space="preserve"> &lt;not run&gt;</v>
          </cell>
          <cell r="K154" t="str">
            <v xml:space="preserve"> &lt;not run&gt;</v>
          </cell>
          <cell r="L154" t="str">
            <v xml:space="preserve"> &lt;not run&gt;</v>
          </cell>
          <cell r="M154" t="str">
            <v xml:space="preserve"> &lt;not run&gt;</v>
          </cell>
          <cell r="N154" t="str">
            <v xml:space="preserve"> &lt;not run&gt;</v>
          </cell>
          <cell r="O154" t="str">
            <v xml:space="preserve"> &lt;not run&gt;</v>
          </cell>
          <cell r="P154" t="str">
            <v xml:space="preserve"> &lt;not run&gt;</v>
          </cell>
          <cell r="Q154" t="str">
            <v xml:space="preserve"> &lt;not run&gt;</v>
          </cell>
          <cell r="R154" t="str">
            <v xml:space="preserve"> &lt;not run&gt;</v>
          </cell>
          <cell r="S154" t="str">
            <v xml:space="preserve"> &lt;not run&gt;</v>
          </cell>
        </row>
        <row r="155">
          <cell r="C155" t="str">
            <v xml:space="preserve"> &lt;not run&gt;</v>
          </cell>
          <cell r="D155" t="str">
            <v xml:space="preserve"> &lt;not run&gt;</v>
          </cell>
          <cell r="E155" t="str">
            <v xml:space="preserve"> &lt;not run&gt;</v>
          </cell>
          <cell r="F155" t="str">
            <v xml:space="preserve"> &lt;not run&gt;</v>
          </cell>
          <cell r="G155" t="str">
            <v xml:space="preserve"> &lt;not run&gt;</v>
          </cell>
          <cell r="H155" t="str">
            <v xml:space="preserve"> &lt;not run&gt;</v>
          </cell>
          <cell r="I155" t="str">
            <v xml:space="preserve"> &lt;not run&gt;</v>
          </cell>
          <cell r="J155" t="str">
            <v xml:space="preserve"> &lt;not run&gt;</v>
          </cell>
          <cell r="K155" t="str">
            <v xml:space="preserve"> &lt;not run&gt;</v>
          </cell>
          <cell r="L155" t="str">
            <v xml:space="preserve"> &lt;not run&gt;</v>
          </cell>
          <cell r="M155" t="str">
            <v xml:space="preserve"> &lt;not run&gt;</v>
          </cell>
          <cell r="N155" t="str">
            <v xml:space="preserve"> &lt;not run&gt;</v>
          </cell>
          <cell r="O155" t="str">
            <v xml:space="preserve"> &lt;not run&gt;</v>
          </cell>
          <cell r="P155" t="str">
            <v xml:space="preserve"> &lt;not run&gt;</v>
          </cell>
          <cell r="Q155" t="str">
            <v xml:space="preserve"> &lt;not run&gt;</v>
          </cell>
          <cell r="R155" t="str">
            <v xml:space="preserve"> &lt;not run&gt;</v>
          </cell>
          <cell r="S155" t="str">
            <v xml:space="preserve"> &lt;not run&gt;</v>
          </cell>
        </row>
        <row r="156">
          <cell r="C156" t="str">
            <v xml:space="preserve"> &lt;none&gt;</v>
          </cell>
          <cell r="D156" t="str">
            <v xml:space="preserve"> &lt;none&gt;</v>
          </cell>
          <cell r="E156" t="str">
            <v xml:space="preserve"> &lt;none&gt;</v>
          </cell>
          <cell r="F156" t="str">
            <v xml:space="preserve"> &lt;none&gt;</v>
          </cell>
          <cell r="G156" t="str">
            <v xml:space="preserve"> &lt;none&gt;</v>
          </cell>
          <cell r="H156" t="str">
            <v xml:space="preserve"> &lt;none&gt;</v>
          </cell>
          <cell r="I156" t="str">
            <v xml:space="preserve"> &lt;none&gt;</v>
          </cell>
          <cell r="J156" t="str">
            <v xml:space="preserve"> &lt;none&gt;</v>
          </cell>
          <cell r="K156" t="str">
            <v xml:space="preserve"> &lt;none&gt;</v>
          </cell>
          <cell r="L156" t="str">
            <v xml:space="preserve"> &lt;none&gt;</v>
          </cell>
          <cell r="M156" t="str">
            <v xml:space="preserve"> &lt;none&gt;</v>
          </cell>
          <cell r="N156" t="str">
            <v xml:space="preserve"> &lt;none&gt;</v>
          </cell>
          <cell r="O156" t="str">
            <v xml:space="preserve"> &lt;none&gt;</v>
          </cell>
          <cell r="P156" t="str">
            <v xml:space="preserve"> &lt;none&gt;</v>
          </cell>
          <cell r="Q156" t="str">
            <v xml:space="preserve"> &lt;none&gt;</v>
          </cell>
          <cell r="R156" t="str">
            <v xml:space="preserve"> &lt;none&gt;</v>
          </cell>
          <cell r="S156" t="str">
            <v xml:space="preserve"> &lt;none&gt;</v>
          </cell>
        </row>
      </sheetData>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O"/>
      <sheetName val="GainLoss"/>
      <sheetName val="GainLoss V2"/>
      <sheetName val="Reconciliation"/>
      <sheetName val="Results"/>
      <sheetName val="Liabilities"/>
      <sheetName val="ProVal"/>
      <sheetName val="Membership"/>
      <sheetName val="Assets"/>
      <sheetName val="Flow - Experience"/>
      <sheetName val="Flow - Final"/>
      <sheetName val="New Retiree ProVal"/>
      <sheetName val="New Active ProVal"/>
    </sheetNames>
    <sheetDataSet>
      <sheetData sheetId="0"/>
      <sheetData sheetId="1"/>
      <sheetData sheetId="2"/>
      <sheetData sheetId="3"/>
      <sheetData sheetId="4"/>
      <sheetData sheetId="5"/>
      <sheetData sheetId="6">
        <row r="6">
          <cell r="B6" t="str">
            <v>R_Teachers_Correct Groups</v>
          </cell>
          <cell r="C6">
            <v>0</v>
          </cell>
          <cell r="D6">
            <v>0</v>
          </cell>
          <cell r="E6">
            <v>0</v>
          </cell>
          <cell r="F6">
            <v>0</v>
          </cell>
          <cell r="G6">
            <v>68735</v>
          </cell>
          <cell r="H6">
            <v>1845314465</v>
          </cell>
          <cell r="I6">
            <v>0</v>
          </cell>
          <cell r="J6">
            <v>15808473119</v>
          </cell>
          <cell r="K6">
            <v>0</v>
          </cell>
          <cell r="L6">
            <v>0</v>
          </cell>
          <cell r="Q6">
            <v>3643</v>
          </cell>
          <cell r="R6">
            <v>983947221</v>
          </cell>
        </row>
        <row r="7">
          <cell r="B7" t="str">
            <v>R_Other Education_Correct Groups</v>
          </cell>
          <cell r="C7">
            <v>0</v>
          </cell>
          <cell r="D7">
            <v>0</v>
          </cell>
          <cell r="E7">
            <v>0</v>
          </cell>
          <cell r="F7">
            <v>0</v>
          </cell>
          <cell r="G7">
            <v>2695</v>
          </cell>
          <cell r="H7">
            <v>67421186</v>
          </cell>
          <cell r="I7">
            <v>0</v>
          </cell>
          <cell r="J7">
            <v>636806753</v>
          </cell>
          <cell r="K7">
            <v>0</v>
          </cell>
          <cell r="L7">
            <v>0</v>
          </cell>
          <cell r="Q7">
            <v>1457</v>
          </cell>
          <cell r="R7">
            <v>356783169</v>
          </cell>
        </row>
        <row r="8">
          <cell r="B8" t="str">
            <v>B_Teachers_Correct Groups</v>
          </cell>
          <cell r="C8">
            <v>0</v>
          </cell>
          <cell r="D8">
            <v>0</v>
          </cell>
          <cell r="E8">
            <v>0</v>
          </cell>
          <cell r="F8">
            <v>0</v>
          </cell>
          <cell r="G8">
            <v>3806</v>
          </cell>
          <cell r="H8">
            <v>63357114</v>
          </cell>
          <cell r="I8">
            <v>0</v>
          </cell>
          <cell r="J8">
            <v>475824519</v>
          </cell>
          <cell r="K8">
            <v>0</v>
          </cell>
          <cell r="L8">
            <v>0</v>
          </cell>
          <cell r="Q8">
            <v>222</v>
          </cell>
          <cell r="R8">
            <v>27661351</v>
          </cell>
        </row>
        <row r="9">
          <cell r="B9" t="str">
            <v>B_Other Education_Correct Groups</v>
          </cell>
          <cell r="C9">
            <v>0</v>
          </cell>
          <cell r="D9">
            <v>0</v>
          </cell>
          <cell r="E9">
            <v>0</v>
          </cell>
          <cell r="F9">
            <v>0</v>
          </cell>
          <cell r="G9">
            <v>4</v>
          </cell>
          <cell r="H9">
            <v>42393</v>
          </cell>
          <cell r="I9">
            <v>0</v>
          </cell>
          <cell r="J9">
            <v>456295</v>
          </cell>
          <cell r="K9">
            <v>0</v>
          </cell>
          <cell r="L9">
            <v>0</v>
          </cell>
          <cell r="Q9">
            <v>3</v>
          </cell>
          <cell r="R9">
            <v>411625</v>
          </cell>
        </row>
        <row r="10">
          <cell r="B10" t="str">
            <v>R_General_Correct Groups</v>
          </cell>
          <cell r="C10">
            <v>0</v>
          </cell>
          <cell r="D10">
            <v>0</v>
          </cell>
          <cell r="E10">
            <v>0</v>
          </cell>
          <cell r="F10">
            <v>0</v>
          </cell>
          <cell r="G10">
            <v>70726</v>
          </cell>
          <cell r="H10">
            <v>1231325396</v>
          </cell>
          <cell r="I10">
            <v>0</v>
          </cell>
          <cell r="J10">
            <v>10360858551</v>
          </cell>
          <cell r="K10">
            <v>0</v>
          </cell>
          <cell r="L10">
            <v>0</v>
          </cell>
          <cell r="Q10">
            <v>3729</v>
          </cell>
          <cell r="R10">
            <v>664220266</v>
          </cell>
        </row>
        <row r="11">
          <cell r="B11" t="str">
            <v>B_General_Correct Groups</v>
          </cell>
          <cell r="C11">
            <v>0</v>
          </cell>
          <cell r="D11">
            <v>0</v>
          </cell>
          <cell r="E11">
            <v>0</v>
          </cell>
          <cell r="F11">
            <v>0</v>
          </cell>
          <cell r="G11">
            <v>8164</v>
          </cell>
          <cell r="H11">
            <v>90856399</v>
          </cell>
          <cell r="I11">
            <v>0</v>
          </cell>
          <cell r="J11">
            <v>684573305</v>
          </cell>
          <cell r="K11">
            <v>0</v>
          </cell>
          <cell r="L11">
            <v>0</v>
          </cell>
          <cell r="Q11">
            <v>582</v>
          </cell>
          <cell r="R11">
            <v>65766484</v>
          </cell>
        </row>
        <row r="12">
          <cell r="B12" t="str">
            <v>R_Law Enforcement Officers_Correct Groups</v>
          </cell>
          <cell r="C12">
            <v>0</v>
          </cell>
          <cell r="D12">
            <v>0</v>
          </cell>
          <cell r="E12">
            <v>0</v>
          </cell>
          <cell r="F12">
            <v>0</v>
          </cell>
          <cell r="G12">
            <v>2305</v>
          </cell>
          <cell r="H12">
            <v>68989420</v>
          </cell>
          <cell r="I12">
            <v>0</v>
          </cell>
          <cell r="J12">
            <v>729435853</v>
          </cell>
          <cell r="K12">
            <v>0</v>
          </cell>
          <cell r="L12">
            <v>0</v>
          </cell>
          <cell r="Q12">
            <v>117</v>
          </cell>
          <cell r="R12">
            <v>46867923</v>
          </cell>
        </row>
        <row r="13">
          <cell r="B13" t="str">
            <v>B_Law Enforcement Officers_Correct Groups</v>
          </cell>
          <cell r="C13">
            <v>0</v>
          </cell>
          <cell r="D13">
            <v>0</v>
          </cell>
          <cell r="E13">
            <v>0</v>
          </cell>
          <cell r="F13">
            <v>0</v>
          </cell>
          <cell r="G13">
            <v>351</v>
          </cell>
          <cell r="H13">
            <v>6667848</v>
          </cell>
          <cell r="I13">
            <v>0</v>
          </cell>
          <cell r="J13">
            <v>55496132</v>
          </cell>
          <cell r="K13">
            <v>0</v>
          </cell>
          <cell r="L13">
            <v>0</v>
          </cell>
          <cell r="Q13">
            <v>24</v>
          </cell>
          <cell r="R13">
            <v>3906564</v>
          </cell>
        </row>
        <row r="14">
          <cell r="C14">
            <v>158280</v>
          </cell>
          <cell r="D14">
            <v>7352563851</v>
          </cell>
          <cell r="E14">
            <v>42.69</v>
          </cell>
          <cell r="F14">
            <v>9.5500000000000007</v>
          </cell>
          <cell r="G14">
            <v>0</v>
          </cell>
          <cell r="H14">
            <v>0</v>
          </cell>
          <cell r="I14">
            <v>23819634824</v>
          </cell>
          <cell r="J14">
            <v>0</v>
          </cell>
          <cell r="K14">
            <v>14437889332</v>
          </cell>
          <cell r="L14">
            <v>75498348832</v>
          </cell>
        </row>
        <row r="15">
          <cell r="C15">
            <v>158280</v>
          </cell>
          <cell r="D15">
            <v>7352563851</v>
          </cell>
          <cell r="E15">
            <v>42.69</v>
          </cell>
          <cell r="F15">
            <v>9.5500000000000007</v>
          </cell>
          <cell r="G15">
            <v>0</v>
          </cell>
          <cell r="H15">
            <v>0</v>
          </cell>
          <cell r="I15">
            <v>23779377466</v>
          </cell>
          <cell r="J15">
            <v>0</v>
          </cell>
          <cell r="K15">
            <v>13448637501</v>
          </cell>
          <cell r="L15">
            <v>75498348832</v>
          </cell>
        </row>
        <row r="16">
          <cell r="C16">
            <v>163725</v>
          </cell>
          <cell r="D16">
            <v>7144162762</v>
          </cell>
          <cell r="E16">
            <v>46.26</v>
          </cell>
          <cell r="F16">
            <v>10.06</v>
          </cell>
          <cell r="G16">
            <v>0</v>
          </cell>
          <cell r="H16">
            <v>0</v>
          </cell>
          <cell r="I16">
            <v>17892240462</v>
          </cell>
          <cell r="J16">
            <v>0</v>
          </cell>
          <cell r="K16">
            <v>12494243353</v>
          </cell>
          <cell r="L16">
            <v>55502792525</v>
          </cell>
        </row>
        <row r="17">
          <cell r="C17">
            <v>163725</v>
          </cell>
          <cell r="D17">
            <v>7144162762</v>
          </cell>
          <cell r="E17">
            <v>46.26</v>
          </cell>
          <cell r="F17">
            <v>10.06</v>
          </cell>
          <cell r="G17">
            <v>0</v>
          </cell>
          <cell r="H17">
            <v>0</v>
          </cell>
          <cell r="I17">
            <v>17892613332</v>
          </cell>
          <cell r="J17">
            <v>0</v>
          </cell>
          <cell r="K17">
            <v>12264442955</v>
          </cell>
          <cell r="L17">
            <v>55502792525</v>
          </cell>
        </row>
        <row r="18">
          <cell r="C18">
            <v>3585</v>
          </cell>
          <cell r="D18">
            <v>208161658</v>
          </cell>
          <cell r="E18">
            <v>39.549999999999997</v>
          </cell>
          <cell r="F18">
            <v>12.51</v>
          </cell>
          <cell r="G18">
            <v>0</v>
          </cell>
          <cell r="H18">
            <v>0</v>
          </cell>
          <cell r="I18">
            <v>709993053</v>
          </cell>
          <cell r="J18">
            <v>0</v>
          </cell>
          <cell r="K18">
            <v>487308926</v>
          </cell>
          <cell r="L18">
            <v>1991200451</v>
          </cell>
        </row>
        <row r="19">
          <cell r="C19">
            <v>3585</v>
          </cell>
          <cell r="D19">
            <v>208161658</v>
          </cell>
          <cell r="E19">
            <v>39.549999999999997</v>
          </cell>
          <cell r="F19">
            <v>12.51</v>
          </cell>
          <cell r="G19">
            <v>0</v>
          </cell>
          <cell r="H19">
            <v>0</v>
          </cell>
          <cell r="I19">
            <v>710162344</v>
          </cell>
          <cell r="J19">
            <v>0</v>
          </cell>
          <cell r="K19">
            <v>465981825</v>
          </cell>
          <cell r="L19">
            <v>1991200451</v>
          </cell>
        </row>
        <row r="20">
          <cell r="C20">
            <v>0</v>
          </cell>
          <cell r="D20">
            <v>0</v>
          </cell>
          <cell r="E20">
            <v>0</v>
          </cell>
          <cell r="F20">
            <v>0</v>
          </cell>
          <cell r="G20">
            <v>67797</v>
          </cell>
          <cell r="H20">
            <v>1828374369</v>
          </cell>
          <cell r="I20">
            <v>0</v>
          </cell>
          <cell r="J20">
            <v>15795012410</v>
          </cell>
          <cell r="K20">
            <v>0</v>
          </cell>
          <cell r="L20">
            <v>0</v>
          </cell>
        </row>
        <row r="21">
          <cell r="C21">
            <v>0</v>
          </cell>
          <cell r="D21">
            <v>0</v>
          </cell>
          <cell r="E21">
            <v>0</v>
          </cell>
          <cell r="F21">
            <v>0</v>
          </cell>
          <cell r="G21">
            <v>3747</v>
          </cell>
          <cell r="H21">
            <v>63000195</v>
          </cell>
          <cell r="I21">
            <v>0</v>
          </cell>
          <cell r="J21">
            <v>502239868</v>
          </cell>
          <cell r="K21">
            <v>0</v>
          </cell>
          <cell r="L21">
            <v>0</v>
          </cell>
        </row>
        <row r="22">
          <cell r="C22">
            <v>0</v>
          </cell>
          <cell r="D22">
            <v>0</v>
          </cell>
          <cell r="E22">
            <v>0</v>
          </cell>
          <cell r="F22">
            <v>0</v>
          </cell>
          <cell r="G22">
            <v>69236</v>
          </cell>
          <cell r="H22">
            <v>1214581245</v>
          </cell>
          <cell r="I22">
            <v>0</v>
          </cell>
          <cell r="J22">
            <v>10286321871</v>
          </cell>
          <cell r="K22">
            <v>0</v>
          </cell>
          <cell r="L22">
            <v>0</v>
          </cell>
        </row>
        <row r="23">
          <cell r="C23">
            <v>0</v>
          </cell>
          <cell r="D23">
            <v>0</v>
          </cell>
          <cell r="E23">
            <v>0</v>
          </cell>
          <cell r="F23">
            <v>0</v>
          </cell>
          <cell r="G23">
            <v>7895</v>
          </cell>
          <cell r="H23">
            <v>86412178</v>
          </cell>
          <cell r="I23">
            <v>0</v>
          </cell>
          <cell r="J23">
            <v>685870622</v>
          </cell>
          <cell r="K23">
            <v>0</v>
          </cell>
          <cell r="L23">
            <v>0</v>
          </cell>
        </row>
        <row r="24">
          <cell r="C24">
            <v>0</v>
          </cell>
          <cell r="D24">
            <v>0</v>
          </cell>
          <cell r="E24">
            <v>0</v>
          </cell>
          <cell r="F24">
            <v>0</v>
          </cell>
          <cell r="G24">
            <v>2312</v>
          </cell>
          <cell r="H24">
            <v>66868780</v>
          </cell>
          <cell r="I24">
            <v>0</v>
          </cell>
          <cell r="J24">
            <v>696905219</v>
          </cell>
          <cell r="K24">
            <v>0</v>
          </cell>
          <cell r="L24">
            <v>0</v>
          </cell>
        </row>
        <row r="25">
          <cell r="C25">
            <v>0</v>
          </cell>
          <cell r="D25">
            <v>0</v>
          </cell>
          <cell r="E25">
            <v>0</v>
          </cell>
          <cell r="F25">
            <v>0</v>
          </cell>
          <cell r="G25">
            <v>333</v>
          </cell>
          <cell r="H25">
            <v>6393815</v>
          </cell>
          <cell r="I25">
            <v>0</v>
          </cell>
          <cell r="J25">
            <v>55424703</v>
          </cell>
          <cell r="K25">
            <v>0</v>
          </cell>
          <cell r="L25">
            <v>0</v>
          </cell>
        </row>
        <row r="26">
          <cell r="C26">
            <v>0</v>
          </cell>
          <cell r="D26">
            <v>0</v>
          </cell>
          <cell r="E26">
            <v>0</v>
          </cell>
          <cell r="F26">
            <v>0</v>
          </cell>
          <cell r="G26">
            <v>95210</v>
          </cell>
          <cell r="H26">
            <v>0</v>
          </cell>
          <cell r="I26">
            <v>0</v>
          </cell>
          <cell r="J26">
            <v>1582972206</v>
          </cell>
          <cell r="K26">
            <v>0</v>
          </cell>
          <cell r="L26">
            <v>0</v>
          </cell>
        </row>
        <row r="27">
          <cell r="B27" t="str">
            <v>A_Teachers_Experience</v>
          </cell>
          <cell r="C27">
            <v>153655</v>
          </cell>
          <cell r="D27">
            <v>7206757480</v>
          </cell>
          <cell r="E27">
            <v>43.12</v>
          </cell>
          <cell r="F27">
            <v>10.039999999999999</v>
          </cell>
          <cell r="G27">
            <v>0</v>
          </cell>
          <cell r="H27">
            <v>0</v>
          </cell>
          <cell r="I27">
            <v>23569531706</v>
          </cell>
          <cell r="J27">
            <v>0</v>
          </cell>
          <cell r="K27">
            <v>13487490542</v>
          </cell>
          <cell r="L27">
            <v>73031092632</v>
          </cell>
          <cell r="M27">
            <v>92765667</v>
          </cell>
        </row>
        <row r="28">
          <cell r="B28" t="str">
            <v>A_Teachers_Salary Scale</v>
          </cell>
          <cell r="C28">
            <v>153655</v>
          </cell>
          <cell r="D28">
            <v>7031428163</v>
          </cell>
          <cell r="E28">
            <v>43.12</v>
          </cell>
          <cell r="F28">
            <v>10.039999999999999</v>
          </cell>
          <cell r="G28">
            <v>0</v>
          </cell>
          <cell r="H28">
            <v>0</v>
          </cell>
          <cell r="I28">
            <v>20864595038</v>
          </cell>
          <cell r="J28">
            <v>0</v>
          </cell>
          <cell r="K28">
            <v>13272238209</v>
          </cell>
          <cell r="L28">
            <v>63488124120</v>
          </cell>
          <cell r="M28">
            <v>87809185</v>
          </cell>
        </row>
        <row r="29">
          <cell r="B29" t="str">
            <v>A_Teachers_Sal + Inflation</v>
          </cell>
          <cell r="C29">
            <v>153655</v>
          </cell>
          <cell r="D29">
            <v>7014484962</v>
          </cell>
          <cell r="E29">
            <v>43.12</v>
          </cell>
          <cell r="F29">
            <v>10.039999999999999</v>
          </cell>
          <cell r="G29">
            <v>0</v>
          </cell>
          <cell r="H29">
            <v>0</v>
          </cell>
          <cell r="I29">
            <v>20363296476</v>
          </cell>
          <cell r="J29">
            <v>0</v>
          </cell>
          <cell r="K29">
            <v>13129152075</v>
          </cell>
          <cell r="L29">
            <v>62235655098</v>
          </cell>
          <cell r="M29">
            <v>87487468</v>
          </cell>
        </row>
        <row r="30">
          <cell r="B30" t="str">
            <v>A_Teachers_Mortality</v>
          </cell>
          <cell r="C30">
            <v>153655</v>
          </cell>
          <cell r="D30">
            <v>7014484962</v>
          </cell>
          <cell r="E30">
            <v>43.12</v>
          </cell>
          <cell r="F30">
            <v>10.039999999999999</v>
          </cell>
          <cell r="G30">
            <v>0</v>
          </cell>
          <cell r="H30">
            <v>0</v>
          </cell>
          <cell r="I30">
            <v>20217818010</v>
          </cell>
          <cell r="J30">
            <v>0</v>
          </cell>
          <cell r="K30">
            <v>13055653410</v>
          </cell>
          <cell r="L30">
            <v>62157527278</v>
          </cell>
          <cell r="M30">
            <v>95186882</v>
          </cell>
        </row>
        <row r="31">
          <cell r="B31" t="str">
            <v>A_Teachers_Ret/Term</v>
          </cell>
          <cell r="C31">
            <v>153655</v>
          </cell>
          <cell r="D31">
            <v>7014484962</v>
          </cell>
          <cell r="E31">
            <v>43.12</v>
          </cell>
          <cell r="F31">
            <v>10.039999999999999</v>
          </cell>
          <cell r="G31">
            <v>0</v>
          </cell>
          <cell r="H31">
            <v>0</v>
          </cell>
          <cell r="I31">
            <v>19957724426</v>
          </cell>
          <cell r="J31">
            <v>0</v>
          </cell>
          <cell r="K31">
            <v>13154146522</v>
          </cell>
          <cell r="L31">
            <v>60188965174</v>
          </cell>
          <cell r="M31">
            <v>123151983</v>
          </cell>
        </row>
        <row r="32">
          <cell r="C32">
            <v>153467</v>
          </cell>
          <cell r="D32">
            <v>7197630199</v>
          </cell>
          <cell r="E32">
            <v>43.12</v>
          </cell>
          <cell r="F32">
            <v>10.050000000000001</v>
          </cell>
          <cell r="G32">
            <v>0</v>
          </cell>
          <cell r="H32">
            <v>0</v>
          </cell>
          <cell r="I32">
            <v>23550895685</v>
          </cell>
          <cell r="J32">
            <v>0</v>
          </cell>
          <cell r="K32">
            <v>13483210188</v>
          </cell>
          <cell r="L32">
            <v>72936824302</v>
          </cell>
          <cell r="M32">
            <v>92419781</v>
          </cell>
        </row>
        <row r="33">
          <cell r="B33" t="str">
            <v>A_Teachers_Fix Disability</v>
          </cell>
          <cell r="C33">
            <v>153467</v>
          </cell>
          <cell r="D33">
            <v>7005852310</v>
          </cell>
          <cell r="E33">
            <v>43.12</v>
          </cell>
          <cell r="F33">
            <v>10.050000000000001</v>
          </cell>
          <cell r="G33">
            <v>0</v>
          </cell>
          <cell r="H33">
            <v>0</v>
          </cell>
          <cell r="I33">
            <v>19945674363</v>
          </cell>
          <cell r="J33">
            <v>0</v>
          </cell>
          <cell r="K33">
            <v>13149793146</v>
          </cell>
          <cell r="L33">
            <v>60128785087</v>
          </cell>
          <cell r="M33">
            <v>122721608</v>
          </cell>
        </row>
        <row r="34">
          <cell r="B34" t="str">
            <v>A_Teachers_Correct Groups</v>
          </cell>
          <cell r="C34">
            <v>150859</v>
          </cell>
          <cell r="D34">
            <v>6918855488</v>
          </cell>
          <cell r="E34">
            <v>43.17</v>
          </cell>
          <cell r="F34">
            <v>10.26</v>
          </cell>
          <cell r="G34">
            <v>0</v>
          </cell>
          <cell r="H34">
            <v>0</v>
          </cell>
          <cell r="I34">
            <v>19580066257</v>
          </cell>
          <cell r="J34">
            <v>0</v>
          </cell>
          <cell r="K34">
            <v>12826185116</v>
          </cell>
          <cell r="L34">
            <v>59749832108</v>
          </cell>
          <cell r="M34">
            <v>115046171</v>
          </cell>
        </row>
        <row r="35">
          <cell r="B35" t="str">
            <v>A_Teachers_Adder</v>
          </cell>
          <cell r="C35">
            <v>150859</v>
          </cell>
          <cell r="D35">
            <v>6918855488</v>
          </cell>
          <cell r="E35">
            <v>43.17</v>
          </cell>
          <cell r="F35">
            <v>10.26</v>
          </cell>
          <cell r="G35">
            <v>0</v>
          </cell>
          <cell r="H35">
            <v>0</v>
          </cell>
          <cell r="I35">
            <v>19588060016</v>
          </cell>
          <cell r="J35">
            <v>0</v>
          </cell>
          <cell r="K35">
            <v>12829797938</v>
          </cell>
          <cell r="L35">
            <v>59749832108</v>
          </cell>
          <cell r="M35">
            <v>115046171</v>
          </cell>
        </row>
        <row r="36">
          <cell r="B36" t="str">
            <v>A_Teachers_Experience_NC</v>
          </cell>
          <cell r="C36">
            <v>153655</v>
          </cell>
          <cell r="D36">
            <v>7206757480</v>
          </cell>
          <cell r="E36">
            <v>43.12</v>
          </cell>
          <cell r="F36">
            <v>10.039999999999999</v>
          </cell>
          <cell r="G36">
            <v>0</v>
          </cell>
          <cell r="H36">
            <v>0</v>
          </cell>
          <cell r="I36">
            <v>23467039422</v>
          </cell>
          <cell r="J36">
            <v>0</v>
          </cell>
          <cell r="K36">
            <v>13451761762</v>
          </cell>
          <cell r="L36">
            <v>73031092632</v>
          </cell>
          <cell r="M36">
            <v>92765667</v>
          </cell>
        </row>
        <row r="37">
          <cell r="B37" t="str">
            <v>A_Teachers_Salary Scale_NC</v>
          </cell>
          <cell r="C37">
            <v>153655</v>
          </cell>
          <cell r="D37">
            <v>7031428163</v>
          </cell>
          <cell r="E37">
            <v>43.12</v>
          </cell>
          <cell r="F37">
            <v>10.039999999999999</v>
          </cell>
          <cell r="G37">
            <v>0</v>
          </cell>
          <cell r="H37">
            <v>0</v>
          </cell>
          <cell r="I37">
            <v>20777835440</v>
          </cell>
          <cell r="J37">
            <v>0</v>
          </cell>
          <cell r="K37">
            <v>13227044560</v>
          </cell>
          <cell r="L37">
            <v>63488124120</v>
          </cell>
          <cell r="M37">
            <v>87809185</v>
          </cell>
        </row>
        <row r="38">
          <cell r="B38" t="str">
            <v>A_Teachers_Sal + Inflation_NC</v>
          </cell>
          <cell r="C38">
            <v>153655</v>
          </cell>
          <cell r="D38">
            <v>7014484962</v>
          </cell>
          <cell r="E38">
            <v>43.12</v>
          </cell>
          <cell r="F38">
            <v>10.039999999999999</v>
          </cell>
          <cell r="G38">
            <v>0</v>
          </cell>
          <cell r="H38">
            <v>0</v>
          </cell>
          <cell r="I38">
            <v>20281454185</v>
          </cell>
          <cell r="J38">
            <v>0</v>
          </cell>
          <cell r="K38">
            <v>13084867871</v>
          </cell>
          <cell r="L38">
            <v>62235655098</v>
          </cell>
          <cell r="M38">
            <v>87487468</v>
          </cell>
        </row>
        <row r="39">
          <cell r="B39" t="str">
            <v>A_Teachers_Mortality_NC</v>
          </cell>
          <cell r="C39">
            <v>153655</v>
          </cell>
          <cell r="D39">
            <v>7014484962</v>
          </cell>
          <cell r="E39">
            <v>43.12</v>
          </cell>
          <cell r="F39">
            <v>10.039999999999999</v>
          </cell>
          <cell r="G39">
            <v>0</v>
          </cell>
          <cell r="H39">
            <v>0</v>
          </cell>
          <cell r="I39">
            <v>20136231488</v>
          </cell>
          <cell r="J39">
            <v>0</v>
          </cell>
          <cell r="K39">
            <v>13010757429</v>
          </cell>
          <cell r="L39">
            <v>62157527278</v>
          </cell>
          <cell r="M39">
            <v>95186882</v>
          </cell>
        </row>
        <row r="40">
          <cell r="B40" t="str">
            <v>A_Teachers_Ret/Term_NC</v>
          </cell>
          <cell r="C40">
            <v>153655</v>
          </cell>
          <cell r="D40">
            <v>7014484962</v>
          </cell>
          <cell r="E40">
            <v>43.12</v>
          </cell>
          <cell r="F40">
            <v>10.039999999999999</v>
          </cell>
          <cell r="G40">
            <v>0</v>
          </cell>
          <cell r="H40">
            <v>0</v>
          </cell>
          <cell r="I40">
            <v>19876720015</v>
          </cell>
          <cell r="J40">
            <v>0</v>
          </cell>
          <cell r="K40">
            <v>13110591511</v>
          </cell>
          <cell r="L40">
            <v>60188965174</v>
          </cell>
          <cell r="M40">
            <v>123151983</v>
          </cell>
        </row>
        <row r="41">
          <cell r="C41">
            <v>153467</v>
          </cell>
          <cell r="D41">
            <v>7197630199</v>
          </cell>
          <cell r="E41">
            <v>43.12</v>
          </cell>
          <cell r="F41">
            <v>10.050000000000001</v>
          </cell>
          <cell r="G41">
            <v>0</v>
          </cell>
          <cell r="H41">
            <v>0</v>
          </cell>
          <cell r="I41">
            <v>23448623732</v>
          </cell>
          <cell r="J41">
            <v>0</v>
          </cell>
          <cell r="K41">
            <v>13447595354</v>
          </cell>
          <cell r="L41">
            <v>72936824302</v>
          </cell>
          <cell r="M41">
            <v>92419781</v>
          </cell>
        </row>
        <row r="42">
          <cell r="B42" t="str">
            <v>A_Teachers_Fix Disability_NC</v>
          </cell>
          <cell r="C42">
            <v>153467</v>
          </cell>
          <cell r="D42">
            <v>7005852310</v>
          </cell>
          <cell r="E42">
            <v>43.12</v>
          </cell>
          <cell r="F42">
            <v>10.050000000000001</v>
          </cell>
          <cell r="G42">
            <v>0</v>
          </cell>
          <cell r="H42">
            <v>0</v>
          </cell>
          <cell r="I42">
            <v>19864939374</v>
          </cell>
          <cell r="J42">
            <v>0</v>
          </cell>
          <cell r="K42">
            <v>13106428115</v>
          </cell>
          <cell r="L42">
            <v>60128785087</v>
          </cell>
          <cell r="M42">
            <v>122721608</v>
          </cell>
        </row>
        <row r="43">
          <cell r="B43" t="str">
            <v>A_Teachers_Correct Groups_NC</v>
          </cell>
          <cell r="C43">
            <v>150859</v>
          </cell>
          <cell r="D43">
            <v>6918855488</v>
          </cell>
          <cell r="E43">
            <v>43.17</v>
          </cell>
          <cell r="F43">
            <v>10.26</v>
          </cell>
          <cell r="G43">
            <v>0</v>
          </cell>
          <cell r="H43">
            <v>0</v>
          </cell>
          <cell r="I43">
            <v>19498140919</v>
          </cell>
          <cell r="J43">
            <v>0</v>
          </cell>
          <cell r="K43">
            <v>12783002871</v>
          </cell>
          <cell r="L43">
            <v>59749832108</v>
          </cell>
          <cell r="M43">
            <v>115046171</v>
          </cell>
        </row>
        <row r="44">
          <cell r="B44" t="str">
            <v>A_Teachers_Adder_NC</v>
          </cell>
          <cell r="C44">
            <v>150859</v>
          </cell>
          <cell r="D44">
            <v>6918855488</v>
          </cell>
          <cell r="E44">
            <v>43.17</v>
          </cell>
          <cell r="F44">
            <v>10.26</v>
          </cell>
          <cell r="G44">
            <v>0</v>
          </cell>
          <cell r="H44">
            <v>0</v>
          </cell>
          <cell r="I44">
            <v>19506090462</v>
          </cell>
          <cell r="J44">
            <v>0</v>
          </cell>
          <cell r="K44">
            <v>12786592978</v>
          </cell>
          <cell r="L44">
            <v>59749832108</v>
          </cell>
          <cell r="M44">
            <v>115046171</v>
          </cell>
        </row>
        <row r="45">
          <cell r="B45" t="str">
            <v>A_General_Experience</v>
          </cell>
          <cell r="C45">
            <v>159781</v>
          </cell>
          <cell r="D45">
            <v>7114432763</v>
          </cell>
          <cell r="E45">
            <v>46.72</v>
          </cell>
          <cell r="F45">
            <v>10.46</v>
          </cell>
          <cell r="G45">
            <v>0</v>
          </cell>
          <cell r="H45">
            <v>0</v>
          </cell>
          <cell r="I45">
            <v>18203682438</v>
          </cell>
          <cell r="J45">
            <v>0</v>
          </cell>
          <cell r="K45">
            <v>12613304977</v>
          </cell>
          <cell r="L45">
            <v>54952076045</v>
          </cell>
          <cell r="M45">
            <v>103539098</v>
          </cell>
        </row>
        <row r="46">
          <cell r="B46" t="str">
            <v>A_General_Salary Scale</v>
          </cell>
          <cell r="C46">
            <v>159781</v>
          </cell>
          <cell r="D46">
            <v>7151946343</v>
          </cell>
          <cell r="E46">
            <v>46.72</v>
          </cell>
          <cell r="F46">
            <v>10.46</v>
          </cell>
          <cell r="G46">
            <v>0</v>
          </cell>
          <cell r="H46">
            <v>0</v>
          </cell>
          <cell r="I46">
            <v>19533447144</v>
          </cell>
          <cell r="J46">
            <v>0</v>
          </cell>
          <cell r="K46">
            <v>13177909460</v>
          </cell>
          <cell r="L46">
            <v>57699590162</v>
          </cell>
          <cell r="M46">
            <v>103769396</v>
          </cell>
        </row>
        <row r="47">
          <cell r="B47" t="str">
            <v>A_General_Sal + Inflation</v>
          </cell>
          <cell r="C47">
            <v>159781</v>
          </cell>
          <cell r="D47">
            <v>7134712737</v>
          </cell>
          <cell r="E47">
            <v>46.72</v>
          </cell>
          <cell r="F47">
            <v>10.46</v>
          </cell>
          <cell r="G47">
            <v>0</v>
          </cell>
          <cell r="H47">
            <v>0</v>
          </cell>
          <cell r="I47">
            <v>19109763266</v>
          </cell>
          <cell r="J47">
            <v>0</v>
          </cell>
          <cell r="K47">
            <v>13029805429</v>
          </cell>
          <cell r="L47">
            <v>56654965178</v>
          </cell>
          <cell r="M47">
            <v>103426819</v>
          </cell>
        </row>
        <row r="48">
          <cell r="B48" t="str">
            <v>A_General_Mortality</v>
          </cell>
          <cell r="C48">
            <v>159781</v>
          </cell>
          <cell r="D48">
            <v>7134712737</v>
          </cell>
          <cell r="E48">
            <v>46.72</v>
          </cell>
          <cell r="F48">
            <v>10.46</v>
          </cell>
          <cell r="G48">
            <v>0</v>
          </cell>
          <cell r="H48">
            <v>0</v>
          </cell>
          <cell r="I48">
            <v>19115272373</v>
          </cell>
          <cell r="J48">
            <v>0</v>
          </cell>
          <cell r="K48">
            <v>13039659317</v>
          </cell>
          <cell r="L48">
            <v>56709388710</v>
          </cell>
          <cell r="M48">
            <v>108298032</v>
          </cell>
        </row>
        <row r="49">
          <cell r="B49" t="str">
            <v>A_General_Ret/Term</v>
          </cell>
          <cell r="C49">
            <v>159781</v>
          </cell>
          <cell r="D49">
            <v>7134712737</v>
          </cell>
          <cell r="E49">
            <v>46.72</v>
          </cell>
          <cell r="F49">
            <v>10.46</v>
          </cell>
          <cell r="G49">
            <v>0</v>
          </cell>
          <cell r="H49">
            <v>0</v>
          </cell>
          <cell r="I49">
            <v>19247203427</v>
          </cell>
          <cell r="J49">
            <v>0</v>
          </cell>
          <cell r="K49">
            <v>13239890937</v>
          </cell>
          <cell r="L49">
            <v>55866842806</v>
          </cell>
          <cell r="M49">
            <v>125142335</v>
          </cell>
        </row>
        <row r="50">
          <cell r="C50">
            <v>159651</v>
          </cell>
          <cell r="D50">
            <v>7110676919</v>
          </cell>
          <cell r="E50">
            <v>46.72</v>
          </cell>
          <cell r="F50">
            <v>10.46</v>
          </cell>
          <cell r="G50">
            <v>0</v>
          </cell>
          <cell r="H50">
            <v>0</v>
          </cell>
          <cell r="I50">
            <v>18198100018</v>
          </cell>
          <cell r="J50">
            <v>0</v>
          </cell>
          <cell r="K50">
            <v>12610873553</v>
          </cell>
          <cell r="L50">
            <v>54923724595</v>
          </cell>
          <cell r="M50">
            <v>103397350</v>
          </cell>
        </row>
        <row r="51">
          <cell r="B51" t="str">
            <v>A_General_Fix Disability</v>
          </cell>
          <cell r="C51">
            <v>159651</v>
          </cell>
          <cell r="D51">
            <v>7130956094</v>
          </cell>
          <cell r="E51">
            <v>46.72</v>
          </cell>
          <cell r="F51">
            <v>10.46</v>
          </cell>
          <cell r="G51">
            <v>0</v>
          </cell>
          <cell r="H51">
            <v>0</v>
          </cell>
          <cell r="I51">
            <v>19241524845</v>
          </cell>
          <cell r="J51">
            <v>0</v>
          </cell>
          <cell r="K51">
            <v>13237330356</v>
          </cell>
          <cell r="L51">
            <v>55839904506</v>
          </cell>
          <cell r="M51">
            <v>124967543</v>
          </cell>
        </row>
        <row r="52">
          <cell r="B52" t="str">
            <v>A_General_Correct Groups</v>
          </cell>
          <cell r="C52">
            <v>113353</v>
          </cell>
          <cell r="D52">
            <v>5214530027</v>
          </cell>
          <cell r="E52">
            <v>45.8</v>
          </cell>
          <cell r="F52">
            <v>10.06</v>
          </cell>
          <cell r="G52">
            <v>0</v>
          </cell>
          <cell r="H52">
            <v>0</v>
          </cell>
          <cell r="I52">
            <v>13720494939</v>
          </cell>
          <cell r="J52">
            <v>0</v>
          </cell>
          <cell r="K52">
            <v>9257315997</v>
          </cell>
          <cell r="L52">
            <v>41545877871</v>
          </cell>
          <cell r="M52">
            <v>101993763</v>
          </cell>
        </row>
        <row r="53">
          <cell r="B53" t="str">
            <v>A_General_Adder</v>
          </cell>
          <cell r="C53">
            <v>113353</v>
          </cell>
          <cell r="D53">
            <v>5214530027</v>
          </cell>
          <cell r="E53">
            <v>45.8</v>
          </cell>
          <cell r="F53">
            <v>10.06</v>
          </cell>
          <cell r="G53">
            <v>0</v>
          </cell>
          <cell r="H53">
            <v>0</v>
          </cell>
          <cell r="I53">
            <v>13666035001</v>
          </cell>
          <cell r="J53">
            <v>0</v>
          </cell>
          <cell r="K53">
            <v>9216800399</v>
          </cell>
          <cell r="L53">
            <v>41545877871</v>
          </cell>
          <cell r="M53">
            <v>101993763</v>
          </cell>
        </row>
        <row r="54">
          <cell r="B54" t="str">
            <v>A_General_Experience_NC</v>
          </cell>
          <cell r="C54">
            <v>159781</v>
          </cell>
          <cell r="D54">
            <v>7114432763</v>
          </cell>
          <cell r="E54">
            <v>46.72</v>
          </cell>
          <cell r="F54">
            <v>10.46</v>
          </cell>
          <cell r="G54">
            <v>0</v>
          </cell>
          <cell r="H54">
            <v>0</v>
          </cell>
          <cell r="I54">
            <v>18171747316</v>
          </cell>
          <cell r="J54">
            <v>0</v>
          </cell>
          <cell r="K54">
            <v>12595741783</v>
          </cell>
          <cell r="L54">
            <v>54952076045</v>
          </cell>
          <cell r="M54">
            <v>103539098</v>
          </cell>
        </row>
        <row r="55">
          <cell r="B55" t="str">
            <v>A_General_Salary Scale_NC</v>
          </cell>
          <cell r="C55">
            <v>159781</v>
          </cell>
          <cell r="D55">
            <v>7151946343</v>
          </cell>
          <cell r="E55">
            <v>46.72</v>
          </cell>
          <cell r="F55">
            <v>10.46</v>
          </cell>
          <cell r="G55">
            <v>0</v>
          </cell>
          <cell r="H55">
            <v>0</v>
          </cell>
          <cell r="I55">
            <v>19484163138</v>
          </cell>
          <cell r="J55">
            <v>0</v>
          </cell>
          <cell r="K55">
            <v>13153737609</v>
          </cell>
          <cell r="L55">
            <v>57699590162</v>
          </cell>
          <cell r="M55">
            <v>103769396</v>
          </cell>
        </row>
        <row r="56">
          <cell r="B56" t="str">
            <v>A_General_Sal + Inflation_NC</v>
          </cell>
          <cell r="C56">
            <v>159781</v>
          </cell>
          <cell r="D56">
            <v>7134712737</v>
          </cell>
          <cell r="E56">
            <v>46.72</v>
          </cell>
          <cell r="F56">
            <v>10.46</v>
          </cell>
          <cell r="G56">
            <v>0</v>
          </cell>
          <cell r="H56">
            <v>0</v>
          </cell>
          <cell r="I56">
            <v>19064846506</v>
          </cell>
          <cell r="J56">
            <v>0</v>
          </cell>
          <cell r="K56">
            <v>13005391127</v>
          </cell>
          <cell r="L56">
            <v>56654965178</v>
          </cell>
          <cell r="M56">
            <v>103426819</v>
          </cell>
        </row>
        <row r="57">
          <cell r="B57" t="str">
            <v>A_General_Mortality_NC</v>
          </cell>
          <cell r="C57">
            <v>159781</v>
          </cell>
          <cell r="D57">
            <v>7134712737</v>
          </cell>
          <cell r="E57">
            <v>46.72</v>
          </cell>
          <cell r="F57">
            <v>10.46</v>
          </cell>
          <cell r="G57">
            <v>0</v>
          </cell>
          <cell r="H57">
            <v>0</v>
          </cell>
          <cell r="I57">
            <v>19070367058</v>
          </cell>
          <cell r="J57">
            <v>0</v>
          </cell>
          <cell r="K57">
            <v>13015172563</v>
          </cell>
          <cell r="L57">
            <v>56709388710</v>
          </cell>
          <cell r="M57">
            <v>108298032</v>
          </cell>
        </row>
        <row r="58">
          <cell r="B58" t="str">
            <v>A_General_Ret/Term_NC</v>
          </cell>
          <cell r="C58">
            <v>159781</v>
          </cell>
          <cell r="D58">
            <v>7134712737</v>
          </cell>
          <cell r="E58">
            <v>46.72</v>
          </cell>
          <cell r="F58">
            <v>10.46</v>
          </cell>
          <cell r="G58">
            <v>0</v>
          </cell>
          <cell r="H58">
            <v>0</v>
          </cell>
          <cell r="I58">
            <v>19202033004</v>
          </cell>
          <cell r="J58">
            <v>0</v>
          </cell>
          <cell r="K58">
            <v>13214139486</v>
          </cell>
          <cell r="L58">
            <v>55866842806</v>
          </cell>
          <cell r="M58">
            <v>125142335</v>
          </cell>
        </row>
        <row r="59">
          <cell r="C59">
            <v>159651</v>
          </cell>
          <cell r="D59">
            <v>7110676919</v>
          </cell>
          <cell r="E59">
            <v>46.72</v>
          </cell>
          <cell r="F59">
            <v>10.46</v>
          </cell>
          <cell r="G59">
            <v>0</v>
          </cell>
          <cell r="H59">
            <v>0</v>
          </cell>
          <cell r="I59">
            <v>18166220750</v>
          </cell>
          <cell r="J59">
            <v>0</v>
          </cell>
          <cell r="K59">
            <v>12593310831</v>
          </cell>
          <cell r="L59">
            <v>54923724595</v>
          </cell>
          <cell r="M59">
            <v>103397350</v>
          </cell>
        </row>
        <row r="60">
          <cell r="B60" t="str">
            <v>A_General_Fix Disability_NC</v>
          </cell>
          <cell r="C60">
            <v>159651</v>
          </cell>
          <cell r="D60">
            <v>7130956094</v>
          </cell>
          <cell r="E60">
            <v>46.72</v>
          </cell>
          <cell r="F60">
            <v>10.46</v>
          </cell>
          <cell r="G60">
            <v>0</v>
          </cell>
          <cell r="H60">
            <v>0</v>
          </cell>
          <cell r="I60">
            <v>19196422939</v>
          </cell>
          <cell r="J60">
            <v>0</v>
          </cell>
          <cell r="K60">
            <v>13211593932</v>
          </cell>
          <cell r="L60">
            <v>55839904506</v>
          </cell>
          <cell r="M60">
            <v>124967543</v>
          </cell>
        </row>
        <row r="61">
          <cell r="B61" t="str">
            <v>A_General_Correct Groups_NC</v>
          </cell>
          <cell r="C61">
            <v>113353</v>
          </cell>
          <cell r="D61">
            <v>5214530027</v>
          </cell>
          <cell r="E61">
            <v>45.8</v>
          </cell>
          <cell r="F61">
            <v>10.06</v>
          </cell>
          <cell r="G61">
            <v>0</v>
          </cell>
          <cell r="H61">
            <v>0</v>
          </cell>
          <cell r="I61">
            <v>13690341704</v>
          </cell>
          <cell r="J61">
            <v>0</v>
          </cell>
          <cell r="K61">
            <v>9238189599</v>
          </cell>
          <cell r="L61">
            <v>41545877871</v>
          </cell>
          <cell r="M61">
            <v>101993763</v>
          </cell>
        </row>
        <row r="62">
          <cell r="B62" t="str">
            <v>A_General_Adder_NC</v>
          </cell>
          <cell r="C62">
            <v>113353</v>
          </cell>
          <cell r="D62">
            <v>5214530027</v>
          </cell>
          <cell r="E62">
            <v>45.8</v>
          </cell>
          <cell r="F62">
            <v>10.06</v>
          </cell>
          <cell r="G62">
            <v>0</v>
          </cell>
          <cell r="H62">
            <v>0</v>
          </cell>
          <cell r="I62">
            <v>13636005517</v>
          </cell>
          <cell r="J62">
            <v>0</v>
          </cell>
          <cell r="K62">
            <v>9197788265</v>
          </cell>
          <cell r="L62">
            <v>41545877871</v>
          </cell>
          <cell r="M62">
            <v>101993763</v>
          </cell>
        </row>
        <row r="63">
          <cell r="B63" t="str">
            <v>A_Law Enforcement Officers_Experience</v>
          </cell>
          <cell r="C63">
            <v>3531</v>
          </cell>
          <cell r="D63">
            <v>204921033</v>
          </cell>
          <cell r="E63">
            <v>39.92</v>
          </cell>
          <cell r="F63">
            <v>12.79</v>
          </cell>
          <cell r="G63">
            <v>0</v>
          </cell>
          <cell r="H63">
            <v>0</v>
          </cell>
          <cell r="I63">
            <v>708954505</v>
          </cell>
          <cell r="J63">
            <v>0</v>
          </cell>
          <cell r="K63">
            <v>470609614</v>
          </cell>
          <cell r="L63">
            <v>1933260599</v>
          </cell>
          <cell r="M63">
            <v>1596836</v>
          </cell>
        </row>
        <row r="64">
          <cell r="B64" t="str">
            <v>A_Law Enforcement Officers_Salary Scale</v>
          </cell>
          <cell r="C64">
            <v>3531</v>
          </cell>
          <cell r="D64">
            <v>205533472</v>
          </cell>
          <cell r="E64">
            <v>39.92</v>
          </cell>
          <cell r="F64">
            <v>12.79</v>
          </cell>
          <cell r="G64">
            <v>0</v>
          </cell>
          <cell r="H64">
            <v>0</v>
          </cell>
          <cell r="I64">
            <v>714412477</v>
          </cell>
          <cell r="J64">
            <v>0</v>
          </cell>
          <cell r="K64">
            <v>470942371</v>
          </cell>
          <cell r="L64">
            <v>1956112867</v>
          </cell>
          <cell r="M64">
            <v>1608659</v>
          </cell>
        </row>
        <row r="65">
          <cell r="B65" t="str">
            <v>A_Law Enforcement Officers_Sal + Inflation</v>
          </cell>
          <cell r="C65">
            <v>3531</v>
          </cell>
          <cell r="D65">
            <v>205038211</v>
          </cell>
          <cell r="E65">
            <v>39.92</v>
          </cell>
          <cell r="F65">
            <v>12.79</v>
          </cell>
          <cell r="G65">
            <v>0</v>
          </cell>
          <cell r="H65">
            <v>0</v>
          </cell>
          <cell r="I65">
            <v>696757223</v>
          </cell>
          <cell r="J65">
            <v>0</v>
          </cell>
          <cell r="K65">
            <v>465128901</v>
          </cell>
          <cell r="L65">
            <v>1918349447</v>
          </cell>
          <cell r="M65">
            <v>1603288</v>
          </cell>
        </row>
        <row r="66">
          <cell r="B66" t="str">
            <v>A_Law Enforcement Officers_Mortality</v>
          </cell>
          <cell r="C66">
            <v>3531</v>
          </cell>
          <cell r="D66">
            <v>205038211</v>
          </cell>
          <cell r="E66">
            <v>39.92</v>
          </cell>
          <cell r="F66">
            <v>12.79</v>
          </cell>
          <cell r="G66">
            <v>0</v>
          </cell>
          <cell r="H66">
            <v>0</v>
          </cell>
          <cell r="I66">
            <v>710249922</v>
          </cell>
          <cell r="J66">
            <v>0</v>
          </cell>
          <cell r="K66">
            <v>474619999</v>
          </cell>
          <cell r="L66">
            <v>1920299304</v>
          </cell>
          <cell r="M66">
            <v>1562132</v>
          </cell>
        </row>
        <row r="67">
          <cell r="B67" t="str">
            <v>A_Law Enforcement Officers_Ret/Term</v>
          </cell>
          <cell r="C67">
            <v>3531</v>
          </cell>
          <cell r="D67">
            <v>205038211</v>
          </cell>
          <cell r="E67">
            <v>39.92</v>
          </cell>
          <cell r="F67">
            <v>12.79</v>
          </cell>
          <cell r="G67">
            <v>0</v>
          </cell>
          <cell r="H67">
            <v>0</v>
          </cell>
          <cell r="I67">
            <v>709426770</v>
          </cell>
          <cell r="J67">
            <v>0</v>
          </cell>
          <cell r="K67">
            <v>479848584</v>
          </cell>
          <cell r="L67">
            <v>1834263218</v>
          </cell>
          <cell r="M67">
            <v>1763392</v>
          </cell>
        </row>
        <row r="68">
          <cell r="C68">
            <v>3529</v>
          </cell>
          <cell r="D68">
            <v>204829979</v>
          </cell>
          <cell r="E68">
            <v>39.92</v>
          </cell>
          <cell r="F68">
            <v>12.8</v>
          </cell>
          <cell r="G68">
            <v>0</v>
          </cell>
          <cell r="H68">
            <v>0</v>
          </cell>
          <cell r="I68">
            <v>708712517</v>
          </cell>
          <cell r="J68">
            <v>0</v>
          </cell>
          <cell r="K68">
            <v>470495366</v>
          </cell>
          <cell r="L68">
            <v>1932204183</v>
          </cell>
          <cell r="M68">
            <v>1595118</v>
          </cell>
        </row>
        <row r="69">
          <cell r="B69" t="str">
            <v>A_Law Enforcement Officers_Fix Disability</v>
          </cell>
          <cell r="C69">
            <v>3529</v>
          </cell>
          <cell r="D69">
            <v>204947078</v>
          </cell>
          <cell r="E69">
            <v>39.92</v>
          </cell>
          <cell r="F69">
            <v>12.8</v>
          </cell>
          <cell r="G69">
            <v>0</v>
          </cell>
          <cell r="H69">
            <v>0</v>
          </cell>
          <cell r="I69">
            <v>709192318</v>
          </cell>
          <cell r="J69">
            <v>0</v>
          </cell>
          <cell r="K69">
            <v>479734850</v>
          </cell>
          <cell r="L69">
            <v>1833276046</v>
          </cell>
          <cell r="M69">
            <v>1761546</v>
          </cell>
        </row>
        <row r="70">
          <cell r="B70" t="str">
            <v>A_Law Enforcement Officers_Correct Groups</v>
          </cell>
          <cell r="C70">
            <v>3529</v>
          </cell>
          <cell r="D70">
            <v>204947078</v>
          </cell>
          <cell r="E70">
            <v>39.92</v>
          </cell>
          <cell r="F70">
            <v>12.8</v>
          </cell>
          <cell r="G70">
            <v>0</v>
          </cell>
          <cell r="H70">
            <v>0</v>
          </cell>
          <cell r="I70">
            <v>709198672</v>
          </cell>
          <cell r="J70">
            <v>0</v>
          </cell>
          <cell r="K70">
            <v>479747821</v>
          </cell>
          <cell r="L70">
            <v>1833276562</v>
          </cell>
          <cell r="M70">
            <v>1761540</v>
          </cell>
        </row>
        <row r="71">
          <cell r="B71" t="str">
            <v>A_Law Enforcement Officers_Adder</v>
          </cell>
          <cell r="C71">
            <v>3529</v>
          </cell>
          <cell r="D71">
            <v>204947078</v>
          </cell>
          <cell r="E71">
            <v>39.92</v>
          </cell>
          <cell r="F71">
            <v>12.8</v>
          </cell>
          <cell r="G71">
            <v>0</v>
          </cell>
          <cell r="H71">
            <v>0</v>
          </cell>
          <cell r="I71">
            <v>721174871</v>
          </cell>
          <cell r="J71">
            <v>0</v>
          </cell>
          <cell r="K71">
            <v>488384054</v>
          </cell>
          <cell r="L71">
            <v>1833276562</v>
          </cell>
          <cell r="M71">
            <v>1761540</v>
          </cell>
        </row>
        <row r="72">
          <cell r="B72" t="str">
            <v>A_Law Enforcement Officers_Experience_NC</v>
          </cell>
          <cell r="C72">
            <v>3531</v>
          </cell>
          <cell r="D72">
            <v>204921033</v>
          </cell>
          <cell r="E72">
            <v>39.92</v>
          </cell>
          <cell r="F72">
            <v>12.79</v>
          </cell>
          <cell r="G72">
            <v>0</v>
          </cell>
          <cell r="H72">
            <v>0</v>
          </cell>
          <cell r="I72">
            <v>708304139</v>
          </cell>
          <cell r="J72">
            <v>0</v>
          </cell>
          <cell r="K72">
            <v>470711802</v>
          </cell>
          <cell r="L72">
            <v>1933260599</v>
          </cell>
          <cell r="M72">
            <v>1596836</v>
          </cell>
        </row>
        <row r="73">
          <cell r="B73" t="str">
            <v>A_Law Enforcement Officers_Salary Scale_NC</v>
          </cell>
          <cell r="C73">
            <v>3531</v>
          </cell>
          <cell r="D73">
            <v>205533472</v>
          </cell>
          <cell r="E73">
            <v>39.92</v>
          </cell>
          <cell r="F73">
            <v>12.79</v>
          </cell>
          <cell r="G73">
            <v>0</v>
          </cell>
          <cell r="H73">
            <v>0</v>
          </cell>
          <cell r="I73">
            <v>713703270</v>
          </cell>
          <cell r="J73">
            <v>0</v>
          </cell>
          <cell r="K73">
            <v>470994374</v>
          </cell>
          <cell r="L73">
            <v>1956112867</v>
          </cell>
          <cell r="M73">
            <v>1608659</v>
          </cell>
        </row>
        <row r="74">
          <cell r="B74" t="str">
            <v>A_Law Enforcement Officers_Sal + Inflation_NC</v>
          </cell>
          <cell r="C74">
            <v>3531</v>
          </cell>
          <cell r="D74">
            <v>205038211</v>
          </cell>
          <cell r="E74">
            <v>39.92</v>
          </cell>
          <cell r="F74">
            <v>12.79</v>
          </cell>
          <cell r="G74">
            <v>0</v>
          </cell>
          <cell r="H74">
            <v>0</v>
          </cell>
          <cell r="I74">
            <v>696139942</v>
          </cell>
          <cell r="J74">
            <v>0</v>
          </cell>
          <cell r="K74">
            <v>465153024</v>
          </cell>
          <cell r="L74">
            <v>1918349447</v>
          </cell>
          <cell r="M74">
            <v>1603288</v>
          </cell>
        </row>
        <row r="75">
          <cell r="B75" t="str">
            <v>A_Law Enforcement Officers_Mortality_NC</v>
          </cell>
          <cell r="C75">
            <v>3531</v>
          </cell>
          <cell r="D75">
            <v>205038211</v>
          </cell>
          <cell r="E75">
            <v>39.92</v>
          </cell>
          <cell r="F75">
            <v>12.79</v>
          </cell>
          <cell r="G75">
            <v>0</v>
          </cell>
          <cell r="H75">
            <v>0</v>
          </cell>
          <cell r="I75">
            <v>709619780</v>
          </cell>
          <cell r="J75">
            <v>0</v>
          </cell>
          <cell r="K75">
            <v>474623854</v>
          </cell>
          <cell r="L75">
            <v>1920299304</v>
          </cell>
          <cell r="M75">
            <v>1562132</v>
          </cell>
        </row>
        <row r="76">
          <cell r="B76" t="str">
            <v>A_Law Enforcement Officers_Ret/Term_NC</v>
          </cell>
          <cell r="C76">
            <v>3531</v>
          </cell>
          <cell r="D76">
            <v>205038211</v>
          </cell>
          <cell r="E76">
            <v>39.92</v>
          </cell>
          <cell r="F76">
            <v>12.79</v>
          </cell>
          <cell r="G76">
            <v>0</v>
          </cell>
          <cell r="H76">
            <v>0</v>
          </cell>
          <cell r="I76">
            <v>708673950</v>
          </cell>
          <cell r="J76">
            <v>0</v>
          </cell>
          <cell r="K76">
            <v>479626701</v>
          </cell>
          <cell r="L76">
            <v>1834263218</v>
          </cell>
          <cell r="M76">
            <v>1763392</v>
          </cell>
        </row>
        <row r="77">
          <cell r="C77">
            <v>3529</v>
          </cell>
          <cell r="D77">
            <v>204829979</v>
          </cell>
          <cell r="E77">
            <v>39.92</v>
          </cell>
          <cell r="F77">
            <v>12.8</v>
          </cell>
          <cell r="G77">
            <v>0</v>
          </cell>
          <cell r="H77">
            <v>0</v>
          </cell>
          <cell r="I77">
            <v>708060807</v>
          </cell>
          <cell r="J77">
            <v>0</v>
          </cell>
          <cell r="K77">
            <v>470600581</v>
          </cell>
          <cell r="L77">
            <v>1932204183</v>
          </cell>
          <cell r="M77">
            <v>1595118</v>
          </cell>
        </row>
        <row r="78">
          <cell r="B78" t="str">
            <v>A_Law Enforcement Officers_Fix Disability_NC</v>
          </cell>
          <cell r="C78">
            <v>3529</v>
          </cell>
          <cell r="D78">
            <v>204947078</v>
          </cell>
          <cell r="E78">
            <v>39.92</v>
          </cell>
          <cell r="F78">
            <v>12.8</v>
          </cell>
          <cell r="G78">
            <v>0</v>
          </cell>
          <cell r="H78">
            <v>0</v>
          </cell>
          <cell r="I78">
            <v>708437817</v>
          </cell>
          <cell r="J78">
            <v>0</v>
          </cell>
          <cell r="K78">
            <v>479516026</v>
          </cell>
          <cell r="L78">
            <v>1833276046</v>
          </cell>
          <cell r="M78">
            <v>1761546</v>
          </cell>
        </row>
        <row r="79">
          <cell r="B79" t="str">
            <v>A_Law Enforcement Officers_Correct Groups_NC</v>
          </cell>
          <cell r="C79">
            <v>3529</v>
          </cell>
          <cell r="D79">
            <v>204947078</v>
          </cell>
          <cell r="E79">
            <v>39.92</v>
          </cell>
          <cell r="F79">
            <v>12.8</v>
          </cell>
          <cell r="G79">
            <v>0</v>
          </cell>
          <cell r="H79">
            <v>0</v>
          </cell>
          <cell r="I79">
            <v>708439904</v>
          </cell>
          <cell r="J79">
            <v>0</v>
          </cell>
          <cell r="K79">
            <v>479518416</v>
          </cell>
          <cell r="L79">
            <v>1833276562</v>
          </cell>
          <cell r="M79">
            <v>1761540</v>
          </cell>
        </row>
        <row r="80">
          <cell r="B80" t="str">
            <v>A_Law Enforcement Officers_Adder_NC</v>
          </cell>
          <cell r="C80">
            <v>3529</v>
          </cell>
          <cell r="D80">
            <v>204947078</v>
          </cell>
          <cell r="E80">
            <v>39.92</v>
          </cell>
          <cell r="F80">
            <v>12.8</v>
          </cell>
          <cell r="G80">
            <v>0</v>
          </cell>
          <cell r="H80">
            <v>0</v>
          </cell>
          <cell r="I80">
            <v>720404503</v>
          </cell>
          <cell r="J80">
            <v>0</v>
          </cell>
          <cell r="K80">
            <v>488145675</v>
          </cell>
          <cell r="L80">
            <v>1833276562</v>
          </cell>
          <cell r="M80">
            <v>1761540</v>
          </cell>
        </row>
        <row r="81">
          <cell r="B81" t="str">
            <v>R_Teachers_Experience</v>
          </cell>
          <cell r="C81">
            <v>0</v>
          </cell>
          <cell r="D81">
            <v>0</v>
          </cell>
          <cell r="E81">
            <v>0</v>
          </cell>
          <cell r="F81">
            <v>0</v>
          </cell>
          <cell r="G81">
            <v>68841</v>
          </cell>
          <cell r="H81">
            <v>1847585434</v>
          </cell>
          <cell r="I81">
            <v>0</v>
          </cell>
          <cell r="J81">
            <v>15957555420</v>
          </cell>
          <cell r="K81">
            <v>0</v>
          </cell>
          <cell r="L81">
            <v>0</v>
          </cell>
        </row>
        <row r="82">
          <cell r="B82" t="str">
            <v>R_Teachers_Mortality</v>
          </cell>
          <cell r="C82">
            <v>0</v>
          </cell>
          <cell r="D82">
            <v>0</v>
          </cell>
          <cell r="E82">
            <v>0</v>
          </cell>
          <cell r="F82">
            <v>0</v>
          </cell>
          <cell r="G82">
            <v>68841</v>
          </cell>
          <cell r="H82">
            <v>1847585434</v>
          </cell>
          <cell r="I82">
            <v>0</v>
          </cell>
          <cell r="J82">
            <v>15915446811</v>
          </cell>
          <cell r="K82">
            <v>0</v>
          </cell>
          <cell r="L82">
            <v>0</v>
          </cell>
        </row>
        <row r="83">
          <cell r="C83">
            <v>0</v>
          </cell>
          <cell r="D83">
            <v>0</v>
          </cell>
          <cell r="E83">
            <v>0</v>
          </cell>
          <cell r="F83">
            <v>0</v>
          </cell>
          <cell r="G83">
            <v>68841</v>
          </cell>
          <cell r="H83">
            <v>1849617003</v>
          </cell>
          <cell r="I83">
            <v>0</v>
          </cell>
          <cell r="J83">
            <v>15916949516</v>
          </cell>
          <cell r="K83">
            <v>0</v>
          </cell>
          <cell r="L83">
            <v>0</v>
          </cell>
        </row>
        <row r="84">
          <cell r="B84" t="str">
            <v>R_Teachers_Fix Disability</v>
          </cell>
          <cell r="C84">
            <v>0</v>
          </cell>
          <cell r="D84">
            <v>0</v>
          </cell>
          <cell r="E84">
            <v>0</v>
          </cell>
          <cell r="F84">
            <v>0</v>
          </cell>
          <cell r="G84">
            <v>68841</v>
          </cell>
          <cell r="H84">
            <v>1849617003</v>
          </cell>
          <cell r="I84">
            <v>0</v>
          </cell>
          <cell r="J84">
            <v>15874371810</v>
          </cell>
          <cell r="K84">
            <v>0</v>
          </cell>
          <cell r="L84">
            <v>0</v>
          </cell>
        </row>
        <row r="85">
          <cell r="C85">
            <v>0</v>
          </cell>
          <cell r="D85">
            <v>0</v>
          </cell>
          <cell r="E85">
            <v>0</v>
          </cell>
          <cell r="F85">
            <v>0</v>
          </cell>
          <cell r="G85">
            <v>68735</v>
          </cell>
          <cell r="H85">
            <v>1846681031</v>
          </cell>
          <cell r="I85">
            <v>0</v>
          </cell>
          <cell r="J85">
            <v>15845650965</v>
          </cell>
          <cell r="K85">
            <v>0</v>
          </cell>
          <cell r="L85">
            <v>0</v>
          </cell>
        </row>
        <row r="86">
          <cell r="C86">
            <v>0</v>
          </cell>
          <cell r="D86">
            <v>0</v>
          </cell>
          <cell r="E86">
            <v>0</v>
          </cell>
          <cell r="F86">
            <v>0</v>
          </cell>
          <cell r="G86">
            <v>2695</v>
          </cell>
          <cell r="H86">
            <v>67411529</v>
          </cell>
          <cell r="I86">
            <v>0</v>
          </cell>
          <cell r="J86">
            <v>637471005</v>
          </cell>
          <cell r="K86">
            <v>0</v>
          </cell>
          <cell r="L86">
            <v>0</v>
          </cell>
        </row>
        <row r="87">
          <cell r="B87" t="str">
            <v>A_Other Education_Correct Groups</v>
          </cell>
          <cell r="C87">
            <v>48906</v>
          </cell>
          <cell r="D87">
            <v>2001734581</v>
          </cell>
          <cell r="E87">
            <v>48.51</v>
          </cell>
          <cell r="F87">
            <v>10.72</v>
          </cell>
          <cell r="G87">
            <v>0</v>
          </cell>
          <cell r="H87">
            <v>0</v>
          </cell>
          <cell r="I87">
            <v>5739278205</v>
          </cell>
          <cell r="J87">
            <v>0</v>
          </cell>
          <cell r="K87">
            <v>4197560229</v>
          </cell>
          <cell r="L87">
            <v>14693640050</v>
          </cell>
          <cell r="M87">
            <v>30291613</v>
          </cell>
        </row>
        <row r="88">
          <cell r="B88" t="str">
            <v>A_Other Education_Adder</v>
          </cell>
          <cell r="C88">
            <v>48906</v>
          </cell>
          <cell r="D88">
            <v>2001734581</v>
          </cell>
          <cell r="E88">
            <v>48.51</v>
          </cell>
          <cell r="F88">
            <v>10.72</v>
          </cell>
          <cell r="G88">
            <v>0</v>
          </cell>
          <cell r="H88">
            <v>0</v>
          </cell>
          <cell r="I88">
            <v>5761087963</v>
          </cell>
          <cell r="J88">
            <v>0</v>
          </cell>
          <cell r="K88">
            <v>4214541754</v>
          </cell>
          <cell r="L88">
            <v>14693640050</v>
          </cell>
          <cell r="M88">
            <v>30291613</v>
          </cell>
        </row>
        <row r="89">
          <cell r="B89" t="str">
            <v>A_Other Education_Correct Groups_NC</v>
          </cell>
          <cell r="C89">
            <v>48906</v>
          </cell>
          <cell r="D89">
            <v>2001734581</v>
          </cell>
          <cell r="E89">
            <v>48.51</v>
          </cell>
          <cell r="F89">
            <v>10.72</v>
          </cell>
          <cell r="G89">
            <v>0</v>
          </cell>
          <cell r="H89">
            <v>0</v>
          </cell>
          <cell r="I89">
            <v>5724709811</v>
          </cell>
          <cell r="J89">
            <v>0</v>
          </cell>
          <cell r="K89">
            <v>4186909441</v>
          </cell>
          <cell r="L89">
            <v>14693640050</v>
          </cell>
          <cell r="M89">
            <v>30291613</v>
          </cell>
        </row>
        <row r="90">
          <cell r="B90" t="str">
            <v>A_Other Education_Adder_NC</v>
          </cell>
          <cell r="C90">
            <v>48906</v>
          </cell>
          <cell r="D90">
            <v>2001734581</v>
          </cell>
          <cell r="E90">
            <v>48.51</v>
          </cell>
          <cell r="F90">
            <v>10.72</v>
          </cell>
          <cell r="G90">
            <v>0</v>
          </cell>
          <cell r="H90">
            <v>0</v>
          </cell>
          <cell r="I90">
            <v>5746463894</v>
          </cell>
          <cell r="J90">
            <v>0</v>
          </cell>
          <cell r="K90">
            <v>4203843173</v>
          </cell>
          <cell r="L90">
            <v>14693640050</v>
          </cell>
          <cell r="M90">
            <v>30291613</v>
          </cell>
        </row>
        <row r="91">
          <cell r="B91" t="str">
            <v>B_Teachers_Experience</v>
          </cell>
          <cell r="C91">
            <v>0</v>
          </cell>
          <cell r="D91">
            <v>0</v>
          </cell>
          <cell r="E91">
            <v>0</v>
          </cell>
          <cell r="F91">
            <v>0</v>
          </cell>
          <cell r="G91">
            <v>3850</v>
          </cell>
          <cell r="H91">
            <v>63949635</v>
          </cell>
          <cell r="I91">
            <v>0</v>
          </cell>
          <cell r="J91">
            <v>509309400</v>
          </cell>
          <cell r="K91">
            <v>0</v>
          </cell>
          <cell r="L91">
            <v>0</v>
          </cell>
        </row>
        <row r="92">
          <cell r="B92" t="str">
            <v>B_Teachers_Mortality</v>
          </cell>
          <cell r="C92">
            <v>0</v>
          </cell>
          <cell r="D92">
            <v>0</v>
          </cell>
          <cell r="E92">
            <v>0</v>
          </cell>
          <cell r="F92">
            <v>0</v>
          </cell>
          <cell r="G92">
            <v>3850</v>
          </cell>
          <cell r="H92">
            <v>63949635</v>
          </cell>
          <cell r="I92">
            <v>0</v>
          </cell>
          <cell r="J92">
            <v>499131345</v>
          </cell>
          <cell r="K92">
            <v>0</v>
          </cell>
          <cell r="L92">
            <v>0</v>
          </cell>
        </row>
        <row r="93">
          <cell r="C93">
            <v>0</v>
          </cell>
          <cell r="D93">
            <v>0</v>
          </cell>
          <cell r="E93">
            <v>0</v>
          </cell>
          <cell r="F93">
            <v>0</v>
          </cell>
          <cell r="G93">
            <v>3805</v>
          </cell>
          <cell r="H93">
            <v>63344976</v>
          </cell>
          <cell r="I93">
            <v>0</v>
          </cell>
          <cell r="J93">
            <v>491494756</v>
          </cell>
          <cell r="K93">
            <v>0</v>
          </cell>
          <cell r="L93">
            <v>0</v>
          </cell>
        </row>
        <row r="94">
          <cell r="C94">
            <v>0</v>
          </cell>
          <cell r="D94">
            <v>0</v>
          </cell>
          <cell r="E94">
            <v>0</v>
          </cell>
          <cell r="F94">
            <v>0</v>
          </cell>
          <cell r="G94">
            <v>4</v>
          </cell>
          <cell r="H94">
            <v>42393</v>
          </cell>
          <cell r="I94">
            <v>0</v>
          </cell>
          <cell r="J94">
            <v>456295</v>
          </cell>
          <cell r="K94">
            <v>0</v>
          </cell>
          <cell r="L94">
            <v>0</v>
          </cell>
        </row>
        <row r="95">
          <cell r="B95" t="str">
            <v>R_General_Experience</v>
          </cell>
          <cell r="C95">
            <v>0</v>
          </cell>
          <cell r="D95">
            <v>0</v>
          </cell>
          <cell r="E95">
            <v>0</v>
          </cell>
          <cell r="F95">
            <v>0</v>
          </cell>
          <cell r="G95">
            <v>73315</v>
          </cell>
          <cell r="H95">
            <v>1294719448</v>
          </cell>
          <cell r="I95">
            <v>0</v>
          </cell>
          <cell r="J95">
            <v>11017295178</v>
          </cell>
          <cell r="K95">
            <v>0</v>
          </cell>
          <cell r="L95">
            <v>0</v>
          </cell>
        </row>
        <row r="96">
          <cell r="B96" t="str">
            <v>R_General_Mortality</v>
          </cell>
          <cell r="C96">
            <v>0</v>
          </cell>
          <cell r="D96">
            <v>0</v>
          </cell>
          <cell r="E96">
            <v>0</v>
          </cell>
          <cell r="F96">
            <v>0</v>
          </cell>
          <cell r="G96">
            <v>73315</v>
          </cell>
          <cell r="H96">
            <v>1294719448</v>
          </cell>
          <cell r="I96">
            <v>0</v>
          </cell>
          <cell r="J96">
            <v>11013868775</v>
          </cell>
          <cell r="K96">
            <v>0</v>
          </cell>
          <cell r="L96">
            <v>0</v>
          </cell>
        </row>
        <row r="97">
          <cell r="C97">
            <v>0</v>
          </cell>
          <cell r="D97">
            <v>0</v>
          </cell>
          <cell r="E97">
            <v>0</v>
          </cell>
          <cell r="F97">
            <v>0</v>
          </cell>
          <cell r="G97">
            <v>73315</v>
          </cell>
          <cell r="H97">
            <v>1294721957</v>
          </cell>
          <cell r="I97">
            <v>0</v>
          </cell>
          <cell r="J97">
            <v>10996240964</v>
          </cell>
          <cell r="K97">
            <v>0</v>
          </cell>
          <cell r="L97">
            <v>0</v>
          </cell>
        </row>
        <row r="98">
          <cell r="B98" t="str">
            <v>R_General_Fix Disability</v>
          </cell>
          <cell r="C98">
            <v>0</v>
          </cell>
          <cell r="D98">
            <v>0</v>
          </cell>
          <cell r="E98">
            <v>0</v>
          </cell>
          <cell r="F98">
            <v>0</v>
          </cell>
          <cell r="G98">
            <v>73315</v>
          </cell>
          <cell r="H98">
            <v>1294721957</v>
          </cell>
          <cell r="I98">
            <v>0</v>
          </cell>
          <cell r="J98">
            <v>10994180662</v>
          </cell>
          <cell r="K98">
            <v>0</v>
          </cell>
          <cell r="L98">
            <v>0</v>
          </cell>
        </row>
        <row r="99">
          <cell r="C99">
            <v>0</v>
          </cell>
          <cell r="D99">
            <v>0</v>
          </cell>
          <cell r="E99">
            <v>0</v>
          </cell>
          <cell r="F99">
            <v>0</v>
          </cell>
          <cell r="G99">
            <v>70726</v>
          </cell>
          <cell r="H99">
            <v>1230141222</v>
          </cell>
          <cell r="I99">
            <v>0</v>
          </cell>
          <cell r="J99">
            <v>10381313729</v>
          </cell>
          <cell r="K99">
            <v>0</v>
          </cell>
          <cell r="L99">
            <v>0</v>
          </cell>
        </row>
        <row r="100">
          <cell r="B100" t="str">
            <v>B_General_Experience</v>
          </cell>
          <cell r="C100">
            <v>0</v>
          </cell>
          <cell r="D100">
            <v>0</v>
          </cell>
          <cell r="E100">
            <v>0</v>
          </cell>
          <cell r="F100">
            <v>0</v>
          </cell>
          <cell r="G100">
            <v>8123</v>
          </cell>
          <cell r="H100">
            <v>90292018</v>
          </cell>
          <cell r="I100">
            <v>0</v>
          </cell>
          <cell r="J100">
            <v>717480150</v>
          </cell>
          <cell r="K100">
            <v>0</v>
          </cell>
          <cell r="L100">
            <v>0</v>
          </cell>
        </row>
        <row r="101">
          <cell r="B101" t="str">
            <v>B_General_Mortality</v>
          </cell>
          <cell r="C101">
            <v>0</v>
          </cell>
          <cell r="D101">
            <v>0</v>
          </cell>
          <cell r="E101">
            <v>0</v>
          </cell>
          <cell r="F101">
            <v>0</v>
          </cell>
          <cell r="G101">
            <v>8123</v>
          </cell>
          <cell r="H101">
            <v>90292018</v>
          </cell>
          <cell r="I101">
            <v>0</v>
          </cell>
          <cell r="J101">
            <v>697745341</v>
          </cell>
          <cell r="K101">
            <v>0</v>
          </cell>
          <cell r="L101">
            <v>0</v>
          </cell>
        </row>
        <row r="102">
          <cell r="C102">
            <v>0</v>
          </cell>
          <cell r="D102">
            <v>0</v>
          </cell>
          <cell r="E102">
            <v>0</v>
          </cell>
          <cell r="F102">
            <v>0</v>
          </cell>
          <cell r="G102">
            <v>8164</v>
          </cell>
          <cell r="H102">
            <v>90824945</v>
          </cell>
          <cell r="I102">
            <v>0</v>
          </cell>
          <cell r="J102">
            <v>701401784</v>
          </cell>
          <cell r="K102">
            <v>0</v>
          </cell>
          <cell r="L102">
            <v>0</v>
          </cell>
        </row>
        <row r="103">
          <cell r="B103" t="str">
            <v>R_Law Enforcement Officers_Experience</v>
          </cell>
          <cell r="C103">
            <v>0</v>
          </cell>
          <cell r="D103">
            <v>0</v>
          </cell>
          <cell r="E103">
            <v>0</v>
          </cell>
          <cell r="F103">
            <v>0</v>
          </cell>
          <cell r="G103">
            <v>2305</v>
          </cell>
          <cell r="H103">
            <v>68995116</v>
          </cell>
          <cell r="I103">
            <v>0</v>
          </cell>
          <cell r="J103">
            <v>720981233</v>
          </cell>
          <cell r="K103">
            <v>0</v>
          </cell>
          <cell r="L103">
            <v>0</v>
          </cell>
        </row>
        <row r="104">
          <cell r="B104" t="str">
            <v>R_Law Enforcement Officers_Mortality</v>
          </cell>
          <cell r="C104">
            <v>0</v>
          </cell>
          <cell r="D104">
            <v>0</v>
          </cell>
          <cell r="E104">
            <v>0</v>
          </cell>
          <cell r="F104">
            <v>0</v>
          </cell>
          <cell r="G104">
            <v>2305</v>
          </cell>
          <cell r="H104">
            <v>68995116</v>
          </cell>
          <cell r="I104">
            <v>0</v>
          </cell>
          <cell r="J104">
            <v>730462901</v>
          </cell>
          <cell r="K104">
            <v>0</v>
          </cell>
          <cell r="L104">
            <v>0</v>
          </cell>
        </row>
        <row r="105">
          <cell r="C105">
            <v>0</v>
          </cell>
          <cell r="D105">
            <v>0</v>
          </cell>
          <cell r="E105">
            <v>0</v>
          </cell>
          <cell r="F105">
            <v>0</v>
          </cell>
          <cell r="G105">
            <v>2305</v>
          </cell>
          <cell r="H105">
            <v>68995116</v>
          </cell>
          <cell r="I105">
            <v>0</v>
          </cell>
          <cell r="J105">
            <v>720362914</v>
          </cell>
          <cell r="K105">
            <v>0</v>
          </cell>
          <cell r="L105">
            <v>0</v>
          </cell>
        </row>
        <row r="106">
          <cell r="B106" t="str">
            <v>R_Law Enforcement Officers_Fix Disability</v>
          </cell>
          <cell r="C106">
            <v>0</v>
          </cell>
          <cell r="D106">
            <v>0</v>
          </cell>
          <cell r="E106">
            <v>0</v>
          </cell>
          <cell r="F106">
            <v>0</v>
          </cell>
          <cell r="G106">
            <v>2305</v>
          </cell>
          <cell r="H106">
            <v>68995116</v>
          </cell>
          <cell r="I106">
            <v>0</v>
          </cell>
          <cell r="J106">
            <v>730133463</v>
          </cell>
          <cell r="K106">
            <v>0</v>
          </cell>
          <cell r="L106">
            <v>0</v>
          </cell>
        </row>
        <row r="107">
          <cell r="C107">
            <v>0</v>
          </cell>
          <cell r="D107">
            <v>0</v>
          </cell>
          <cell r="E107">
            <v>0</v>
          </cell>
          <cell r="F107">
            <v>0</v>
          </cell>
          <cell r="G107">
            <v>2305</v>
          </cell>
          <cell r="H107">
            <v>68995086</v>
          </cell>
          <cell r="I107">
            <v>0</v>
          </cell>
          <cell r="J107">
            <v>730102232</v>
          </cell>
          <cell r="K107">
            <v>0</v>
          </cell>
          <cell r="L107">
            <v>0</v>
          </cell>
        </row>
        <row r="108">
          <cell r="B108" t="str">
            <v>B_Law Enforcement Officers_Experience</v>
          </cell>
          <cell r="C108">
            <v>0</v>
          </cell>
          <cell r="D108">
            <v>0</v>
          </cell>
          <cell r="E108">
            <v>0</v>
          </cell>
          <cell r="F108">
            <v>0</v>
          </cell>
          <cell r="G108">
            <v>352</v>
          </cell>
          <cell r="H108">
            <v>6669964</v>
          </cell>
          <cell r="I108">
            <v>0</v>
          </cell>
          <cell r="J108">
            <v>57558402</v>
          </cell>
          <cell r="K108">
            <v>0</v>
          </cell>
          <cell r="L108">
            <v>0</v>
          </cell>
        </row>
        <row r="109">
          <cell r="B109" t="str">
            <v>B_Law Enforcement Officers_Mortality</v>
          </cell>
          <cell r="C109">
            <v>0</v>
          </cell>
          <cell r="D109">
            <v>0</v>
          </cell>
          <cell r="E109">
            <v>0</v>
          </cell>
          <cell r="F109">
            <v>0</v>
          </cell>
          <cell r="G109">
            <v>352</v>
          </cell>
          <cell r="H109">
            <v>6669964</v>
          </cell>
          <cell r="I109">
            <v>0</v>
          </cell>
          <cell r="J109">
            <v>55765870</v>
          </cell>
          <cell r="K109">
            <v>0</v>
          </cell>
          <cell r="L109">
            <v>0</v>
          </cell>
        </row>
        <row r="110">
          <cell r="C110">
            <v>0</v>
          </cell>
          <cell r="D110">
            <v>0</v>
          </cell>
          <cell r="E110">
            <v>0</v>
          </cell>
          <cell r="F110">
            <v>0</v>
          </cell>
          <cell r="G110">
            <v>351</v>
          </cell>
          <cell r="H110">
            <v>6667848</v>
          </cell>
          <cell r="I110">
            <v>0</v>
          </cell>
          <cell r="J110">
            <v>55648593</v>
          </cell>
          <cell r="K110">
            <v>0</v>
          </cell>
          <cell r="L110">
            <v>0</v>
          </cell>
        </row>
        <row r="111">
          <cell r="C111">
            <v>0</v>
          </cell>
          <cell r="D111">
            <v>0</v>
          </cell>
          <cell r="E111">
            <v>0</v>
          </cell>
          <cell r="F111">
            <v>0</v>
          </cell>
          <cell r="G111">
            <v>104041</v>
          </cell>
          <cell r="H111">
            <v>0</v>
          </cell>
          <cell r="I111">
            <v>0</v>
          </cell>
          <cell r="J111">
            <v>1756646365</v>
          </cell>
          <cell r="K111">
            <v>0</v>
          </cell>
          <cell r="L111">
            <v>0</v>
          </cell>
        </row>
        <row r="112">
          <cell r="C112">
            <v>0</v>
          </cell>
          <cell r="D112">
            <v>0</v>
          </cell>
          <cell r="E112">
            <v>0</v>
          </cell>
          <cell r="F112">
            <v>0</v>
          </cell>
          <cell r="G112">
            <v>97429</v>
          </cell>
          <cell r="H112">
            <v>0</v>
          </cell>
          <cell r="I112">
            <v>0</v>
          </cell>
          <cell r="J112">
            <v>1528818350</v>
          </cell>
          <cell r="K112">
            <v>0</v>
          </cell>
          <cell r="L112">
            <v>0</v>
          </cell>
        </row>
        <row r="113">
          <cell r="C113">
            <v>0</v>
          </cell>
          <cell r="D113">
            <v>0</v>
          </cell>
          <cell r="E113">
            <v>0</v>
          </cell>
          <cell r="F113">
            <v>0</v>
          </cell>
          <cell r="G113">
            <v>97429</v>
          </cell>
          <cell r="H113">
            <v>0</v>
          </cell>
          <cell r="I113">
            <v>0</v>
          </cell>
          <cell r="J113">
            <v>1528815591</v>
          </cell>
          <cell r="K113">
            <v>0</v>
          </cell>
          <cell r="L113">
            <v>0</v>
          </cell>
        </row>
        <row r="114">
          <cell r="C114">
            <v>971</v>
          </cell>
          <cell r="D114">
            <v>36334517</v>
          </cell>
          <cell r="E114">
            <v>52.95</v>
          </cell>
          <cell r="F114">
            <v>7.82</v>
          </cell>
          <cell r="G114">
            <v>0</v>
          </cell>
          <cell r="H114">
            <v>0</v>
          </cell>
          <cell r="I114">
            <v>65066200</v>
          </cell>
          <cell r="J114">
            <v>0</v>
          </cell>
          <cell r="K114">
            <v>37825843</v>
          </cell>
          <cell r="L114">
            <v>282415331</v>
          </cell>
          <cell r="M114">
            <v>662646</v>
          </cell>
        </row>
        <row r="115">
          <cell r="B115" t="str">
            <v>D_Teachers_Fix Disability</v>
          </cell>
          <cell r="C115">
            <v>971</v>
          </cell>
          <cell r="D115">
            <v>36334517</v>
          </cell>
          <cell r="E115">
            <v>52.95</v>
          </cell>
          <cell r="F115">
            <v>7.82</v>
          </cell>
          <cell r="G115">
            <v>0</v>
          </cell>
          <cell r="H115">
            <v>0</v>
          </cell>
          <cell r="I115">
            <v>61305742</v>
          </cell>
          <cell r="J115">
            <v>0</v>
          </cell>
          <cell r="K115">
            <v>36904565</v>
          </cell>
          <cell r="L115">
            <v>265466385</v>
          </cell>
          <cell r="M115">
            <v>1484041</v>
          </cell>
        </row>
        <row r="116">
          <cell r="B116" t="str">
            <v>D_Teachers_Correct Groups</v>
          </cell>
          <cell r="C116">
            <v>829</v>
          </cell>
          <cell r="D116">
            <v>31890315</v>
          </cell>
          <cell r="E116">
            <v>51.1</v>
          </cell>
          <cell r="F116">
            <v>9.11</v>
          </cell>
          <cell r="G116">
            <v>0</v>
          </cell>
          <cell r="H116">
            <v>0</v>
          </cell>
          <cell r="I116">
            <v>58253706</v>
          </cell>
          <cell r="J116">
            <v>0</v>
          </cell>
          <cell r="K116">
            <v>36077211</v>
          </cell>
          <cell r="L116">
            <v>247170338</v>
          </cell>
          <cell r="M116">
            <v>1406857</v>
          </cell>
        </row>
        <row r="117">
          <cell r="C117">
            <v>971</v>
          </cell>
          <cell r="D117">
            <v>36334517</v>
          </cell>
          <cell r="E117">
            <v>52.95</v>
          </cell>
          <cell r="F117">
            <v>7.82</v>
          </cell>
          <cell r="G117">
            <v>0</v>
          </cell>
          <cell r="H117">
            <v>0</v>
          </cell>
          <cell r="I117">
            <v>65485767</v>
          </cell>
          <cell r="J117">
            <v>0</v>
          </cell>
          <cell r="K117">
            <v>38231479</v>
          </cell>
          <cell r="L117">
            <v>282415331</v>
          </cell>
          <cell r="M117">
            <v>662646</v>
          </cell>
        </row>
        <row r="118">
          <cell r="B118" t="str">
            <v>D_Teachers_Fix Disability_NC</v>
          </cell>
          <cell r="C118">
            <v>971</v>
          </cell>
          <cell r="D118">
            <v>36334517</v>
          </cell>
          <cell r="E118">
            <v>52.95</v>
          </cell>
          <cell r="F118">
            <v>7.82</v>
          </cell>
          <cell r="G118">
            <v>0</v>
          </cell>
          <cell r="H118">
            <v>0</v>
          </cell>
          <cell r="I118">
            <v>61759603</v>
          </cell>
          <cell r="J118">
            <v>0</v>
          </cell>
          <cell r="K118">
            <v>37275609</v>
          </cell>
          <cell r="L118">
            <v>265466385</v>
          </cell>
          <cell r="M118">
            <v>1484041</v>
          </cell>
        </row>
        <row r="119">
          <cell r="B119" t="str">
            <v>D_Teachers_Correct Groups_NC</v>
          </cell>
          <cell r="C119">
            <v>829</v>
          </cell>
          <cell r="D119">
            <v>31890315</v>
          </cell>
          <cell r="E119">
            <v>51.1</v>
          </cell>
          <cell r="F119">
            <v>9.11</v>
          </cell>
          <cell r="G119">
            <v>0</v>
          </cell>
          <cell r="H119">
            <v>0</v>
          </cell>
          <cell r="I119">
            <v>58951615</v>
          </cell>
          <cell r="J119">
            <v>0</v>
          </cell>
          <cell r="K119">
            <v>36613113</v>
          </cell>
          <cell r="L119">
            <v>247170338</v>
          </cell>
          <cell r="M119">
            <v>1406857</v>
          </cell>
        </row>
        <row r="120">
          <cell r="C120">
            <v>5904</v>
          </cell>
          <cell r="D120">
            <v>190251135</v>
          </cell>
          <cell r="E120">
            <v>54.91</v>
          </cell>
          <cell r="F120">
            <v>11.27</v>
          </cell>
          <cell r="G120">
            <v>0</v>
          </cell>
          <cell r="H120">
            <v>0</v>
          </cell>
          <cell r="I120">
            <v>389310930</v>
          </cell>
          <cell r="J120">
            <v>0</v>
          </cell>
          <cell r="K120">
            <v>271707637</v>
          </cell>
          <cell r="L120">
            <v>1259144552</v>
          </cell>
          <cell r="M120">
            <v>4163345</v>
          </cell>
        </row>
        <row r="121">
          <cell r="B121" t="str">
            <v>D_General_Fix Disability</v>
          </cell>
          <cell r="C121">
            <v>5904</v>
          </cell>
          <cell r="D121">
            <v>190251135</v>
          </cell>
          <cell r="E121">
            <v>54.91</v>
          </cell>
          <cell r="F121">
            <v>11.27</v>
          </cell>
          <cell r="G121">
            <v>0</v>
          </cell>
          <cell r="H121">
            <v>0</v>
          </cell>
          <cell r="I121">
            <v>376137026</v>
          </cell>
          <cell r="J121">
            <v>0</v>
          </cell>
          <cell r="K121">
            <v>270612320</v>
          </cell>
          <cell r="L121">
            <v>1188047338</v>
          </cell>
          <cell r="M121">
            <v>9310577</v>
          </cell>
        </row>
        <row r="122">
          <cell r="B122" t="str">
            <v>D_General_Correct Groups</v>
          </cell>
          <cell r="C122">
            <v>5785</v>
          </cell>
          <cell r="D122">
            <v>187581096</v>
          </cell>
          <cell r="E122">
            <v>55.19</v>
          </cell>
          <cell r="F122">
            <v>11.04</v>
          </cell>
          <cell r="G122">
            <v>0</v>
          </cell>
          <cell r="H122">
            <v>0</v>
          </cell>
          <cell r="I122">
            <v>355932262</v>
          </cell>
          <cell r="J122">
            <v>0</v>
          </cell>
          <cell r="K122">
            <v>254869203</v>
          </cell>
          <cell r="L122">
            <v>1160411680</v>
          </cell>
          <cell r="M122">
            <v>9124111</v>
          </cell>
        </row>
        <row r="123">
          <cell r="C123">
            <v>5904</v>
          </cell>
          <cell r="D123">
            <v>190251135</v>
          </cell>
          <cell r="E123">
            <v>54.91</v>
          </cell>
          <cell r="F123">
            <v>11.27</v>
          </cell>
          <cell r="G123">
            <v>0</v>
          </cell>
          <cell r="H123">
            <v>0</v>
          </cell>
          <cell r="I123">
            <v>387705597</v>
          </cell>
          <cell r="J123">
            <v>0</v>
          </cell>
          <cell r="K123">
            <v>271298035</v>
          </cell>
          <cell r="L123">
            <v>1259144552</v>
          </cell>
          <cell r="M123">
            <v>4163345</v>
          </cell>
        </row>
        <row r="124">
          <cell r="B124" t="str">
            <v>D_General_Fix Disability_NC</v>
          </cell>
          <cell r="C124">
            <v>5904</v>
          </cell>
          <cell r="D124">
            <v>190251135</v>
          </cell>
          <cell r="E124">
            <v>54.91</v>
          </cell>
          <cell r="F124">
            <v>11.27</v>
          </cell>
          <cell r="G124">
            <v>0</v>
          </cell>
          <cell r="H124">
            <v>0</v>
          </cell>
          <cell r="I124">
            <v>374744247</v>
          </cell>
          <cell r="J124">
            <v>0</v>
          </cell>
          <cell r="K124">
            <v>269485262</v>
          </cell>
          <cell r="L124">
            <v>1188047338</v>
          </cell>
          <cell r="M124">
            <v>9310577</v>
          </cell>
        </row>
        <row r="125">
          <cell r="B125" t="str">
            <v>D_General_Correct Groups_NC</v>
          </cell>
          <cell r="C125">
            <v>5785</v>
          </cell>
          <cell r="D125">
            <v>187581096</v>
          </cell>
          <cell r="E125">
            <v>55.19</v>
          </cell>
          <cell r="F125">
            <v>11.04</v>
          </cell>
          <cell r="G125">
            <v>0</v>
          </cell>
          <cell r="H125">
            <v>0</v>
          </cell>
          <cell r="I125">
            <v>363065543</v>
          </cell>
          <cell r="J125">
            <v>0</v>
          </cell>
          <cell r="K125">
            <v>259826502</v>
          </cell>
          <cell r="L125">
            <v>1160411680</v>
          </cell>
          <cell r="M125">
            <v>9124111</v>
          </cell>
        </row>
        <row r="126">
          <cell r="C126">
            <v>58</v>
          </cell>
          <cell r="D126">
            <v>2540584</v>
          </cell>
          <cell r="E126">
            <v>49.33</v>
          </cell>
          <cell r="F126">
            <v>10.78</v>
          </cell>
          <cell r="G126">
            <v>0</v>
          </cell>
          <cell r="H126">
            <v>0</v>
          </cell>
          <cell r="I126">
            <v>5931414</v>
          </cell>
          <cell r="J126">
            <v>0</v>
          </cell>
          <cell r="K126">
            <v>4172989</v>
          </cell>
          <cell r="L126">
            <v>16391218</v>
          </cell>
          <cell r="M126">
            <v>33720</v>
          </cell>
        </row>
        <row r="127">
          <cell r="B127" t="str">
            <v>D_Law Enforcement Officers_Fix Disability</v>
          </cell>
          <cell r="C127">
            <v>58</v>
          </cell>
          <cell r="D127">
            <v>2540584</v>
          </cell>
          <cell r="E127">
            <v>49.33</v>
          </cell>
          <cell r="F127">
            <v>10.78</v>
          </cell>
          <cell r="G127">
            <v>0</v>
          </cell>
          <cell r="H127">
            <v>0</v>
          </cell>
          <cell r="I127">
            <v>5367782</v>
          </cell>
          <cell r="J127">
            <v>0</v>
          </cell>
          <cell r="K127">
            <v>3916454</v>
          </cell>
          <cell r="L127">
            <v>15304273</v>
          </cell>
          <cell r="M127">
            <v>121171</v>
          </cell>
        </row>
        <row r="128">
          <cell r="B128" t="str">
            <v>D_Law Enforcement Officers_Correct Groups</v>
          </cell>
          <cell r="C128">
            <v>54</v>
          </cell>
          <cell r="D128">
            <v>2416084</v>
          </cell>
          <cell r="E128">
            <v>48.59</v>
          </cell>
          <cell r="F128">
            <v>11.52</v>
          </cell>
          <cell r="G128">
            <v>0</v>
          </cell>
          <cell r="H128">
            <v>0</v>
          </cell>
          <cell r="I128">
            <v>5299492</v>
          </cell>
          <cell r="J128">
            <v>0</v>
          </cell>
          <cell r="K128">
            <v>3902527</v>
          </cell>
          <cell r="L128">
            <v>14859237</v>
          </cell>
          <cell r="M128">
            <v>119611</v>
          </cell>
        </row>
        <row r="129">
          <cell r="C129">
            <v>58</v>
          </cell>
          <cell r="D129">
            <v>2540584</v>
          </cell>
          <cell r="E129">
            <v>49.33</v>
          </cell>
          <cell r="F129">
            <v>10.78</v>
          </cell>
          <cell r="G129">
            <v>0</v>
          </cell>
          <cell r="H129">
            <v>0</v>
          </cell>
          <cell r="I129">
            <v>5929537</v>
          </cell>
          <cell r="J129">
            <v>0</v>
          </cell>
          <cell r="K129">
            <v>4170628</v>
          </cell>
          <cell r="L129">
            <v>16391218</v>
          </cell>
          <cell r="M129">
            <v>33720</v>
          </cell>
        </row>
        <row r="130">
          <cell r="B130" t="str">
            <v>D_Law Enforcement Officers_Fix Disability_NC</v>
          </cell>
          <cell r="C130">
            <v>58</v>
          </cell>
          <cell r="D130">
            <v>2540584</v>
          </cell>
          <cell r="E130">
            <v>49.33</v>
          </cell>
          <cell r="F130">
            <v>10.78</v>
          </cell>
          <cell r="G130">
            <v>0</v>
          </cell>
          <cell r="H130">
            <v>0</v>
          </cell>
          <cell r="I130">
            <v>5366970</v>
          </cell>
          <cell r="J130">
            <v>0</v>
          </cell>
          <cell r="K130">
            <v>3905769</v>
          </cell>
          <cell r="L130">
            <v>15304273</v>
          </cell>
          <cell r="M130">
            <v>121171</v>
          </cell>
        </row>
        <row r="131">
          <cell r="B131" t="str">
            <v>D_Law Enforcement Officers_Correct Groups_NC</v>
          </cell>
          <cell r="C131">
            <v>54</v>
          </cell>
          <cell r="D131">
            <v>2416084</v>
          </cell>
          <cell r="E131">
            <v>48.59</v>
          </cell>
          <cell r="F131">
            <v>11.52</v>
          </cell>
          <cell r="G131">
            <v>0</v>
          </cell>
          <cell r="H131">
            <v>0</v>
          </cell>
          <cell r="I131">
            <v>5300664</v>
          </cell>
          <cell r="J131">
            <v>0</v>
          </cell>
          <cell r="K131">
            <v>3893078</v>
          </cell>
          <cell r="L131">
            <v>14859237</v>
          </cell>
          <cell r="M131">
            <v>119611</v>
          </cell>
        </row>
        <row r="132">
          <cell r="B132" t="str">
            <v>D_Other Education_Correct Groups</v>
          </cell>
          <cell r="C132">
            <v>265</v>
          </cell>
          <cell r="D132">
            <v>7238740</v>
          </cell>
          <cell r="E132">
            <v>53.55</v>
          </cell>
          <cell r="F132">
            <v>10.18</v>
          </cell>
          <cell r="G132">
            <v>0</v>
          </cell>
          <cell r="H132">
            <v>0</v>
          </cell>
          <cell r="I132">
            <v>14175087</v>
          </cell>
          <cell r="J132">
            <v>0</v>
          </cell>
          <cell r="K132">
            <v>9986551</v>
          </cell>
          <cell r="L132">
            <v>46709065</v>
          </cell>
          <cell r="M132">
            <v>273620</v>
          </cell>
        </row>
        <row r="133">
          <cell r="B133" t="str">
            <v>D_Other Education_Correct Groups_NC</v>
          </cell>
          <cell r="C133">
            <v>265</v>
          </cell>
          <cell r="D133">
            <v>7238740</v>
          </cell>
          <cell r="E133">
            <v>53.55</v>
          </cell>
          <cell r="F133">
            <v>10.18</v>
          </cell>
          <cell r="G133">
            <v>0</v>
          </cell>
          <cell r="H133">
            <v>0</v>
          </cell>
          <cell r="I133">
            <v>14452810</v>
          </cell>
          <cell r="J133">
            <v>0</v>
          </cell>
          <cell r="K133">
            <v>10230361</v>
          </cell>
          <cell r="L133">
            <v>46709065</v>
          </cell>
          <cell r="M133">
            <v>273620</v>
          </cell>
        </row>
        <row r="134">
          <cell r="B134" t="str">
            <v>A_Teachers_AFC Load</v>
          </cell>
          <cell r="C134">
            <v>150859</v>
          </cell>
          <cell r="D134">
            <v>6918855488</v>
          </cell>
          <cell r="E134">
            <v>43.17</v>
          </cell>
          <cell r="F134">
            <v>10.26</v>
          </cell>
          <cell r="G134">
            <v>0</v>
          </cell>
          <cell r="H134">
            <v>0</v>
          </cell>
          <cell r="I134">
            <v>19814003983</v>
          </cell>
          <cell r="J134">
            <v>0</v>
          </cell>
          <cell r="K134">
            <v>12984790666</v>
          </cell>
          <cell r="L134">
            <v>59749832108</v>
          </cell>
          <cell r="M134">
            <v>115046171</v>
          </cell>
          <cell r="N134">
            <v>411181250</v>
          </cell>
          <cell r="O134">
            <v>3072433749</v>
          </cell>
          <cell r="P134">
            <v>21442116</v>
          </cell>
        </row>
        <row r="135">
          <cell r="B135" t="str">
            <v>A_Teachers_AFC Load_NC</v>
          </cell>
          <cell r="C135">
            <v>150859</v>
          </cell>
          <cell r="D135">
            <v>6918855488</v>
          </cell>
          <cell r="E135">
            <v>43.17</v>
          </cell>
          <cell r="F135">
            <v>10.26</v>
          </cell>
          <cell r="G135">
            <v>0</v>
          </cell>
          <cell r="H135">
            <v>0</v>
          </cell>
          <cell r="I135">
            <v>19731025387</v>
          </cell>
          <cell r="J135">
            <v>0</v>
          </cell>
          <cell r="K135">
            <v>12940741107</v>
          </cell>
          <cell r="L135">
            <v>59749832108</v>
          </cell>
          <cell r="M135">
            <v>115046171</v>
          </cell>
          <cell r="N135">
            <v>410388580</v>
          </cell>
          <cell r="O135">
            <v>3072433749</v>
          </cell>
          <cell r="P135">
            <v>21442116</v>
          </cell>
        </row>
        <row r="136">
          <cell r="B136" t="str">
            <v>A_General_AFC Load</v>
          </cell>
          <cell r="C136">
            <v>113353</v>
          </cell>
          <cell r="D136">
            <v>5214530027</v>
          </cell>
          <cell r="E136">
            <v>45.8</v>
          </cell>
          <cell r="F136">
            <v>10.06</v>
          </cell>
          <cell r="G136">
            <v>0</v>
          </cell>
          <cell r="H136">
            <v>0</v>
          </cell>
          <cell r="I136">
            <v>13499019397</v>
          </cell>
          <cell r="J136">
            <v>0</v>
          </cell>
          <cell r="K136">
            <v>9098313614</v>
          </cell>
          <cell r="L136">
            <v>41545877871</v>
          </cell>
          <cell r="M136">
            <v>101993763</v>
          </cell>
          <cell r="N136">
            <v>252174087</v>
          </cell>
          <cell r="O136">
            <v>1973350931</v>
          </cell>
          <cell r="P136">
            <v>14202668</v>
          </cell>
        </row>
        <row r="137">
          <cell r="B137" t="str">
            <v>A_General_AFC Load_NC</v>
          </cell>
          <cell r="C137">
            <v>113353</v>
          </cell>
          <cell r="D137">
            <v>5214530027</v>
          </cell>
          <cell r="E137">
            <v>45.8</v>
          </cell>
          <cell r="F137">
            <v>10.06</v>
          </cell>
          <cell r="G137">
            <v>0</v>
          </cell>
          <cell r="H137">
            <v>0</v>
          </cell>
          <cell r="I137">
            <v>13469389802</v>
          </cell>
          <cell r="J137">
            <v>0</v>
          </cell>
          <cell r="K137">
            <v>9079625701</v>
          </cell>
          <cell r="L137">
            <v>41545877871</v>
          </cell>
          <cell r="M137">
            <v>101993763</v>
          </cell>
          <cell r="N137">
            <v>251494004</v>
          </cell>
          <cell r="O137">
            <v>1973350931</v>
          </cell>
          <cell r="P137">
            <v>14202668</v>
          </cell>
        </row>
        <row r="138">
          <cell r="B138" t="str">
            <v>A_Law Enforcement Officers_AFC Load</v>
          </cell>
          <cell r="C138">
            <v>3529</v>
          </cell>
          <cell r="D138">
            <v>204947078</v>
          </cell>
          <cell r="E138">
            <v>39.92</v>
          </cell>
          <cell r="F138">
            <v>12.8</v>
          </cell>
          <cell r="G138">
            <v>0</v>
          </cell>
          <cell r="H138">
            <v>0</v>
          </cell>
          <cell r="I138">
            <v>724185605</v>
          </cell>
          <cell r="J138">
            <v>0</v>
          </cell>
          <cell r="K138">
            <v>492446253</v>
          </cell>
          <cell r="L138">
            <v>1810236207</v>
          </cell>
          <cell r="M138">
            <v>1761540</v>
          </cell>
          <cell r="N138">
            <v>5708161</v>
          </cell>
          <cell r="O138">
            <v>30044906</v>
          </cell>
          <cell r="P138">
            <v>105362</v>
          </cell>
        </row>
        <row r="139">
          <cell r="B139" t="str">
            <v>A_Law Enforcement Officers_AFC Load_NC</v>
          </cell>
          <cell r="C139">
            <v>3529</v>
          </cell>
          <cell r="D139">
            <v>204947078</v>
          </cell>
          <cell r="E139">
            <v>39.92</v>
          </cell>
          <cell r="F139">
            <v>12.8</v>
          </cell>
          <cell r="G139">
            <v>0</v>
          </cell>
          <cell r="H139">
            <v>0</v>
          </cell>
          <cell r="I139">
            <v>723389605</v>
          </cell>
          <cell r="J139">
            <v>0</v>
          </cell>
          <cell r="K139">
            <v>492185920</v>
          </cell>
          <cell r="L139">
            <v>1810236207</v>
          </cell>
          <cell r="M139">
            <v>1761540</v>
          </cell>
          <cell r="N139">
            <v>5790859</v>
          </cell>
          <cell r="O139">
            <v>30044906</v>
          </cell>
          <cell r="P139">
            <v>105362</v>
          </cell>
        </row>
        <row r="140">
          <cell r="B140" t="str">
            <v>A_Other Education_AFC Load</v>
          </cell>
          <cell r="C140">
            <v>48906</v>
          </cell>
          <cell r="D140">
            <v>2001734581</v>
          </cell>
          <cell r="E140">
            <v>48.51</v>
          </cell>
          <cell r="F140">
            <v>10.72</v>
          </cell>
          <cell r="G140">
            <v>0</v>
          </cell>
          <cell r="H140">
            <v>0</v>
          </cell>
          <cell r="I140">
            <v>5898471414</v>
          </cell>
          <cell r="J140">
            <v>0</v>
          </cell>
          <cell r="K140">
            <v>4319266882</v>
          </cell>
          <cell r="L140">
            <v>14693640050</v>
          </cell>
          <cell r="M140">
            <v>30291613</v>
          </cell>
          <cell r="N140">
            <v>67424448</v>
          </cell>
          <cell r="O140">
            <v>485591978</v>
          </cell>
          <cell r="P140">
            <v>3729722</v>
          </cell>
        </row>
        <row r="141">
          <cell r="B141" t="str">
            <v>A_Other Education_AFC Load_NC</v>
          </cell>
          <cell r="C141">
            <v>48906</v>
          </cell>
          <cell r="D141">
            <v>2001734581</v>
          </cell>
          <cell r="E141">
            <v>48.51</v>
          </cell>
          <cell r="F141">
            <v>10.72</v>
          </cell>
          <cell r="G141">
            <v>0</v>
          </cell>
          <cell r="H141">
            <v>0</v>
          </cell>
          <cell r="I141">
            <v>5883485163</v>
          </cell>
          <cell r="J141">
            <v>0</v>
          </cell>
          <cell r="K141">
            <v>4308279747</v>
          </cell>
          <cell r="L141">
            <v>14693640050</v>
          </cell>
          <cell r="M141">
            <v>30291613</v>
          </cell>
          <cell r="N141">
            <v>67081485</v>
          </cell>
          <cell r="O141">
            <v>485591978</v>
          </cell>
          <cell r="P141">
            <v>3729722</v>
          </cell>
        </row>
        <row r="142">
          <cell r="C142" t="str">
            <v>01.09.01.04.05 - TSERS - Inactives - Teachers - New Groups</v>
          </cell>
          <cell r="D142" t="str">
            <v>01.09.01.04.06 - TSERS - Inactives - Other Ed. - New Groups</v>
          </cell>
          <cell r="E142" t="str">
            <v>01.09.01.05.03 - TSERS - Beneficiaries - Teachers - New Groups</v>
          </cell>
          <cell r="F142" t="str">
            <v>01.09.01.05.04 - TSERS - Beneficiaries - Other Ed. - New Groups</v>
          </cell>
          <cell r="G142" t="str">
            <v>01.09.01.06.05 - TSERS - Inactives - General - New Groups</v>
          </cell>
          <cell r="H142" t="str">
            <v>01.09.01.07.03 - TSERS - Beneficiaries - General - New Groups</v>
          </cell>
          <cell r="I142" t="str">
            <v>01.09.01.08.05 - TSERS - Inactives - LEO - New Groups</v>
          </cell>
          <cell r="J142" t="str">
            <v>01.09.01.09.03 - TSERS - Beneficiaries - LEO - New Groups</v>
          </cell>
          <cell r="K142" t="str">
            <v>02.08.01.01.01 - TSERS - Actives - Teachers - Grouped</v>
          </cell>
          <cell r="L142" t="str">
            <v>02.08.01.01.02 - TSERS - Actives - Teachers - Grouped - NC</v>
          </cell>
          <cell r="M142" t="str">
            <v>02.08.01.02.01 - TSERS - Actives - General - Grouped</v>
          </cell>
          <cell r="N142" t="str">
            <v>02.08.01.02.02 - TSERS - Actives - General - Grouped - NC</v>
          </cell>
          <cell r="O142" t="str">
            <v>02.08.01.03.01 - TSERS - Actives - Law Enforcement - Grouped</v>
          </cell>
          <cell r="P142" t="str">
            <v>02.08.01.03.02 - TSERS - Actives - Law Enforcement - Grouped - NC</v>
          </cell>
          <cell r="Q142" t="str">
            <v>02.08.01.04.01 - TSERS - Inactives - Teachers</v>
          </cell>
          <cell r="R142" t="str">
            <v>02.08.01.05.01 - TSERS - Beneficiaries - Teachers</v>
          </cell>
          <cell r="S142" t="str">
            <v>02.08.01.06.01 - TSERS - Inactives - General</v>
          </cell>
        </row>
        <row r="143">
          <cell r="C143" t="str">
            <v xml:space="preserve"> 01.09.01.04.05 - TSERS - Inactives - Teachers - New Groups</v>
          </cell>
          <cell r="D143" t="str">
            <v xml:space="preserve"> 01.09.01.04.06 - TSERS - Inactives - Other Ed. - New Groups</v>
          </cell>
          <cell r="E143" t="str">
            <v xml:space="preserve"> 01.09.01.05.03 - TSERS - Beneficiaries - Teachers - New Groups</v>
          </cell>
          <cell r="F143" t="str">
            <v xml:space="preserve"> 01.09.01.05.04 - TSERS - Beneficiaries - Other Ed. - New Groups</v>
          </cell>
          <cell r="G143" t="str">
            <v xml:space="preserve"> 01.09.01.06.05 - TSERS - Inactives - General - New Groups</v>
          </cell>
          <cell r="H143" t="str">
            <v xml:space="preserve"> 01.09.01.07.03 - TSERS - Beneficiaries - General - New Groups</v>
          </cell>
          <cell r="I143" t="str">
            <v xml:space="preserve"> 01.09.01.08.05 - TSERS - Inactives - LEO - New Groups</v>
          </cell>
          <cell r="J143" t="str">
            <v xml:space="preserve"> 01.09.01.09.03 - TSERS - Beneficiaries - LEO - New Groups</v>
          </cell>
          <cell r="K143" t="str">
            <v xml:space="preserve"> 02.08.01.01.01 - TSERS - Actives - Teachers - Grouped</v>
          </cell>
          <cell r="L143" t="str">
            <v xml:space="preserve"> 02.08.01.01.02 - TSERS - Actives - Teachers - Grouped - NC</v>
          </cell>
          <cell r="M143" t="str">
            <v xml:space="preserve"> 02.08.01.02.01 - TSERS - Actives - General - Grouped</v>
          </cell>
          <cell r="N143" t="str">
            <v xml:space="preserve"> 02.08.01.02.02 - TSERS - Actives - General - Grouped - NC</v>
          </cell>
          <cell r="O143" t="str">
            <v xml:space="preserve"> 02.08.01.03.01 - TSERS - Actives - Law Enforcement - Grouped</v>
          </cell>
          <cell r="P143" t="str">
            <v xml:space="preserve"> 02.08.01.03.02 - TSERS - Actives - Law Enforcement - Grouped - NC</v>
          </cell>
          <cell r="Q143" t="str">
            <v xml:space="preserve"> 02.08.01.04.01 - TSERS - Inactives - Teachers</v>
          </cell>
          <cell r="R143" t="str">
            <v xml:space="preserve"> 02.08.01.05.01 - TSERS - Beneficiaries - Teachers</v>
          </cell>
          <cell r="S143" t="str">
            <v xml:space="preserve"> 02.08.01.06.01 - TSERS - Inactives - General</v>
          </cell>
        </row>
        <row r="144">
          <cell r="C144" t="str">
            <v xml:space="preserve"> 12/31/2009</v>
          </cell>
          <cell r="D144" t="str">
            <v xml:space="preserve"> 12/31/2009</v>
          </cell>
          <cell r="E144" t="str">
            <v xml:space="preserve"> 12/31/2009</v>
          </cell>
          <cell r="F144" t="str">
            <v xml:space="preserve"> 12/31/2009</v>
          </cell>
          <cell r="G144" t="str">
            <v xml:space="preserve"> 12/31/2009</v>
          </cell>
          <cell r="H144" t="str">
            <v xml:space="preserve"> 12/31/2009</v>
          </cell>
          <cell r="I144" t="str">
            <v xml:space="preserve"> 12/31/2009</v>
          </cell>
          <cell r="J144" t="str">
            <v xml:space="preserve"> 12/31/2009</v>
          </cell>
          <cell r="K144" t="str">
            <v xml:space="preserve"> 12/31/2008</v>
          </cell>
          <cell r="L144" t="str">
            <v xml:space="preserve"> 12/31/2008</v>
          </cell>
          <cell r="M144" t="str">
            <v xml:space="preserve"> 12/31/2008</v>
          </cell>
          <cell r="N144" t="str">
            <v xml:space="preserve"> 12/31/2008</v>
          </cell>
          <cell r="O144" t="str">
            <v xml:space="preserve"> 12/31/2008</v>
          </cell>
          <cell r="P144" t="str">
            <v xml:space="preserve"> 12/31/2008</v>
          </cell>
          <cell r="Q144" t="str">
            <v xml:space="preserve"> 12/31/2008</v>
          </cell>
          <cell r="R144" t="str">
            <v xml:space="preserve"> 12/31/2008</v>
          </cell>
          <cell r="S144" t="str">
            <v xml:space="preserve"> 12/31/2008</v>
          </cell>
        </row>
        <row r="145">
          <cell r="C145" t="str">
            <v xml:space="preserve"> 01.01.09.01 - TSERS - Teachers &amp; General</v>
          </cell>
          <cell r="D145" t="str">
            <v xml:space="preserve"> 01.01.09.01 - TSERS - Teachers &amp; General</v>
          </cell>
          <cell r="E145" t="str">
            <v xml:space="preserve"> 01.01.09.01 - TSERS - Teachers &amp; General</v>
          </cell>
          <cell r="F145" t="str">
            <v xml:space="preserve"> 01.01.09.01 - TSERS - Teachers &amp; General</v>
          </cell>
          <cell r="G145" t="str">
            <v xml:space="preserve"> 01.01.09.01 - TSERS - Teachers &amp; General</v>
          </cell>
          <cell r="H145" t="str">
            <v xml:space="preserve"> 01.01.09.01 - TSERS - Teachers &amp; General</v>
          </cell>
          <cell r="I145" t="str">
            <v xml:space="preserve"> 01.02.09.01 - TSERS - Law Enforcement Officers</v>
          </cell>
          <cell r="J145" t="str">
            <v xml:space="preserve"> 01.02.09.01 - TSERS - Law Enforcement Officers</v>
          </cell>
          <cell r="K145" t="str">
            <v xml:space="preserve"> 01.01.08 - TSERS - Teachers &amp; General</v>
          </cell>
          <cell r="L145" t="str">
            <v xml:space="preserve"> 01.01.08 - TSERS - Teachers &amp; General</v>
          </cell>
          <cell r="M145" t="str">
            <v xml:space="preserve"> 01.01.08 - TSERS - Teachers &amp; General</v>
          </cell>
          <cell r="N145" t="str">
            <v xml:space="preserve"> 01.01.08 - TSERS - Teachers &amp; General</v>
          </cell>
          <cell r="O145" t="str">
            <v xml:space="preserve"> 01.02.08 - TSERS - Law Enforcement Officers</v>
          </cell>
          <cell r="P145" t="str">
            <v xml:space="preserve"> 01.02.08 - TSERS - Law Enforcement Officers</v>
          </cell>
          <cell r="Q145" t="str">
            <v xml:space="preserve"> 01.01.08 - TSERS - Teachers &amp; General</v>
          </cell>
          <cell r="R145" t="str">
            <v xml:space="preserve"> 01.01.08 - TSERS - Teachers &amp; General</v>
          </cell>
          <cell r="S145" t="str">
            <v xml:space="preserve"> 01.01.08 - TSERS - Teachers &amp; General</v>
          </cell>
        </row>
        <row r="146">
          <cell r="C146" t="str">
            <v xml:space="preserve"> 09.01.02 - Inactives</v>
          </cell>
          <cell r="D146" t="str">
            <v xml:space="preserve"> 09.01.02 - Inactives</v>
          </cell>
          <cell r="E146" t="str">
            <v xml:space="preserve"> 09.01.03 - Beneficiaries</v>
          </cell>
          <cell r="F146" t="str">
            <v xml:space="preserve"> 09.01.03 - Beneficiaries</v>
          </cell>
          <cell r="G146" t="str">
            <v xml:space="preserve"> 09.01.02 - Inactives</v>
          </cell>
          <cell r="H146" t="str">
            <v xml:space="preserve"> 09.01.03 - Beneficiaries</v>
          </cell>
          <cell r="I146" t="str">
            <v xml:space="preserve"> 09.01.02 - Inactives</v>
          </cell>
          <cell r="J146" t="str">
            <v xml:space="preserve"> 09.01.03 - Beneficiaries</v>
          </cell>
          <cell r="K146" t="str">
            <v xml:space="preserve"> 08.02.01 - Actives - Grouped</v>
          </cell>
          <cell r="L146" t="str">
            <v xml:space="preserve"> 08.02.02 - Actives - Grouped - NC</v>
          </cell>
          <cell r="M146" t="str">
            <v xml:space="preserve"> 08.02.01 - Actives - Grouped</v>
          </cell>
          <cell r="N146" t="str">
            <v xml:space="preserve"> 08.02.02 - Actives - Grouped - NC</v>
          </cell>
          <cell r="O146" t="str">
            <v xml:space="preserve"> 08.02.01 - Actives - Grouped</v>
          </cell>
          <cell r="P146" t="str">
            <v xml:space="preserve"> 08.02.02 - Actives - Grouped - NC</v>
          </cell>
          <cell r="Q146" t="str">
            <v xml:space="preserve"> 08.02.02 - Inactives - Grouped</v>
          </cell>
          <cell r="R146" t="str">
            <v xml:space="preserve"> 08.02.03 - Beneficiaries - Grouped</v>
          </cell>
          <cell r="S146" t="str">
            <v xml:space="preserve"> 08.02.02 - Inactives - Grouped</v>
          </cell>
        </row>
        <row r="147">
          <cell r="C147" t="str">
            <v xml:space="preserve"> 09.08 Correct Groups</v>
          </cell>
          <cell r="D147" t="str">
            <v xml:space="preserve"> 09.08 Correct Groups</v>
          </cell>
          <cell r="E147" t="str">
            <v xml:space="preserve"> 09.08 Correct Groups</v>
          </cell>
          <cell r="F147" t="str">
            <v xml:space="preserve"> 09.08 Correct Groups</v>
          </cell>
          <cell r="G147" t="str">
            <v xml:space="preserve"> 09.08 Correct Groups</v>
          </cell>
          <cell r="H147" t="str">
            <v xml:space="preserve"> 09.08 Correct Groups</v>
          </cell>
          <cell r="I147" t="str">
            <v xml:space="preserve"> 09.08 Correct Groups</v>
          </cell>
          <cell r="J147" t="str">
            <v xml:space="preserve"> 09.08 Correct Groups</v>
          </cell>
          <cell r="K147" t="str">
            <v xml:space="preserve"> 2008 Grouped Data - Round EA</v>
          </cell>
          <cell r="L147" t="str">
            <v xml:space="preserve"> 2008 Grouped Data - Round EA</v>
          </cell>
          <cell r="M147" t="str">
            <v xml:space="preserve"> 2008 Grouped Data - Round EA</v>
          </cell>
          <cell r="N147" t="str">
            <v xml:space="preserve"> 2008 Grouped Data - Round EA</v>
          </cell>
          <cell r="O147" t="str">
            <v xml:space="preserve"> 2008 Grouped Data - Round EA</v>
          </cell>
          <cell r="P147" t="str">
            <v xml:space="preserve"> 2008 Grouped Data - Round EA</v>
          </cell>
          <cell r="Q147" t="str">
            <v xml:space="preserve"> 2008 Grouped Data - Round EA</v>
          </cell>
          <cell r="R147" t="str">
            <v xml:space="preserve"> 2008 Grouped Data - Round EA</v>
          </cell>
          <cell r="S147" t="str">
            <v xml:space="preserve"> 2008 Grouped Data - Round EA</v>
          </cell>
        </row>
        <row r="148">
          <cell r="C148" t="str">
            <v xml:space="preserve"> &lt;none&gt;</v>
          </cell>
          <cell r="D148" t="str">
            <v xml:space="preserve"> &lt;none&gt;</v>
          </cell>
          <cell r="E148" t="str">
            <v xml:space="preserve"> &lt;none&gt;</v>
          </cell>
          <cell r="F148" t="str">
            <v xml:space="preserve"> &lt;none&gt;</v>
          </cell>
          <cell r="G148" t="str">
            <v xml:space="preserve"> &lt;none&gt;</v>
          </cell>
          <cell r="H148" t="str">
            <v xml:space="preserve"> &lt;none&gt;</v>
          </cell>
          <cell r="I148" t="str">
            <v xml:space="preserve"> &lt;none&gt;</v>
          </cell>
          <cell r="J148" t="str">
            <v xml:space="preserve"> &lt;none&gt;</v>
          </cell>
          <cell r="K148" t="str">
            <v xml:space="preserve"> &lt;none&gt;</v>
          </cell>
          <cell r="L148" t="str">
            <v xml:space="preserve"> &lt;none&gt;</v>
          </cell>
          <cell r="M148" t="str">
            <v xml:space="preserve"> &lt;none&gt;</v>
          </cell>
          <cell r="N148" t="str">
            <v xml:space="preserve"> &lt;none&gt;</v>
          </cell>
          <cell r="O148" t="str">
            <v xml:space="preserve"> &lt;none&gt;</v>
          </cell>
          <cell r="P148" t="str">
            <v xml:space="preserve"> &lt;none&gt;</v>
          </cell>
          <cell r="Q148" t="str">
            <v xml:space="preserve"> &lt;none&gt;</v>
          </cell>
          <cell r="R148" t="str">
            <v xml:space="preserve"> &lt;none&gt;</v>
          </cell>
          <cell r="S148" t="str">
            <v xml:space="preserve"> &lt;none&gt;</v>
          </cell>
        </row>
        <row r="149">
          <cell r="C149" t="str">
            <v xml:space="preserve"> October 1, 2010  4:49 PM</v>
          </cell>
          <cell r="D149" t="str">
            <v xml:space="preserve"> October 1, 2010  4:49 PM</v>
          </cell>
          <cell r="E149" t="str">
            <v xml:space="preserve"> October 1, 2010  4:50 PM</v>
          </cell>
          <cell r="F149" t="str">
            <v xml:space="preserve"> October 1, 2010  4:50 PM</v>
          </cell>
          <cell r="G149" t="str">
            <v xml:space="preserve"> October 1, 2010  4:59 PM</v>
          </cell>
          <cell r="H149" t="str">
            <v xml:space="preserve"> October 1, 2010  5:00 PM</v>
          </cell>
          <cell r="I149" t="str">
            <v xml:space="preserve"> October 1, 2010  5:00 PM</v>
          </cell>
          <cell r="J149" t="str">
            <v xml:space="preserve"> October 1, 2010  5:00 PM</v>
          </cell>
          <cell r="K149" t="str">
            <v xml:space="preserve"> October 1, 2010  5:22 PM</v>
          </cell>
          <cell r="L149" t="str">
            <v xml:space="preserve"> October 1, 2010  5:22 PM</v>
          </cell>
          <cell r="M149" t="str">
            <v xml:space="preserve"> October 1, 2010  5:23 PM</v>
          </cell>
          <cell r="N149" t="str">
            <v xml:space="preserve"> October 1, 2010  5:23 PM</v>
          </cell>
          <cell r="O149" t="str">
            <v xml:space="preserve"> October 1, 2010  5:24 PM</v>
          </cell>
          <cell r="P149" t="str">
            <v xml:space="preserve"> October 1, 2010  5:24 PM</v>
          </cell>
          <cell r="Q149" t="str">
            <v xml:space="preserve"> August 31, 2010  12:01 AM</v>
          </cell>
          <cell r="R149" t="str">
            <v xml:space="preserve"> August 31, 2010  12:01 AM</v>
          </cell>
          <cell r="S149" t="str">
            <v xml:space="preserve"> August 31, 2010  12:02 AM</v>
          </cell>
        </row>
        <row r="150">
          <cell r="C150" t="str">
            <v xml:space="preserve"> 3.01 Sep 13, 2010</v>
          </cell>
          <cell r="D150" t="str">
            <v xml:space="preserve"> 3.01 Sep 13, 2010</v>
          </cell>
          <cell r="E150" t="str">
            <v xml:space="preserve"> 3.01 Sep 13, 2010</v>
          </cell>
          <cell r="F150" t="str">
            <v xml:space="preserve"> 3.01 Sep 13, 2010</v>
          </cell>
          <cell r="G150" t="str">
            <v xml:space="preserve"> 3.01 Sep 13, 2010</v>
          </cell>
          <cell r="H150" t="str">
            <v xml:space="preserve"> 3.01 Sep 13, 2010</v>
          </cell>
          <cell r="I150" t="str">
            <v xml:space="preserve"> 3.01 Sep 13, 2010</v>
          </cell>
          <cell r="J150" t="str">
            <v xml:space="preserve"> 3.01 Sep 13, 2010</v>
          </cell>
          <cell r="K150" t="str">
            <v xml:space="preserve"> 3.01 Sep 13, 2010</v>
          </cell>
          <cell r="L150" t="str">
            <v xml:space="preserve"> 3.01 Sep 13, 2010</v>
          </cell>
          <cell r="M150" t="str">
            <v xml:space="preserve"> 3.01 Sep 13, 2010</v>
          </cell>
          <cell r="N150" t="str">
            <v xml:space="preserve"> 3.01 Sep 13, 2010</v>
          </cell>
          <cell r="O150" t="str">
            <v xml:space="preserve"> 3.01 Sep 13, 2010</v>
          </cell>
          <cell r="P150" t="str">
            <v xml:space="preserve"> 3.01 Sep 13, 2010</v>
          </cell>
          <cell r="Q150" t="str">
            <v xml:space="preserve"> 3.01 Aug 19, 2010</v>
          </cell>
          <cell r="R150" t="str">
            <v xml:space="preserve"> 3.01 Aug 19, 2010</v>
          </cell>
          <cell r="S150" t="str">
            <v xml:space="preserve"> 3.01 Aug 19, 2010</v>
          </cell>
        </row>
        <row r="151">
          <cell r="C151" t="str">
            <v xml:space="preserve"> 01.01.09.04 - TSERS - Teachers - Mortality</v>
          </cell>
          <cell r="D151" t="str">
            <v xml:space="preserve"> 01.02.09.04 - TSERS - General - Mortality</v>
          </cell>
          <cell r="E151" t="str">
            <v xml:space="preserve"> 01.01.09.04 - TSERS - Teachers - Mortality</v>
          </cell>
          <cell r="F151" t="str">
            <v xml:space="preserve"> 01.02.09.04 - TSERS - General - Mortality</v>
          </cell>
          <cell r="G151" t="str">
            <v xml:space="preserve"> 01.02.09.04 - TSERS - General - Mortality</v>
          </cell>
          <cell r="H151" t="str">
            <v xml:space="preserve"> 01.02.09.04 - TSERS - General - Mortality</v>
          </cell>
          <cell r="I151" t="str">
            <v xml:space="preserve"> 01.03.09.04 - TSERS - Law Enforcement Officers - Mortality</v>
          </cell>
          <cell r="J151" t="str">
            <v xml:space="preserve"> 01.03.09.04 - TSERS - Law Enforcement Officers - Mortality</v>
          </cell>
          <cell r="K151" t="str">
            <v xml:space="preserve"> 01.01.08.01 - TSERS - Teachers</v>
          </cell>
          <cell r="L151" t="str">
            <v xml:space="preserve"> 01.01.08.02 - TSERS - Teachers - NC</v>
          </cell>
          <cell r="M151" t="str">
            <v xml:space="preserve"> 01.02.08.01 - TSERS - General</v>
          </cell>
          <cell r="N151" t="str">
            <v xml:space="preserve"> 01.02.08.02 - TSERS - General - NC</v>
          </cell>
          <cell r="O151" t="str">
            <v xml:space="preserve"> 01.03.08.01 - TSERS - Law Enforcement Officers</v>
          </cell>
          <cell r="P151" t="str">
            <v xml:space="preserve"> 01.03.08.02 - TSERS - Law Enforcement Officers - NC</v>
          </cell>
          <cell r="Q151" t="str">
            <v xml:space="preserve"> 01.01.08.01 - TSERS - Teachers</v>
          </cell>
          <cell r="R151" t="str">
            <v xml:space="preserve"> 01.01.08.01 - TSERS - Teachers</v>
          </cell>
          <cell r="S151" t="str">
            <v xml:space="preserve"> 01.02.08.01 - TSERS - General</v>
          </cell>
        </row>
        <row r="152">
          <cell r="C152">
            <v>7.2499999999999995E-2</v>
          </cell>
          <cell r="D152">
            <v>7.2499999999999995E-2</v>
          </cell>
          <cell r="E152">
            <v>7.2499999999999995E-2</v>
          </cell>
          <cell r="F152">
            <v>7.2499999999999995E-2</v>
          </cell>
          <cell r="G152">
            <v>7.2499999999999995E-2</v>
          </cell>
          <cell r="H152">
            <v>7.2499999999999995E-2</v>
          </cell>
          <cell r="I152">
            <v>7.2499999999999995E-2</v>
          </cell>
          <cell r="J152">
            <v>7.2499999999999995E-2</v>
          </cell>
          <cell r="K152">
            <v>7.2499999999999995E-2</v>
          </cell>
          <cell r="L152">
            <v>7.2499999999999995E-2</v>
          </cell>
          <cell r="M152">
            <v>7.2499999999999995E-2</v>
          </cell>
          <cell r="N152">
            <v>7.2499999999999995E-2</v>
          </cell>
          <cell r="O152">
            <v>7.2499999999999995E-2</v>
          </cell>
          <cell r="P152">
            <v>7.2499999999999995E-2</v>
          </cell>
          <cell r="Q152">
            <v>7.2499999999999995E-2</v>
          </cell>
          <cell r="R152">
            <v>7.2499999999999995E-2</v>
          </cell>
          <cell r="S152">
            <v>7.2499999999999995E-2</v>
          </cell>
        </row>
        <row r="153">
          <cell r="C153" t="str">
            <v xml:space="preserve"> 0.035 + merit scale</v>
          </cell>
          <cell r="D153" t="str">
            <v xml:space="preserve"> 0.035 + merit scale</v>
          </cell>
          <cell r="E153" t="str">
            <v xml:space="preserve"> 0.035 + merit scale</v>
          </cell>
          <cell r="F153" t="str">
            <v xml:space="preserve"> 0.035 + merit scale</v>
          </cell>
          <cell r="G153" t="str">
            <v xml:space="preserve"> 0.035 + merit scale</v>
          </cell>
          <cell r="H153" t="str">
            <v xml:space="preserve"> 0.035 + merit scale</v>
          </cell>
          <cell r="I153" t="str">
            <v xml:space="preserve"> 0.035 + merit scale</v>
          </cell>
          <cell r="J153" t="str">
            <v xml:space="preserve"> 0.035 + merit scale</v>
          </cell>
          <cell r="K153" t="str">
            <v xml:space="preserve"> 0.0375 + merit scale</v>
          </cell>
          <cell r="L153" t="str">
            <v xml:space="preserve"> 0.0375 + merit scale</v>
          </cell>
          <cell r="M153" t="str">
            <v xml:space="preserve"> 0.0375 + merit scale</v>
          </cell>
          <cell r="N153" t="str">
            <v xml:space="preserve"> 0.0375 + merit scale</v>
          </cell>
          <cell r="O153" t="str">
            <v xml:space="preserve"> 0.0375 + merit scale</v>
          </cell>
          <cell r="P153" t="str">
            <v xml:space="preserve"> 0.0375 + merit scale</v>
          </cell>
          <cell r="Q153" t="str">
            <v xml:space="preserve"> 0.0375 + merit scale</v>
          </cell>
          <cell r="R153" t="str">
            <v xml:space="preserve"> 0.0375 + merit scale</v>
          </cell>
          <cell r="S153" t="str">
            <v xml:space="preserve"> 0.0375 + merit scale</v>
          </cell>
        </row>
        <row r="154">
          <cell r="C154" t="str">
            <v xml:space="preserve"> &lt;not run&gt;</v>
          </cell>
          <cell r="D154" t="str">
            <v xml:space="preserve"> &lt;not run&gt;</v>
          </cell>
          <cell r="E154" t="str">
            <v xml:space="preserve"> &lt;not run&gt;</v>
          </cell>
          <cell r="F154" t="str">
            <v xml:space="preserve"> &lt;not run&gt;</v>
          </cell>
          <cell r="G154" t="str">
            <v xml:space="preserve"> &lt;not run&gt;</v>
          </cell>
          <cell r="H154" t="str">
            <v xml:space="preserve"> &lt;not run&gt;</v>
          </cell>
          <cell r="I154" t="str">
            <v xml:space="preserve"> &lt;not run&gt;</v>
          </cell>
          <cell r="J154" t="str">
            <v xml:space="preserve"> &lt;not run&gt;</v>
          </cell>
          <cell r="K154" t="str">
            <v xml:space="preserve"> &lt;not run&gt;</v>
          </cell>
          <cell r="L154" t="str">
            <v xml:space="preserve"> &lt;not run&gt;</v>
          </cell>
          <cell r="M154" t="str">
            <v xml:space="preserve"> &lt;not run&gt;</v>
          </cell>
          <cell r="N154" t="str">
            <v xml:space="preserve"> &lt;not run&gt;</v>
          </cell>
          <cell r="O154" t="str">
            <v xml:space="preserve"> &lt;not run&gt;</v>
          </cell>
          <cell r="P154" t="str">
            <v xml:space="preserve"> &lt;not run&gt;</v>
          </cell>
          <cell r="Q154" t="str">
            <v xml:space="preserve"> &lt;not run&gt;</v>
          </cell>
          <cell r="R154" t="str">
            <v xml:space="preserve"> &lt;not run&gt;</v>
          </cell>
          <cell r="S154" t="str">
            <v xml:space="preserve"> &lt;not run&gt;</v>
          </cell>
        </row>
        <row r="155">
          <cell r="C155" t="str">
            <v xml:space="preserve"> &lt;not run&gt;</v>
          </cell>
          <cell r="D155" t="str">
            <v xml:space="preserve"> &lt;not run&gt;</v>
          </cell>
          <cell r="E155" t="str">
            <v xml:space="preserve"> &lt;not run&gt;</v>
          </cell>
          <cell r="F155" t="str">
            <v xml:space="preserve"> &lt;not run&gt;</v>
          </cell>
          <cell r="G155" t="str">
            <v xml:space="preserve"> &lt;not run&gt;</v>
          </cell>
          <cell r="H155" t="str">
            <v xml:space="preserve"> &lt;not run&gt;</v>
          </cell>
          <cell r="I155" t="str">
            <v xml:space="preserve"> &lt;not run&gt;</v>
          </cell>
          <cell r="J155" t="str">
            <v xml:space="preserve"> &lt;not run&gt;</v>
          </cell>
          <cell r="K155" t="str">
            <v xml:space="preserve"> &lt;not run&gt;</v>
          </cell>
          <cell r="L155" t="str">
            <v xml:space="preserve"> &lt;not run&gt;</v>
          </cell>
          <cell r="M155" t="str">
            <v xml:space="preserve"> &lt;not run&gt;</v>
          </cell>
          <cell r="N155" t="str">
            <v xml:space="preserve"> &lt;not run&gt;</v>
          </cell>
          <cell r="O155" t="str">
            <v xml:space="preserve"> &lt;not run&gt;</v>
          </cell>
          <cell r="P155" t="str">
            <v xml:space="preserve"> &lt;not run&gt;</v>
          </cell>
          <cell r="Q155" t="str">
            <v xml:space="preserve"> &lt;not run&gt;</v>
          </cell>
          <cell r="R155" t="str">
            <v xml:space="preserve"> &lt;not run&gt;</v>
          </cell>
          <cell r="S155" t="str">
            <v xml:space="preserve"> &lt;not run&gt;</v>
          </cell>
        </row>
        <row r="156">
          <cell r="C156" t="str">
            <v xml:space="preserve"> &lt;none&gt;</v>
          </cell>
          <cell r="D156" t="str">
            <v xml:space="preserve"> &lt;none&gt;</v>
          </cell>
          <cell r="E156" t="str">
            <v xml:space="preserve"> &lt;none&gt;</v>
          </cell>
          <cell r="F156" t="str">
            <v xml:space="preserve"> &lt;none&gt;</v>
          </cell>
          <cell r="G156" t="str">
            <v xml:space="preserve"> &lt;none&gt;</v>
          </cell>
          <cell r="H156" t="str">
            <v xml:space="preserve"> &lt;none&gt;</v>
          </cell>
          <cell r="I156" t="str">
            <v xml:space="preserve"> &lt;none&gt;</v>
          </cell>
          <cell r="J156" t="str">
            <v xml:space="preserve"> &lt;none&gt;</v>
          </cell>
          <cell r="K156" t="str">
            <v xml:space="preserve"> &lt;none&gt;</v>
          </cell>
          <cell r="L156" t="str">
            <v xml:space="preserve"> &lt;none&gt;</v>
          </cell>
          <cell r="M156" t="str">
            <v xml:space="preserve"> &lt;none&gt;</v>
          </cell>
          <cell r="N156" t="str">
            <v xml:space="preserve"> &lt;none&gt;</v>
          </cell>
          <cell r="O156" t="str">
            <v xml:space="preserve"> &lt;none&gt;</v>
          </cell>
          <cell r="P156" t="str">
            <v xml:space="preserve"> &lt;none&gt;</v>
          </cell>
          <cell r="Q156" t="str">
            <v xml:space="preserve"> &lt;none&gt;</v>
          </cell>
          <cell r="R156" t="str">
            <v xml:space="preserve"> &lt;none&gt;</v>
          </cell>
          <cell r="S156" t="str">
            <v xml:space="preserve"> &lt;none&gt;</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tabSelected="1" workbookViewId="0"/>
  </sheetViews>
  <sheetFormatPr defaultColWidth="9.140625" defaultRowHeight="12.75"/>
  <cols>
    <col min="1" max="1" width="42.28515625" style="76" customWidth="1"/>
    <col min="2" max="2" width="9.28515625" style="76" customWidth="1"/>
    <col min="3" max="3" width="53.7109375" style="76" customWidth="1"/>
    <col min="4" max="4" width="45.42578125" style="76" bestFit="1" customWidth="1"/>
    <col min="5" max="16384" width="9.140625" style="76"/>
  </cols>
  <sheetData>
    <row r="1" spans="1:5">
      <c r="A1" s="57" t="s">
        <v>134</v>
      </c>
      <c r="B1" s="57"/>
      <c r="C1" s="58"/>
      <c r="D1" s="58"/>
      <c r="E1" s="59"/>
    </row>
    <row r="2" spans="1:5">
      <c r="A2" s="57" t="s">
        <v>159</v>
      </c>
      <c r="B2" s="57"/>
      <c r="C2" s="58"/>
    </row>
    <row r="3" spans="1:5">
      <c r="A3" s="60" t="s">
        <v>243</v>
      </c>
      <c r="B3" s="60"/>
      <c r="C3" s="58"/>
      <c r="D3" s="58"/>
    </row>
    <row r="4" spans="1:5" s="149" customFormat="1">
      <c r="A4" s="60"/>
      <c r="B4" s="60"/>
      <c r="C4" s="58"/>
      <c r="D4" s="58"/>
    </row>
    <row r="5" spans="1:5" s="149" customFormat="1">
      <c r="A5" s="60"/>
      <c r="B5" s="60"/>
      <c r="C5" s="58"/>
      <c r="D5" s="58"/>
    </row>
    <row r="6" spans="1:5" s="149" customFormat="1">
      <c r="A6" s="60" t="s">
        <v>237</v>
      </c>
      <c r="B6" s="60"/>
      <c r="C6" s="58"/>
      <c r="D6" s="58"/>
    </row>
    <row r="7" spans="1:5" s="149" customFormat="1">
      <c r="A7" s="60"/>
      <c r="B7" s="60"/>
      <c r="C7" s="58"/>
      <c r="D7" s="58"/>
    </row>
    <row r="8" spans="1:5" s="149" customFormat="1">
      <c r="A8" s="164" t="s">
        <v>242</v>
      </c>
      <c r="B8" s="60"/>
      <c r="C8" s="58"/>
      <c r="D8" s="58"/>
    </row>
    <row r="9" spans="1:5" s="149" customFormat="1">
      <c r="A9" s="164" t="s">
        <v>297</v>
      </c>
      <c r="B9" s="60"/>
      <c r="C9" s="58"/>
      <c r="D9" s="58"/>
    </row>
    <row r="10" spans="1:5" s="149" customFormat="1">
      <c r="A10" s="164" t="s">
        <v>241</v>
      </c>
      <c r="B10" s="60"/>
      <c r="C10" s="58"/>
      <c r="D10" s="58"/>
    </row>
    <row r="11" spans="1:5" s="149" customFormat="1">
      <c r="A11" s="165" t="s">
        <v>238</v>
      </c>
      <c r="B11" s="60"/>
      <c r="C11" s="58"/>
      <c r="D11" s="58"/>
    </row>
    <row r="12" spans="1:5" s="149" customFormat="1">
      <c r="A12" s="164"/>
      <c r="B12" s="60"/>
      <c r="C12" s="58"/>
      <c r="D12" s="58"/>
    </row>
    <row r="13" spans="1:5" s="149" customFormat="1">
      <c r="A13" s="164" t="s">
        <v>239</v>
      </c>
      <c r="B13" s="60"/>
      <c r="C13" s="58"/>
      <c r="D13" s="58"/>
    </row>
    <row r="14" spans="1:5" s="149" customFormat="1">
      <c r="A14" s="164" t="s">
        <v>240</v>
      </c>
      <c r="B14" s="60"/>
      <c r="C14" s="58"/>
      <c r="D14" s="58"/>
    </row>
    <row r="15" spans="1:5" s="149" customFormat="1">
      <c r="A15" s="60"/>
      <c r="B15" s="60"/>
      <c r="C15" s="58"/>
      <c r="D15" s="58"/>
    </row>
    <row r="16" spans="1:5">
      <c r="A16" s="58"/>
      <c r="B16" s="58"/>
      <c r="C16" s="58"/>
      <c r="D16" s="58"/>
    </row>
    <row r="17" spans="1:4">
      <c r="A17" s="61" t="s">
        <v>132</v>
      </c>
      <c r="B17" s="61"/>
      <c r="C17" s="62" t="s">
        <v>32</v>
      </c>
      <c r="D17" s="63" t="s">
        <v>133</v>
      </c>
    </row>
    <row r="18" spans="1:4">
      <c r="A18" s="58"/>
      <c r="B18" s="58"/>
      <c r="C18" s="64"/>
      <c r="D18" s="136"/>
    </row>
    <row r="19" spans="1:4" ht="51">
      <c r="A19" s="194" t="s">
        <v>296</v>
      </c>
      <c r="B19" s="58"/>
      <c r="C19" s="193">
        <v>0</v>
      </c>
      <c r="D19" s="63" t="s">
        <v>213</v>
      </c>
    </row>
    <row r="20" spans="1:4">
      <c r="A20" s="58"/>
      <c r="B20" s="58"/>
      <c r="C20" s="137"/>
      <c r="D20" s="63"/>
    </row>
    <row r="21" spans="1:4" hidden="1">
      <c r="A21" s="58"/>
      <c r="B21" s="58"/>
      <c r="C21" s="137" t="str">
        <f>C17</f>
        <v>ALAMANCE</v>
      </c>
      <c r="D21" s="63"/>
    </row>
    <row r="22" spans="1:4" hidden="1">
      <c r="A22" s="58"/>
      <c r="B22" s="58"/>
      <c r="C22" s="137"/>
      <c r="D22" s="63"/>
    </row>
    <row r="23" spans="1:4">
      <c r="A23" s="58" t="s">
        <v>295</v>
      </c>
      <c r="B23" s="138"/>
      <c r="C23" s="139">
        <v>0</v>
      </c>
      <c r="D23" s="63" t="s">
        <v>213</v>
      </c>
    </row>
    <row r="24" spans="1:4">
      <c r="A24" s="58"/>
      <c r="B24" s="138"/>
      <c r="C24" s="140"/>
      <c r="D24" s="63"/>
    </row>
    <row r="25" spans="1:4" hidden="1">
      <c r="A25" s="141" t="s">
        <v>214</v>
      </c>
      <c r="B25" s="142"/>
      <c r="C25" s="143">
        <v>2</v>
      </c>
      <c r="D25" s="63" t="s">
        <v>215</v>
      </c>
    </row>
    <row r="26" spans="1:4">
      <c r="A26" s="58"/>
      <c r="B26" s="58"/>
      <c r="C26" s="64"/>
      <c r="D26" s="136"/>
    </row>
    <row r="27" spans="1:4">
      <c r="A27" s="58"/>
      <c r="B27" s="58"/>
      <c r="C27" s="58"/>
      <c r="D27" s="58"/>
    </row>
    <row r="28" spans="1:4">
      <c r="A28" s="58"/>
      <c r="B28" s="58"/>
      <c r="C28" s="58"/>
      <c r="D28" s="58"/>
    </row>
    <row r="29" spans="1:4">
      <c r="A29" s="58"/>
      <c r="B29" s="58"/>
      <c r="C29" s="58"/>
      <c r="D29" s="58"/>
    </row>
    <row r="30" spans="1:4">
      <c r="A30" s="58"/>
      <c r="B30" s="58"/>
      <c r="C30" s="58"/>
      <c r="D30" s="58"/>
    </row>
    <row r="31" spans="1:4">
      <c r="A31" s="58"/>
      <c r="B31" s="58"/>
      <c r="C31" s="58"/>
      <c r="D31" s="58"/>
    </row>
    <row r="32" spans="1:4">
      <c r="A32" s="58"/>
      <c r="B32" s="58"/>
      <c r="C32" s="58"/>
      <c r="D32" s="58"/>
    </row>
    <row r="33" spans="1:4">
      <c r="A33" s="58"/>
      <c r="B33" s="58"/>
      <c r="C33" s="58"/>
      <c r="D33" s="58"/>
    </row>
    <row r="34" spans="1:4">
      <c r="A34" s="58"/>
      <c r="B34" s="58"/>
      <c r="C34" s="58"/>
      <c r="D34" s="58"/>
    </row>
    <row r="35" spans="1:4">
      <c r="A35" s="58"/>
      <c r="B35" s="58"/>
      <c r="C35" s="58"/>
      <c r="D35" s="58"/>
    </row>
    <row r="36" spans="1:4">
      <c r="A36" s="58"/>
      <c r="B36" s="58"/>
      <c r="C36" s="58"/>
      <c r="D36" s="58"/>
    </row>
    <row r="37" spans="1:4">
      <c r="A37" s="58"/>
      <c r="B37" s="58"/>
      <c r="C37" s="58"/>
      <c r="D37" s="58"/>
    </row>
    <row r="38" spans="1:4">
      <c r="A38" s="58"/>
      <c r="B38" s="58"/>
      <c r="C38" s="58"/>
      <c r="D38" s="58"/>
    </row>
    <row r="39" spans="1:4">
      <c r="A39" s="58"/>
      <c r="B39" s="58"/>
      <c r="C39" s="58"/>
      <c r="D39" s="58"/>
    </row>
    <row r="40" spans="1:4">
      <c r="A40" s="58"/>
      <c r="B40" s="58"/>
      <c r="C40" s="58"/>
      <c r="D40" s="58"/>
    </row>
    <row r="41" spans="1:4" ht="15.75" customHeight="1">
      <c r="A41" s="58"/>
      <c r="B41" s="58"/>
      <c r="C41" s="58"/>
      <c r="D41" s="58"/>
    </row>
    <row r="42" spans="1:4" ht="12.75" customHeight="1">
      <c r="A42" s="58"/>
      <c r="B42" s="58"/>
      <c r="C42" s="58"/>
      <c r="D42" s="58"/>
    </row>
    <row r="43" spans="1:4">
      <c r="A43" s="195"/>
      <c r="B43" s="195"/>
      <c r="C43" s="195"/>
      <c r="D43" s="58"/>
    </row>
    <row r="44" spans="1:4">
      <c r="A44" s="195"/>
      <c r="B44" s="195"/>
      <c r="C44" s="195"/>
      <c r="D44" s="58"/>
    </row>
    <row r="45" spans="1:4">
      <c r="A45" s="196"/>
      <c r="B45" s="196"/>
      <c r="C45" s="196"/>
      <c r="D45" s="58"/>
    </row>
    <row r="46" spans="1:4">
      <c r="A46" s="65"/>
      <c r="B46" s="65"/>
    </row>
    <row r="49" spans="1:1" hidden="1">
      <c r="A49" s="144">
        <v>42277</v>
      </c>
    </row>
    <row r="50" spans="1:1" hidden="1">
      <c r="A50" s="144">
        <v>42369</v>
      </c>
    </row>
    <row r="51" spans="1:1" hidden="1">
      <c r="A51" s="144">
        <v>42460</v>
      </c>
    </row>
    <row r="52" spans="1:1" hidden="1">
      <c r="A52" s="144">
        <v>42551</v>
      </c>
    </row>
    <row r="53" spans="1:1" hidden="1"/>
    <row r="54" spans="1:1" hidden="1">
      <c r="A54" s="145">
        <v>1</v>
      </c>
    </row>
    <row r="55" spans="1:1" hidden="1">
      <c r="A55" s="145">
        <v>2</v>
      </c>
    </row>
  </sheetData>
  <mergeCells count="3">
    <mergeCell ref="A43:C43"/>
    <mergeCell ref="A44:C44"/>
    <mergeCell ref="A45:C45"/>
  </mergeCells>
  <dataValidations count="1">
    <dataValidation type="list" allowBlank="1" showInputMessage="1" showErrorMessage="1" sqref="C25">
      <formula1>$A$54:$A$55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'PY1 - Summary Exhibit'!$B$3:$B$102</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6"/>
  <sheetViews>
    <sheetView workbookViewId="0">
      <selection activeCell="F5" sqref="F5"/>
    </sheetView>
  </sheetViews>
  <sheetFormatPr defaultRowHeight="15"/>
  <cols>
    <col min="1" max="1" width="15.28515625" customWidth="1"/>
    <col min="2" max="2" width="59.28515625" customWidth="1"/>
    <col min="3" max="5" width="18.7109375" customWidth="1"/>
    <col min="6" max="6" width="20.42578125" customWidth="1"/>
    <col min="7" max="7" width="20.140625" customWidth="1"/>
    <col min="8" max="8" width="17" customWidth="1"/>
    <col min="9" max="9" width="28.140625" customWidth="1"/>
    <col min="10" max="10" width="18.28515625" customWidth="1"/>
    <col min="11" max="11" width="20" customWidth="1"/>
    <col min="12" max="12" width="19.7109375" customWidth="1"/>
    <col min="13" max="13" width="19.42578125" customWidth="1"/>
    <col min="14" max="14" width="18.42578125" customWidth="1"/>
    <col min="15" max="15" width="18.28515625" customWidth="1"/>
    <col min="16" max="16" width="20" customWidth="1"/>
    <col min="17" max="17" width="16.7109375" customWidth="1"/>
    <col min="18" max="18" width="19.42578125" customWidth="1"/>
    <col min="19" max="19" width="16" customWidth="1"/>
    <col min="20" max="20" width="18.85546875" customWidth="1"/>
    <col min="21" max="21" width="22.42578125" customWidth="1"/>
    <col min="22" max="22" width="14.28515625" bestFit="1" customWidth="1"/>
  </cols>
  <sheetData>
    <row r="1" spans="1:22">
      <c r="A1" s="190"/>
    </row>
    <row r="2" spans="1:22">
      <c r="A2" s="92"/>
      <c r="B2" s="13" t="s">
        <v>292</v>
      </c>
      <c r="C2" s="66" t="str">
        <f>Info!C17</f>
        <v>ALAMANCE</v>
      </c>
      <c r="D2" s="13"/>
      <c r="E2" s="13"/>
    </row>
    <row r="3" spans="1:22">
      <c r="B3" s="13"/>
      <c r="C3" s="172"/>
      <c r="D3" s="13"/>
      <c r="E3" s="13"/>
    </row>
    <row r="4" spans="1:22">
      <c r="S4" s="13"/>
    </row>
    <row r="5" spans="1:22">
      <c r="A5" s="85" t="s">
        <v>164</v>
      </c>
      <c r="B5" t="s">
        <v>165</v>
      </c>
    </row>
    <row r="6" spans="1:22">
      <c r="A6" s="85" t="s">
        <v>164</v>
      </c>
      <c r="B6" t="s">
        <v>244</v>
      </c>
    </row>
    <row r="8" spans="1:22" ht="12" customHeight="1">
      <c r="C8">
        <v>2</v>
      </c>
      <c r="D8">
        <v>3</v>
      </c>
      <c r="F8">
        <v>4</v>
      </c>
      <c r="G8">
        <v>5</v>
      </c>
      <c r="H8">
        <v>6</v>
      </c>
      <c r="I8">
        <v>7</v>
      </c>
      <c r="J8">
        <v>8</v>
      </c>
      <c r="K8">
        <v>9</v>
      </c>
      <c r="L8">
        <v>10</v>
      </c>
      <c r="M8">
        <v>11</v>
      </c>
      <c r="N8">
        <v>12</v>
      </c>
      <c r="O8">
        <v>13</v>
      </c>
      <c r="P8">
        <v>14</v>
      </c>
      <c r="Q8">
        <v>15</v>
      </c>
      <c r="R8">
        <v>16</v>
      </c>
      <c r="S8">
        <v>17</v>
      </c>
      <c r="T8">
        <v>18</v>
      </c>
      <c r="U8">
        <v>19</v>
      </c>
      <c r="V8">
        <v>20</v>
      </c>
    </row>
    <row r="9" spans="1:22">
      <c r="F9" s="41"/>
      <c r="G9" s="41"/>
      <c r="J9" s="8" t="s">
        <v>3</v>
      </c>
      <c r="K9" s="8"/>
      <c r="L9" s="8"/>
      <c r="M9" s="8"/>
      <c r="O9" s="8" t="s">
        <v>4</v>
      </c>
      <c r="P9" s="8"/>
      <c r="Q9" s="8"/>
      <c r="R9" s="8"/>
      <c r="T9" s="8" t="s">
        <v>5</v>
      </c>
      <c r="U9" s="8"/>
      <c r="V9" s="8"/>
    </row>
    <row r="10" spans="1:22" ht="120">
      <c r="A10" s="9" t="s">
        <v>245</v>
      </c>
      <c r="B10" s="9" t="s">
        <v>1</v>
      </c>
      <c r="C10" s="9" t="s">
        <v>162</v>
      </c>
      <c r="D10" s="9" t="s">
        <v>163</v>
      </c>
      <c r="E10" s="9" t="s">
        <v>166</v>
      </c>
      <c r="F10" s="9" t="s">
        <v>167</v>
      </c>
      <c r="G10" s="9" t="s">
        <v>168</v>
      </c>
      <c r="H10" s="9" t="s">
        <v>169</v>
      </c>
      <c r="I10" s="9"/>
      <c r="J10" s="9" t="s">
        <v>6</v>
      </c>
      <c r="K10" s="9" t="s">
        <v>7</v>
      </c>
      <c r="L10" s="9" t="s">
        <v>8</v>
      </c>
      <c r="M10" s="9" t="s">
        <v>9</v>
      </c>
      <c r="N10" s="9"/>
      <c r="O10" s="9" t="s">
        <v>6</v>
      </c>
      <c r="P10" s="9" t="s">
        <v>7</v>
      </c>
      <c r="Q10" s="9" t="s">
        <v>8</v>
      </c>
      <c r="R10" s="9" t="s">
        <v>9</v>
      </c>
      <c r="S10" s="9"/>
      <c r="T10" s="9" t="s">
        <v>10</v>
      </c>
      <c r="U10" s="9" t="s">
        <v>11</v>
      </c>
      <c r="V10" s="9" t="s">
        <v>246</v>
      </c>
    </row>
    <row r="11" spans="1:22">
      <c r="A11" s="9"/>
      <c r="B11" s="9"/>
      <c r="C11" s="9"/>
      <c r="D11" s="9"/>
      <c r="E11" s="9"/>
      <c r="F11" s="9"/>
      <c r="G11" s="9"/>
      <c r="H11" s="9"/>
      <c r="I11" s="9"/>
      <c r="J11" s="9"/>
      <c r="K11" s="9"/>
      <c r="L11" s="9"/>
      <c r="M11" s="9"/>
      <c r="N11" s="9"/>
      <c r="O11" s="9"/>
      <c r="P11" s="9"/>
      <c r="Q11" s="9"/>
      <c r="R11" s="9"/>
      <c r="S11" s="9"/>
      <c r="T11" s="9"/>
      <c r="U11" s="9"/>
      <c r="V11" s="9"/>
    </row>
    <row r="12" spans="1:22">
      <c r="A12" s="9" t="s">
        <v>170</v>
      </c>
      <c r="B12" s="9"/>
      <c r="C12" s="9"/>
      <c r="D12" s="9"/>
      <c r="E12" s="9"/>
      <c r="F12" s="9"/>
      <c r="G12" s="9"/>
      <c r="H12" s="9"/>
      <c r="I12" s="9"/>
      <c r="J12" s="9"/>
      <c r="K12" s="9"/>
      <c r="L12" s="9"/>
      <c r="M12" s="9"/>
      <c r="N12" s="9"/>
      <c r="O12" s="9"/>
      <c r="P12" s="9"/>
      <c r="Q12" s="9"/>
      <c r="R12" s="9"/>
      <c r="S12" s="9"/>
      <c r="T12" s="9"/>
      <c r="U12" s="9"/>
      <c r="V12" s="9"/>
    </row>
    <row r="13" spans="1:22">
      <c r="B13" t="str">
        <f>C2</f>
        <v>ALAMANCE</v>
      </c>
      <c r="C13" s="86">
        <f>VLOOKUP($B$13,'CY - Summary Exhibit'!$B:$U,'JE Template'!C8,FALSE)</f>
        <v>1.5880399999999999E-2</v>
      </c>
      <c r="D13" s="86">
        <f>VLOOKUP($B$13,'CY - Summary Exhibit'!$B:$U,'JE Template'!D8,FALSE)</f>
        <v>1.57255E-2</v>
      </c>
      <c r="E13" s="86">
        <f>C13-D13</f>
        <v>1.5489999999999948E-4</v>
      </c>
      <c r="F13" s="11">
        <f>VLOOKUP($B$13,'CY - Summary Exhibit'!$B:$U,'JE Template'!F8,FALSE)</f>
        <v>12973.271249999998</v>
      </c>
      <c r="G13" s="11">
        <f>VLOOKUP($B$13,'CY - Summary Exhibit'!$B:$U,'JE Template'!G8,FALSE)</f>
        <v>-364422.73700000002</v>
      </c>
      <c r="H13" s="11">
        <f>VLOOKUP($B$13,'CY - Summary Exhibit'!$B:$U,'JE Template'!H8,FALSE)</f>
        <v>-296900</v>
      </c>
      <c r="J13" s="11">
        <f>VLOOKUP($B$13,'CY - Summary Exhibit'!$B:$U,'JE Template'!J8,FALSE)</f>
        <v>318</v>
      </c>
      <c r="K13" s="11">
        <f>VLOOKUP($B$13,'CY - Summary Exhibit'!$B:$U,'JE Template'!K8,FALSE)</f>
        <v>14753</v>
      </c>
      <c r="L13" s="11">
        <f>VLOOKUP($B$13,'CY - Summary Exhibit'!$B:$U,'JE Template'!L8,FALSE)</f>
        <v>79100</v>
      </c>
      <c r="M13" s="11">
        <f>VLOOKUP($B$13,'CY - Summary Exhibit'!$B:$U,'JE Template'!M8,FALSE)</f>
        <v>173311</v>
      </c>
      <c r="O13" s="11">
        <f>VLOOKUP($B$13,'CY - Summary Exhibit'!$B:$U,'JE Template'!O8,FALSE)</f>
        <v>3843</v>
      </c>
      <c r="P13" s="11">
        <f>VLOOKUP($B$13,'CY - Summary Exhibit'!$B:$U,'JE Template'!P8,FALSE)</f>
        <v>14245</v>
      </c>
      <c r="Q13" s="11">
        <f>VLOOKUP($B$13,'CY - Summary Exhibit'!$B:$U,'JE Template'!Q8,FALSE)</f>
        <v>0</v>
      </c>
      <c r="R13" s="11">
        <f>VLOOKUP($B$13,'CY - Summary Exhibit'!$B:$U,'JE Template'!R8,FALSE)</f>
        <v>11285</v>
      </c>
      <c r="T13" s="11">
        <f>VLOOKUP($B$13,'CY - Summary Exhibit'!$B:$U,'JE Template'!T8,FALSE)</f>
        <v>21963</v>
      </c>
      <c r="U13" s="11">
        <f>VLOOKUP($B$13,'CY - Summary Exhibit'!$B:$U,'JE Template'!U8,FALSE)</f>
        <v>99999</v>
      </c>
      <c r="V13" s="11">
        <f>VLOOKUP($B$13,'CY - Summary Exhibit'!$B:$U,'JE Template'!V8,FALSE)</f>
        <v>121961</v>
      </c>
    </row>
    <row r="15" spans="1:22">
      <c r="A15" s="13"/>
      <c r="B15" t="s">
        <v>290</v>
      </c>
      <c r="F15" s="11">
        <f>'CY - Summary Exhibit'!E104</f>
        <v>816936.21424999996</v>
      </c>
      <c r="G15" s="11">
        <f>'CY - Summary Exhibit'!F104</f>
        <v>-23173999.999999996</v>
      </c>
      <c r="H15" s="11">
        <f>'CY - Summary Exhibit'!G104</f>
        <v>-18696000.799999997</v>
      </c>
      <c r="I15" s="11"/>
      <c r="J15" s="11">
        <f>'CY - Summary Exhibit'!I104</f>
        <v>19995.089999999997</v>
      </c>
      <c r="K15" s="11">
        <f>'CY - Summary Exhibit'!J104</f>
        <v>928994.125</v>
      </c>
      <c r="L15" s="11">
        <f>'CY - Summary Exhibit'!K104</f>
        <v>4981002</v>
      </c>
      <c r="M15" s="11">
        <f>'CY - Summary Exhibit'!L104</f>
        <v>823259</v>
      </c>
      <c r="N15" s="11"/>
      <c r="O15" s="11">
        <f>'CY - Summary Exhibit'!N104</f>
        <v>242003.35</v>
      </c>
      <c r="P15" s="11">
        <f>'CY - Summary Exhibit'!O104</f>
        <v>897004.125</v>
      </c>
      <c r="Q15" s="11">
        <f>'CY - Summary Exhibit'!P104</f>
        <v>0</v>
      </c>
      <c r="R15" s="11">
        <f>'CY - Summary Exhibit'!Q104</f>
        <v>823263</v>
      </c>
      <c r="S15" s="11"/>
      <c r="T15" s="11">
        <f>'CY - Summary Exhibit'!S104</f>
        <v>1383003.875</v>
      </c>
      <c r="U15" s="11">
        <f>'CY - Summary Exhibit'!T104</f>
        <v>-6</v>
      </c>
      <c r="V15" s="11">
        <f>'CY - Summary Exhibit'!U104</f>
        <v>1382995</v>
      </c>
    </row>
    <row r="16" spans="1:22">
      <c r="A16" s="9"/>
      <c r="B16" s="9"/>
      <c r="C16" s="9"/>
      <c r="D16" s="9"/>
      <c r="E16" s="9"/>
      <c r="F16" s="9"/>
      <c r="G16" s="9"/>
      <c r="H16" s="9"/>
      <c r="I16" s="9"/>
      <c r="J16" s="9"/>
      <c r="K16" s="9"/>
      <c r="L16" s="9"/>
      <c r="M16" s="9"/>
      <c r="N16" s="9"/>
      <c r="O16" s="9"/>
      <c r="P16" s="9"/>
      <c r="Q16" s="9"/>
      <c r="R16" s="9"/>
      <c r="S16" s="9"/>
      <c r="T16" s="9"/>
      <c r="U16" s="9"/>
      <c r="V16" s="9"/>
    </row>
    <row r="17" spans="1:22" ht="30">
      <c r="A17" s="9" t="s">
        <v>247</v>
      </c>
      <c r="B17" s="9"/>
      <c r="C17" s="9"/>
      <c r="D17" s="9"/>
      <c r="E17" s="9"/>
      <c r="F17" s="9"/>
      <c r="G17" s="9"/>
      <c r="H17" s="9"/>
      <c r="I17" s="9"/>
      <c r="J17" s="9"/>
      <c r="K17" s="9"/>
      <c r="L17" s="9"/>
      <c r="M17" s="9"/>
      <c r="N17" s="9"/>
      <c r="O17" s="9"/>
      <c r="P17" s="9"/>
      <c r="Q17" s="9"/>
      <c r="R17" s="9"/>
      <c r="S17" s="9"/>
      <c r="T17" s="9"/>
      <c r="U17" s="9"/>
      <c r="V17" s="9"/>
    </row>
    <row r="18" spans="1:22">
      <c r="B18" t="str">
        <f>C2</f>
        <v>ALAMANCE</v>
      </c>
      <c r="C18" s="86">
        <f>VLOOKUP($B$18,'PY1 - Summary Exhibit'!$B:$U,'JE Template'!C8,FALSE)</f>
        <v>1.57255E-2</v>
      </c>
      <c r="D18" s="86">
        <f>VLOOKUP($B$18,'PY1 - Summary Exhibit'!$B:$U,'JE Template'!D8,FALSE)</f>
        <v>3.6038100000000003E-2</v>
      </c>
      <c r="E18" s="86">
        <f>C18-D18</f>
        <v>-2.0312600000000004E-2</v>
      </c>
      <c r="F18" s="11">
        <f>VLOOKUP($B$18,'PY1 - Summary Exhibit'!$B:$U,'JE Template'!F8,FALSE)</f>
        <v>12583.399449999994</v>
      </c>
      <c r="G18" s="11">
        <f>VLOOKUP($B$18,'PY1 - Summary Exhibit'!$B:$U,'JE Template'!G8,FALSE)</f>
        <v>-816851</v>
      </c>
      <c r="H18" s="11">
        <f>VLOOKUP($B$18,'PY1 - Summary Exhibit'!$B:$U,'JE Template'!H8,FALSE)</f>
        <v>-364422.73700000002</v>
      </c>
      <c r="I18" s="11"/>
      <c r="J18" s="11">
        <f>VLOOKUP($B$18,'PY1 - Summary Exhibit'!$B:$U,'JE Template'!J8,FALSE)</f>
        <v>1792.7069999999999</v>
      </c>
      <c r="K18" s="11">
        <f>VLOOKUP($B$18,'PY1 - Summary Exhibit'!$B:$U,'JE Template'!K8,FALSE)</f>
        <v>19499.62</v>
      </c>
      <c r="L18" s="11">
        <f>VLOOKUP($B$18,'PY1 - Summary Exhibit'!$B:$U,'JE Template'!L8,FALSE)</f>
        <v>0</v>
      </c>
      <c r="M18" s="11">
        <f>VLOOKUP($B$18,'PY1 - Summary Exhibit'!$B:$U,'JE Template'!M8,FALSE)</f>
        <v>317737.51019999996</v>
      </c>
      <c r="N18" s="11"/>
      <c r="O18" s="11">
        <f>VLOOKUP($B$18,'PY1 - Summary Exhibit'!$B:$U,'JE Template'!O8,FALSE)</f>
        <v>6038.5919999999996</v>
      </c>
      <c r="P18" s="11">
        <f>VLOOKUP($B$18,'PY1 - Summary Exhibit'!$B:$U,'JE Template'!P8,FALSE)</f>
        <v>1431.0205000000001</v>
      </c>
      <c r="Q18" s="11">
        <f>VLOOKUP($B$18,'PY1 - Summary Exhibit'!$B:$U,'JE Template'!Q8,FALSE)</f>
        <v>0</v>
      </c>
      <c r="R18" s="11">
        <f>VLOOKUP($B$18,'PY1 - Summary Exhibit'!$B:$U,'JE Template'!R8,FALSE)</f>
        <v>51986.400000000009</v>
      </c>
      <c r="S18" s="11"/>
      <c r="T18" s="11">
        <f>VLOOKUP($B$18,'PY1 - Summary Exhibit'!$B:$U,'JE Template'!T8,FALSE)</f>
        <v>-7878.4754999999996</v>
      </c>
      <c r="U18" s="11">
        <f>VLOOKUP($B$18,'PY1 - Summary Exhibit'!$B:$U,'JE Template'!U8,FALSE)</f>
        <v>101104.14099999997</v>
      </c>
      <c r="V18" s="11">
        <f>VLOOKUP($B$18,'PY1 - Summary Exhibit'!$B:$U,'JE Template'!V8,FALSE)</f>
        <v>93225.665499999974</v>
      </c>
    </row>
    <row r="20" spans="1:22">
      <c r="A20" s="13"/>
      <c r="B20" t="s">
        <v>171</v>
      </c>
      <c r="F20" s="11">
        <f>'PY1 - Summary Exhibit'!E104</f>
        <v>800189.25074999989</v>
      </c>
      <c r="G20" s="11">
        <f>'PY1 - Summary Exhibit'!F104</f>
        <v>-22665989</v>
      </c>
      <c r="H20" s="11">
        <f>'PY1 - Summary Exhibit'!G104</f>
        <v>-23173999.999999996</v>
      </c>
      <c r="I20" s="11"/>
      <c r="J20" s="11">
        <f>'PY1 - Summary Exhibit'!I104</f>
        <v>114000.00000000003</v>
      </c>
      <c r="K20" s="11">
        <f>'PY1 - Summary Exhibit'!J104</f>
        <v>1240000</v>
      </c>
      <c r="L20" s="11">
        <f>'PY1 - Summary Exhibit'!K104</f>
        <v>0</v>
      </c>
      <c r="M20" s="11">
        <f>'PY1 - Summary Exhibit'!L104</f>
        <v>639794.55659999989</v>
      </c>
      <c r="N20" s="11"/>
      <c r="O20" s="11">
        <f>'PY1 - Summary Exhibit'!N104</f>
        <v>384000.00000000017</v>
      </c>
      <c r="P20" s="11">
        <f>'PY1 - Summary Exhibit'!O104</f>
        <v>90999.999999999956</v>
      </c>
      <c r="Q20" s="11">
        <f>'PY1 - Summary Exhibit'!P104</f>
        <v>0</v>
      </c>
      <c r="R20" s="11">
        <f>'PY1 - Summary Exhibit'!Q104</f>
        <v>639802.01339999994</v>
      </c>
      <c r="S20" s="11"/>
      <c r="T20" s="11">
        <f>'PY1 - Summary Exhibit'!S104</f>
        <v>-500999.99999999983</v>
      </c>
      <c r="U20" s="11">
        <f>'PY1 - Summary Exhibit'!T104</f>
        <v>-3.8439999999569636</v>
      </c>
      <c r="V20" s="11">
        <f>'PY1 - Summary Exhibit'!U104</f>
        <v>-501003.84399999998</v>
      </c>
    </row>
    <row r="21" spans="1:22">
      <c r="A21" s="13"/>
      <c r="F21" s="11"/>
      <c r="G21" s="11"/>
      <c r="H21" s="11"/>
      <c r="J21" s="11"/>
      <c r="K21" s="11"/>
      <c r="L21" s="11"/>
      <c r="M21" s="11"/>
      <c r="O21" s="11"/>
      <c r="P21" s="11"/>
      <c r="Q21" s="11"/>
      <c r="R21" s="11"/>
      <c r="T21" s="11"/>
      <c r="U21" s="11"/>
      <c r="V21" s="11"/>
    </row>
    <row r="22" spans="1:22" ht="30">
      <c r="A22" s="173" t="s">
        <v>248</v>
      </c>
      <c r="F22" s="11"/>
      <c r="G22" s="11"/>
      <c r="H22" s="11"/>
      <c r="J22" s="11"/>
      <c r="K22" s="11"/>
      <c r="L22" s="11"/>
      <c r="M22" s="11"/>
      <c r="O22" s="11"/>
      <c r="P22" s="11"/>
      <c r="Q22" s="11"/>
      <c r="R22" s="11"/>
      <c r="T22" s="11"/>
      <c r="U22" s="11"/>
      <c r="V22" s="11"/>
    </row>
    <row r="23" spans="1:22">
      <c r="A23" s="174"/>
      <c r="B23" t="str">
        <f>C2</f>
        <v>ALAMANCE</v>
      </c>
      <c r="C23" s="86">
        <f>VLOOKUP($B$23,'PY2 - Summary Exhibit'!$A:$T,'JE Template'!C8,FALSE)</f>
        <v>3.6038100000000003E-2</v>
      </c>
      <c r="D23" s="86">
        <f>VLOOKUP($B$23,'PY2 - Summary Exhibit'!$A:$T,'JE Template'!D8,FALSE)</f>
        <v>2.9548399999999999E-2</v>
      </c>
      <c r="E23" s="86">
        <f>C23-D23</f>
        <v>6.4897000000000045E-3</v>
      </c>
      <c r="F23" s="11">
        <f>VLOOKUP($B$23,'PY2 - Summary Exhibit'!$A:$T,'JE Template'!F8,FALSE)</f>
        <v>29424</v>
      </c>
      <c r="G23" s="11">
        <f>VLOOKUP($B$23,'PY2 - Summary Exhibit'!$A:$T,'JE Template'!G8,FALSE)</f>
        <v>-631153.82400000002</v>
      </c>
      <c r="H23" s="11">
        <f>VLOOKUP($B$23,'PY2 - Summary Exhibit'!$A:$T,'JE Template'!H8,FALSE)</f>
        <v>-816851</v>
      </c>
      <c r="I23" s="11"/>
      <c r="J23" s="11">
        <f>VLOOKUP($B$23,'PY2 - Summary Exhibit'!$A:$T,'JE Template'!J8,FALSE)</f>
        <v>7496</v>
      </c>
      <c r="K23" s="11">
        <f>VLOOKUP($B$23,'PY2 - Summary Exhibit'!$A:$T,'JE Template'!K8,FALSE)</f>
        <v>0</v>
      </c>
      <c r="L23" s="11">
        <f>VLOOKUP($B$23,'PY2 - Summary Exhibit'!$A:$T,'JE Template'!L8,FALSE)</f>
        <v>0</v>
      </c>
      <c r="M23" s="11">
        <f>VLOOKUP($B$23,'PY2 - Summary Exhibit'!$A:$T,'JE Template'!M8,FALSE)</f>
        <v>0</v>
      </c>
      <c r="N23" s="11"/>
      <c r="O23" s="11">
        <f>VLOOKUP($B$23,'PY2 - Summary Exhibit'!$A:$T,'JE Template'!O8,FALSE)</f>
        <v>0</v>
      </c>
      <c r="P23" s="11">
        <f>VLOOKUP($B$23,'PY2 - Summary Exhibit'!$A:$T,'JE Template'!P8,FALSE)</f>
        <v>4397</v>
      </c>
      <c r="Q23" s="11">
        <f>VLOOKUP($B$23,'PY2 - Summary Exhibit'!$A:$T,'JE Template'!Q8,FALSE)</f>
        <v>0</v>
      </c>
      <c r="R23" s="11">
        <f>VLOOKUP($B$23,'PY2 - Summary Exhibit'!$A:$T,'JE Template'!R8,FALSE)</f>
        <v>95308</v>
      </c>
      <c r="S23" s="11"/>
      <c r="T23" s="11">
        <f>VLOOKUP($B$23,'PY2 - Summary Exhibit'!$A:$T,'JE Template'!T8,FALSE)</f>
        <v>-20758</v>
      </c>
      <c r="U23" s="11">
        <f>VLOOKUP($B$23,'PY2 - Summary Exhibit'!$A:$T,'JE Template'!U8,FALSE)</f>
        <v>-43322</v>
      </c>
      <c r="V23" s="11">
        <f>VLOOKUP($B$23,'PY2 - Summary Exhibit'!$A:$T,'JE Template'!V8,FALSE)</f>
        <v>-64080</v>
      </c>
    </row>
    <row r="24" spans="1:22">
      <c r="A24" s="13"/>
      <c r="F24" s="11"/>
      <c r="G24" s="11"/>
      <c r="H24" s="11"/>
      <c r="J24" s="11"/>
      <c r="K24" s="11"/>
      <c r="L24" s="11"/>
      <c r="M24" s="11"/>
      <c r="O24" s="11"/>
      <c r="P24" s="11"/>
      <c r="Q24" s="11"/>
      <c r="R24" s="11"/>
      <c r="T24" s="11"/>
      <c r="U24" s="11"/>
      <c r="V24" s="11"/>
    </row>
    <row r="25" spans="1:22">
      <c r="A25" s="13"/>
      <c r="B25" t="s">
        <v>172</v>
      </c>
      <c r="F25" s="11">
        <f>'PY2 - Summary Exhibit'!D107</f>
        <v>816470</v>
      </c>
      <c r="G25" s="11">
        <f>'PY2 - Summary Exhibit'!E107</f>
        <v>-21359997.864000004</v>
      </c>
      <c r="H25" s="11">
        <f>'PY2 - Summary Exhibit'!F107</f>
        <v>-22665989</v>
      </c>
      <c r="I25" s="11"/>
      <c r="J25" s="11">
        <f>'PY2 - Summary Exhibit'!H107</f>
        <v>207999</v>
      </c>
      <c r="K25" s="11">
        <f>'PY2 - Summary Exhibit'!I107</f>
        <v>0</v>
      </c>
      <c r="L25" s="11">
        <f>'PY2 - Summary Exhibit'!J107</f>
        <v>0</v>
      </c>
      <c r="M25" s="11">
        <f>'PY2 - Summary Exhibit'!K107</f>
        <v>413239</v>
      </c>
      <c r="N25" s="11"/>
      <c r="O25" s="11">
        <f>'PY2 - Summary Exhibit'!M107</f>
        <v>0</v>
      </c>
      <c r="P25" s="11">
        <f>'PY2 - Summary Exhibit'!N107</f>
        <v>121999</v>
      </c>
      <c r="Q25" s="11">
        <f>'PY2 - Summary Exhibit'!O107</f>
        <v>0</v>
      </c>
      <c r="R25" s="11">
        <f>'PY2 - Summary Exhibit'!P107</f>
        <v>413241</v>
      </c>
      <c r="S25" s="11"/>
      <c r="T25" s="11">
        <f>'PY2 - Summary Exhibit'!R107</f>
        <v>-576003</v>
      </c>
      <c r="U25" s="11">
        <f>'PY2 - Summary Exhibit'!S107</f>
        <v>-1</v>
      </c>
      <c r="V25" s="11">
        <f>'PY2 - Summary Exhibit'!T107</f>
        <v>-576004</v>
      </c>
    </row>
    <row r="26" spans="1:22">
      <c r="A26" s="13"/>
      <c r="F26" s="11"/>
      <c r="G26" s="11"/>
      <c r="H26" s="11"/>
      <c r="J26" s="11"/>
      <c r="K26" s="11"/>
      <c r="L26" s="11"/>
      <c r="M26" s="11"/>
      <c r="O26" s="11"/>
      <c r="P26" s="11"/>
      <c r="Q26" s="11"/>
      <c r="R26" s="11"/>
      <c r="T26" s="11"/>
      <c r="U26" s="11"/>
      <c r="V26" s="11"/>
    </row>
    <row r="27" spans="1:22">
      <c r="A27" s="13"/>
      <c r="F27" s="11"/>
      <c r="G27" s="11"/>
      <c r="H27" s="11"/>
      <c r="J27" s="11"/>
      <c r="K27" s="11"/>
      <c r="L27" s="11"/>
      <c r="M27" s="11"/>
      <c r="O27" s="11"/>
      <c r="P27" s="11"/>
      <c r="Q27" s="11"/>
      <c r="R27" s="11"/>
      <c r="T27" s="11"/>
      <c r="U27" s="11"/>
      <c r="V27" s="11"/>
    </row>
    <row r="28" spans="1:22">
      <c r="A28" s="13"/>
      <c r="B28" s="87" t="s">
        <v>173</v>
      </c>
      <c r="C28" s="88"/>
      <c r="D28" s="88"/>
      <c r="E28" s="88"/>
      <c r="F28" s="89"/>
      <c r="G28" s="89"/>
      <c r="H28" s="89"/>
      <c r="I28" s="88"/>
      <c r="J28" s="89"/>
      <c r="K28" s="89"/>
      <c r="L28" s="89"/>
      <c r="M28" s="89"/>
      <c r="N28" s="88"/>
      <c r="O28" s="89"/>
      <c r="P28" s="89"/>
      <c r="Q28" s="89"/>
      <c r="R28" s="89"/>
      <c r="S28" s="88"/>
      <c r="T28" s="90"/>
      <c r="U28" s="11"/>
      <c r="V28" s="11"/>
    </row>
    <row r="29" spans="1:22">
      <c r="A29" s="13"/>
      <c r="B29" s="91"/>
      <c r="C29" s="92"/>
      <c r="D29" s="92"/>
      <c r="E29" s="92"/>
      <c r="F29" s="93"/>
      <c r="G29" s="93"/>
      <c r="H29" s="93"/>
      <c r="I29" s="92"/>
      <c r="J29" s="93"/>
      <c r="K29" s="93"/>
      <c r="L29" s="93"/>
      <c r="M29" s="93"/>
      <c r="N29" s="92"/>
      <c r="O29" s="93"/>
      <c r="P29" s="93"/>
      <c r="Q29" s="93"/>
      <c r="R29" s="93"/>
      <c r="S29" s="92"/>
      <c r="T29" s="94"/>
      <c r="U29" s="11"/>
      <c r="V29" s="11"/>
    </row>
    <row r="30" spans="1:22" ht="90">
      <c r="A30" s="13"/>
      <c r="B30" s="95"/>
      <c r="C30" s="9" t="s">
        <v>16</v>
      </c>
      <c r="D30" s="9" t="s">
        <v>6</v>
      </c>
      <c r="E30" s="9" t="s">
        <v>7</v>
      </c>
      <c r="F30" s="9" t="s">
        <v>8</v>
      </c>
      <c r="G30" s="93"/>
      <c r="H30" s="92"/>
      <c r="I30" s="93"/>
      <c r="J30" s="93"/>
      <c r="K30" s="93"/>
      <c r="L30" s="93"/>
      <c r="M30" s="92"/>
      <c r="N30" s="93"/>
      <c r="O30" s="92"/>
      <c r="P30" s="93"/>
      <c r="Q30" s="93"/>
      <c r="R30" s="93"/>
      <c r="S30" s="92"/>
      <c r="T30" s="94"/>
      <c r="U30" s="11"/>
      <c r="V30" s="11"/>
    </row>
    <row r="31" spans="1:22">
      <c r="A31" s="13"/>
      <c r="B31" s="96" t="s">
        <v>249</v>
      </c>
      <c r="C31" s="92">
        <v>3.37</v>
      </c>
      <c r="D31" s="93">
        <v>-45000</v>
      </c>
      <c r="E31" s="93">
        <v>-1047000</v>
      </c>
      <c r="F31" s="93">
        <v>7082000</v>
      </c>
      <c r="G31" s="93"/>
      <c r="H31" s="92"/>
      <c r="I31" s="93"/>
      <c r="J31" s="93"/>
      <c r="K31" s="93"/>
      <c r="L31" s="93"/>
      <c r="M31" s="92"/>
      <c r="N31" s="93"/>
      <c r="O31" s="92"/>
      <c r="P31" s="93"/>
      <c r="Q31" s="93"/>
      <c r="R31" s="93"/>
      <c r="S31" s="92"/>
      <c r="T31" s="94"/>
      <c r="U31" s="11"/>
      <c r="V31" s="11"/>
    </row>
    <row r="32" spans="1:22">
      <c r="A32" s="13"/>
      <c r="B32" s="96" t="s">
        <v>174</v>
      </c>
      <c r="C32" s="92">
        <v>3.2</v>
      </c>
      <c r="D32" s="93">
        <v>-558000</v>
      </c>
      <c r="E32" s="93">
        <v>1551000</v>
      </c>
      <c r="F32" s="93">
        <v>0</v>
      </c>
      <c r="G32" s="93"/>
      <c r="H32" s="92"/>
      <c r="I32" s="93"/>
      <c r="J32" s="93"/>
      <c r="K32" s="93"/>
      <c r="L32" s="93"/>
      <c r="M32" s="92"/>
      <c r="N32" s="93"/>
      <c r="O32" s="92"/>
      <c r="P32" s="93"/>
      <c r="Q32" s="93"/>
      <c r="R32" s="93"/>
      <c r="S32" s="92"/>
      <c r="T32" s="94"/>
      <c r="U32" s="11"/>
      <c r="V32" s="11"/>
    </row>
    <row r="33" spans="1:22">
      <c r="A33" s="13"/>
      <c r="B33" s="96" t="s">
        <v>175</v>
      </c>
      <c r="C33" s="92">
        <v>3.2</v>
      </c>
      <c r="D33" s="93">
        <v>302000</v>
      </c>
      <c r="E33" s="93">
        <v>-153000</v>
      </c>
      <c r="F33" s="93">
        <v>0</v>
      </c>
      <c r="G33" s="93"/>
      <c r="H33" s="92"/>
      <c r="I33" s="93"/>
      <c r="J33" s="93"/>
      <c r="K33" s="93"/>
      <c r="L33" s="93"/>
      <c r="M33" s="92"/>
      <c r="N33" s="93"/>
      <c r="O33" s="92"/>
      <c r="P33" s="93"/>
      <c r="Q33" s="93"/>
      <c r="R33" s="93"/>
      <c r="S33" s="92"/>
      <c r="T33" s="94"/>
      <c r="U33" s="11"/>
      <c r="V33" s="11"/>
    </row>
    <row r="34" spans="1:22">
      <c r="A34" s="13"/>
      <c r="B34" s="91"/>
      <c r="C34" s="92"/>
      <c r="D34" s="92"/>
      <c r="E34" s="93"/>
      <c r="F34" s="93"/>
      <c r="G34" s="93"/>
      <c r="H34" s="92"/>
      <c r="I34" s="93"/>
      <c r="J34" s="93"/>
      <c r="K34" s="93"/>
      <c r="L34" s="93"/>
      <c r="M34" s="92"/>
      <c r="N34" s="93"/>
      <c r="O34" s="92"/>
      <c r="P34" s="93"/>
      <c r="Q34" s="93"/>
      <c r="R34" s="93"/>
      <c r="S34" s="92"/>
      <c r="T34" s="94"/>
      <c r="U34" s="11"/>
      <c r="V34" s="11"/>
    </row>
    <row r="35" spans="1:22">
      <c r="A35" s="13"/>
      <c r="B35" s="95"/>
      <c r="C35" s="201" t="s">
        <v>176</v>
      </c>
      <c r="D35" s="201"/>
      <c r="E35" s="201"/>
      <c r="F35" s="201"/>
      <c r="G35" s="201"/>
      <c r="H35" s="201"/>
      <c r="I35" s="202" t="s">
        <v>177</v>
      </c>
      <c r="J35" s="202"/>
      <c r="K35" s="202"/>
      <c r="L35" s="202"/>
      <c r="M35" s="202"/>
      <c r="N35" s="202"/>
      <c r="O35" s="203" t="s">
        <v>250</v>
      </c>
      <c r="P35" s="203"/>
      <c r="Q35" s="203"/>
      <c r="R35" s="203"/>
      <c r="S35" s="203"/>
      <c r="T35" s="204"/>
      <c r="U35" s="11"/>
      <c r="V35" s="11"/>
    </row>
    <row r="36" spans="1:22">
      <c r="A36" s="13"/>
      <c r="B36" s="95"/>
      <c r="C36" s="201" t="s">
        <v>178</v>
      </c>
      <c r="D36" s="201"/>
      <c r="E36" s="201"/>
      <c r="F36" s="201"/>
      <c r="G36" s="201"/>
      <c r="H36" s="201"/>
      <c r="I36" s="202" t="s">
        <v>178</v>
      </c>
      <c r="J36" s="202"/>
      <c r="K36" s="202"/>
      <c r="L36" s="202"/>
      <c r="M36" s="202"/>
      <c r="N36" s="202"/>
      <c r="O36" s="203" t="s">
        <v>178</v>
      </c>
      <c r="P36" s="203"/>
      <c r="Q36" s="203"/>
      <c r="R36" s="203"/>
      <c r="S36" s="203"/>
      <c r="T36" s="204"/>
      <c r="U36" s="11"/>
      <c r="V36" s="11"/>
    </row>
    <row r="37" spans="1:22">
      <c r="A37" s="13"/>
      <c r="B37" s="95"/>
      <c r="C37" s="97">
        <f>'JE Template'!C33</f>
        <v>3.2</v>
      </c>
      <c r="D37" s="98">
        <v>5</v>
      </c>
      <c r="E37" s="167">
        <f>C37</f>
        <v>3.2</v>
      </c>
      <c r="F37" s="167">
        <f>C37</f>
        <v>3.2</v>
      </c>
      <c r="G37" s="167">
        <f>C37</f>
        <v>3.2</v>
      </c>
      <c r="H37" s="167">
        <f>C37</f>
        <v>3.2</v>
      </c>
      <c r="I37" s="99">
        <f>'JE Template'!C32</f>
        <v>3.2</v>
      </c>
      <c r="J37" s="100">
        <v>5</v>
      </c>
      <c r="K37" s="99">
        <f>I37</f>
        <v>3.2</v>
      </c>
      <c r="L37" s="99">
        <f>I37</f>
        <v>3.2</v>
      </c>
      <c r="M37" s="99">
        <f>I37</f>
        <v>3.2</v>
      </c>
      <c r="N37" s="99">
        <f>I37</f>
        <v>3.2</v>
      </c>
      <c r="O37" s="175">
        <f>C31</f>
        <v>3.37</v>
      </c>
      <c r="P37" s="176">
        <v>5</v>
      </c>
      <c r="Q37" s="175">
        <f>O37</f>
        <v>3.37</v>
      </c>
      <c r="R37" s="175">
        <f>O37</f>
        <v>3.37</v>
      </c>
      <c r="S37" s="175">
        <f>O37</f>
        <v>3.37</v>
      </c>
      <c r="T37" s="177">
        <f>O37</f>
        <v>3.37</v>
      </c>
      <c r="U37" s="11"/>
      <c r="V37" s="11"/>
    </row>
    <row r="38" spans="1:22" ht="9" customHeight="1">
      <c r="A38" s="13"/>
      <c r="B38" s="95"/>
      <c r="C38" s="66"/>
      <c r="D38" s="101"/>
      <c r="E38" s="102"/>
      <c r="F38" s="102"/>
      <c r="G38" s="102"/>
      <c r="H38" s="102"/>
      <c r="I38" s="66"/>
      <c r="J38" s="103"/>
      <c r="K38" s="66"/>
      <c r="L38" s="66"/>
      <c r="M38" s="66"/>
      <c r="N38" s="66"/>
      <c r="O38" s="66"/>
      <c r="P38" s="103"/>
      <c r="Q38" s="66"/>
      <c r="R38" s="66"/>
      <c r="S38" s="66"/>
      <c r="T38" s="104"/>
      <c r="U38" s="11"/>
      <c r="V38" s="11"/>
    </row>
    <row r="39" spans="1:22" ht="75">
      <c r="A39" s="13"/>
      <c r="B39" s="105"/>
      <c r="C39" s="106" t="s">
        <v>179</v>
      </c>
      <c r="D39" s="106" t="s">
        <v>180</v>
      </c>
      <c r="E39" s="106" t="s">
        <v>181</v>
      </c>
      <c r="F39" s="106" t="s">
        <v>182</v>
      </c>
      <c r="G39" s="106" t="s">
        <v>183</v>
      </c>
      <c r="H39" s="106" t="s">
        <v>184</v>
      </c>
      <c r="I39" s="106" t="s">
        <v>179</v>
      </c>
      <c r="J39" s="106" t="s">
        <v>180</v>
      </c>
      <c r="K39" s="106" t="s">
        <v>181</v>
      </c>
      <c r="L39" s="106" t="s">
        <v>182</v>
      </c>
      <c r="M39" s="106" t="s">
        <v>183</v>
      </c>
      <c r="N39" s="106" t="s">
        <v>184</v>
      </c>
      <c r="O39" s="106" t="s">
        <v>179</v>
      </c>
      <c r="P39" s="106" t="s">
        <v>180</v>
      </c>
      <c r="Q39" s="106" t="s">
        <v>181</v>
      </c>
      <c r="R39" s="106" t="s">
        <v>182</v>
      </c>
      <c r="S39" s="106" t="s">
        <v>183</v>
      </c>
      <c r="T39" s="107" t="s">
        <v>184</v>
      </c>
      <c r="U39" s="11"/>
      <c r="V39" s="11"/>
    </row>
    <row r="40" spans="1:22">
      <c r="A40" s="13"/>
      <c r="B40" s="95" t="s">
        <v>185</v>
      </c>
      <c r="C40" s="108">
        <f>((J23-O23)/(C37-1))+J23-O23</f>
        <v>10903.272727272728</v>
      </c>
      <c r="D40" s="108">
        <f>((K23-P23)/(D37-1))+K23-P23</f>
        <v>-5496.25</v>
      </c>
      <c r="E40" s="108">
        <f>((L23-Q23)/(E37-1))+L23-Q23</f>
        <v>0</v>
      </c>
      <c r="F40" s="108">
        <f>C23*G25-D23*G25</f>
        <v>-138619.97813800094</v>
      </c>
      <c r="G40" s="108">
        <f>F23-C23*F25</f>
        <v>-2.7507000002515269E-2</v>
      </c>
      <c r="H40" s="108">
        <f>F40+G40</f>
        <v>-138620.00564500093</v>
      </c>
      <c r="I40" s="92"/>
      <c r="J40" s="92"/>
      <c r="K40" s="92"/>
      <c r="L40" s="92"/>
      <c r="M40" s="92"/>
      <c r="N40" s="92"/>
      <c r="O40" s="92"/>
      <c r="P40" s="93"/>
      <c r="Q40" s="93"/>
      <c r="R40" s="93"/>
      <c r="S40" s="92"/>
      <c r="T40" s="94"/>
      <c r="U40" s="11"/>
      <c r="V40" s="11"/>
    </row>
    <row r="41" spans="1:22">
      <c r="A41" s="13"/>
      <c r="B41" s="95"/>
      <c r="C41" s="92"/>
      <c r="D41" s="92"/>
      <c r="E41" s="92"/>
      <c r="F41" s="92"/>
      <c r="G41" s="92"/>
      <c r="H41" s="92"/>
      <c r="I41" s="92"/>
      <c r="J41" s="92"/>
      <c r="K41" s="92"/>
      <c r="L41" s="92"/>
      <c r="M41" s="92"/>
      <c r="N41" s="92"/>
      <c r="O41" s="92"/>
      <c r="P41" s="93"/>
      <c r="Q41" s="93"/>
      <c r="R41" s="93"/>
      <c r="S41" s="92"/>
      <c r="T41" s="94"/>
      <c r="U41" s="11"/>
      <c r="V41" s="11"/>
    </row>
    <row r="42" spans="1:22">
      <c r="A42" s="13"/>
      <c r="B42" s="95" t="s">
        <v>186</v>
      </c>
      <c r="C42" s="109">
        <f>C40/C37</f>
        <v>3407.2727272727275</v>
      </c>
      <c r="D42" s="109">
        <f>D40/D37</f>
        <v>-1099.25</v>
      </c>
      <c r="E42" s="109">
        <f t="shared" ref="E42:H42" si="0">E40/E37</f>
        <v>0</v>
      </c>
      <c r="F42" s="109">
        <f t="shared" si="0"/>
        <v>-43318.743168125293</v>
      </c>
      <c r="G42" s="109">
        <f t="shared" si="0"/>
        <v>-8.5959375007860217E-3</v>
      </c>
      <c r="H42" s="109">
        <f t="shared" si="0"/>
        <v>-43318.751764062785</v>
      </c>
      <c r="I42" s="92"/>
      <c r="J42" s="92"/>
      <c r="K42" s="92"/>
      <c r="L42" s="92"/>
      <c r="M42" s="92"/>
      <c r="N42" s="92"/>
      <c r="O42" s="92"/>
      <c r="P42" s="93"/>
      <c r="Q42" s="93"/>
      <c r="R42" s="93"/>
      <c r="S42" s="92"/>
      <c r="T42" s="94"/>
      <c r="U42" s="11"/>
      <c r="V42" s="11"/>
    </row>
    <row r="43" spans="1:22">
      <c r="A43" s="13"/>
      <c r="B43" s="95"/>
      <c r="C43" s="92"/>
      <c r="D43" s="92"/>
      <c r="E43" s="92"/>
      <c r="F43" s="92"/>
      <c r="G43" s="92"/>
      <c r="H43" s="92"/>
      <c r="I43" s="92"/>
      <c r="J43" s="92"/>
      <c r="K43" s="92"/>
      <c r="L43" s="92"/>
      <c r="M43" s="92"/>
      <c r="N43" s="92"/>
      <c r="O43" s="92"/>
      <c r="P43" s="93"/>
      <c r="Q43" s="93"/>
      <c r="R43" s="93"/>
      <c r="S43" s="92"/>
      <c r="T43" s="94"/>
      <c r="U43" s="11"/>
      <c r="V43" s="11"/>
    </row>
    <row r="44" spans="1:22">
      <c r="A44" s="13"/>
      <c r="B44" s="91" t="s">
        <v>187</v>
      </c>
      <c r="C44" s="110">
        <f>C40-C42</f>
        <v>7496</v>
      </c>
      <c r="D44" s="110">
        <f>D40-D42</f>
        <v>-4397</v>
      </c>
      <c r="E44" s="110">
        <f t="shared" ref="E44:H44" si="1">E40-E42</f>
        <v>0</v>
      </c>
      <c r="F44" s="110">
        <f t="shared" si="1"/>
        <v>-95301.234969875644</v>
      </c>
      <c r="G44" s="110">
        <f t="shared" si="1"/>
        <v>-1.8911062501729248E-2</v>
      </c>
      <c r="H44" s="110">
        <f t="shared" si="1"/>
        <v>-95301.253880938137</v>
      </c>
      <c r="I44" s="111"/>
      <c r="J44" s="111"/>
      <c r="K44" s="111"/>
      <c r="L44" s="111"/>
      <c r="M44" s="111"/>
      <c r="N44" s="111"/>
      <c r="O44" s="92"/>
      <c r="P44" s="93"/>
      <c r="Q44" s="93"/>
      <c r="R44" s="93"/>
      <c r="S44" s="92"/>
      <c r="T44" s="94"/>
      <c r="U44" s="11"/>
      <c r="V44" s="11"/>
    </row>
    <row r="45" spans="1:22">
      <c r="A45" s="13"/>
      <c r="B45" s="95"/>
      <c r="C45" s="92"/>
      <c r="D45" s="92"/>
      <c r="E45" s="92"/>
      <c r="F45" s="92"/>
      <c r="G45" s="92"/>
      <c r="H45" s="92"/>
      <c r="I45" s="92"/>
      <c r="J45" s="92"/>
      <c r="K45" s="92"/>
      <c r="L45" s="92"/>
      <c r="M45" s="92"/>
      <c r="N45" s="92"/>
      <c r="O45" s="92"/>
      <c r="P45" s="93"/>
      <c r="Q45" s="93"/>
      <c r="R45" s="93"/>
      <c r="S45" s="92"/>
      <c r="T45" s="94"/>
      <c r="U45" s="11"/>
      <c r="V45" s="11"/>
    </row>
    <row r="46" spans="1:22">
      <c r="A46" s="13"/>
      <c r="B46" s="95" t="s">
        <v>188</v>
      </c>
      <c r="C46" s="108">
        <f>IF(D18=0,0,((C44/D18)*C18)-C44)</f>
        <v>-4225.0631859060277</v>
      </c>
      <c r="D46" s="108">
        <f>IF(D18=0,0,((D44/D18)*C18)-D44)</f>
        <v>2478.3354893848455</v>
      </c>
      <c r="E46" s="108">
        <f>IF(D18=0,0,((E44/D18)*C18)-E44)</f>
        <v>0</v>
      </c>
      <c r="F46" s="92"/>
      <c r="G46" s="92"/>
      <c r="H46" s="92"/>
      <c r="I46" s="92"/>
      <c r="J46" s="92"/>
      <c r="K46" s="92"/>
      <c r="L46" s="109">
        <f>-E46-D46-C46</f>
        <v>1746.7276965211822</v>
      </c>
      <c r="M46" s="92"/>
      <c r="N46" s="92"/>
      <c r="O46" s="92"/>
      <c r="P46" s="93"/>
      <c r="Q46" s="93"/>
      <c r="R46" s="93"/>
      <c r="S46" s="92"/>
      <c r="T46" s="94"/>
      <c r="U46" s="11"/>
      <c r="V46" s="11"/>
    </row>
    <row r="47" spans="1:22">
      <c r="A47" s="13"/>
      <c r="B47" s="95"/>
      <c r="C47" s="108"/>
      <c r="D47" s="108"/>
      <c r="E47" s="108"/>
      <c r="F47" s="92"/>
      <c r="G47" s="92"/>
      <c r="H47" s="92"/>
      <c r="I47" s="92"/>
      <c r="J47" s="92"/>
      <c r="K47" s="92"/>
      <c r="L47" s="109"/>
      <c r="M47" s="92"/>
      <c r="N47" s="92"/>
      <c r="O47" s="92"/>
      <c r="P47" s="93"/>
      <c r="Q47" s="93"/>
      <c r="R47" s="93"/>
      <c r="S47" s="92"/>
      <c r="T47" s="94"/>
      <c r="U47" s="11"/>
      <c r="V47" s="11"/>
    </row>
    <row r="48" spans="1:22">
      <c r="A48" s="13"/>
      <c r="B48" s="95" t="s">
        <v>189</v>
      </c>
      <c r="C48" s="92"/>
      <c r="D48" s="92"/>
      <c r="E48" s="92"/>
      <c r="F48" s="92"/>
      <c r="G48" s="92"/>
      <c r="H48" s="92"/>
      <c r="I48" s="92"/>
      <c r="J48" s="92"/>
      <c r="K48" s="92"/>
      <c r="L48" s="108">
        <f>C18*G20-D18*G20</f>
        <v>460405.16816140007</v>
      </c>
      <c r="M48" s="92"/>
      <c r="N48" s="92"/>
      <c r="O48" s="92"/>
      <c r="P48" s="93"/>
      <c r="Q48" s="93"/>
      <c r="R48" s="93"/>
      <c r="S48" s="92"/>
      <c r="T48" s="94"/>
      <c r="U48" s="11"/>
      <c r="V48" s="11"/>
    </row>
    <row r="49" spans="1:22">
      <c r="A49" s="13"/>
      <c r="B49" s="95"/>
      <c r="C49" s="92"/>
      <c r="D49" s="92"/>
      <c r="E49" s="92"/>
      <c r="F49" s="92"/>
      <c r="G49" s="92"/>
      <c r="H49" s="92"/>
      <c r="I49" s="92"/>
      <c r="J49" s="92"/>
      <c r="K49" s="92"/>
      <c r="L49" s="109"/>
      <c r="M49" s="92"/>
      <c r="N49" s="92"/>
      <c r="O49" s="92"/>
      <c r="P49" s="93"/>
      <c r="Q49" s="93"/>
      <c r="R49" s="93"/>
      <c r="S49" s="92"/>
      <c r="T49" s="94"/>
      <c r="U49" s="11"/>
      <c r="V49" s="11"/>
    </row>
    <row r="50" spans="1:22">
      <c r="A50" s="13"/>
      <c r="B50" s="95" t="s">
        <v>190</v>
      </c>
      <c r="C50" s="109">
        <f t="shared" ref="C50:D50" si="2">C44+C46</f>
        <v>3270.9368140939723</v>
      </c>
      <c r="D50" s="109">
        <f t="shared" si="2"/>
        <v>-1918.6645106151545</v>
      </c>
      <c r="E50" s="109">
        <f>E44+E46</f>
        <v>0</v>
      </c>
      <c r="F50" s="109">
        <f>F44+F46</f>
        <v>-95301.234969875644</v>
      </c>
      <c r="G50" s="109">
        <f>G44+G46</f>
        <v>-1.8911062501729248E-2</v>
      </c>
      <c r="H50" s="109">
        <f>H44+H46</f>
        <v>-95301.253880938137</v>
      </c>
      <c r="I50" s="109">
        <f>D32*C18</f>
        <v>-8774.8289999999997</v>
      </c>
      <c r="J50" s="109">
        <f>E32*C18</f>
        <v>24390.250499999998</v>
      </c>
      <c r="K50" s="109">
        <f>F32*C18</f>
        <v>0</v>
      </c>
      <c r="L50" s="109">
        <f>L46+L48</f>
        <v>462151.89585792128</v>
      </c>
      <c r="M50" s="108">
        <f>F18-C18*F20</f>
        <v>2.3387330869809375E-2</v>
      </c>
      <c r="N50" s="109">
        <f>L50+M50</f>
        <v>462151.91924525215</v>
      </c>
      <c r="O50" s="92"/>
      <c r="P50" s="93"/>
      <c r="Q50" s="93"/>
      <c r="R50" s="93"/>
      <c r="S50" s="92"/>
      <c r="T50" s="94"/>
      <c r="U50" s="11"/>
      <c r="V50" s="11"/>
    </row>
    <row r="51" spans="1:22">
      <c r="A51" s="13"/>
      <c r="B51" s="95"/>
      <c r="C51" s="92"/>
      <c r="D51" s="92"/>
      <c r="E51" s="92"/>
      <c r="F51" s="92"/>
      <c r="G51" s="92"/>
      <c r="H51" s="92"/>
      <c r="I51" s="92"/>
      <c r="J51" s="92"/>
      <c r="K51" s="92"/>
      <c r="L51" s="92"/>
      <c r="M51" s="92"/>
      <c r="N51" s="92"/>
      <c r="O51" s="92"/>
      <c r="P51" s="93"/>
      <c r="Q51" s="93"/>
      <c r="R51" s="93"/>
      <c r="S51" s="92"/>
      <c r="T51" s="94"/>
      <c r="U51" s="11"/>
      <c r="V51" s="11"/>
    </row>
    <row r="52" spans="1:22">
      <c r="A52" s="13"/>
      <c r="B52" s="95" t="s">
        <v>191</v>
      </c>
      <c r="C52" s="108">
        <f>C50/(C37-1)</f>
        <v>1486.7894609518055</v>
      </c>
      <c r="D52" s="108">
        <f t="shared" ref="D52" si="3">D50/(D37-1)</f>
        <v>-479.66612765378864</v>
      </c>
      <c r="E52" s="108">
        <f>E50/(E37-1)</f>
        <v>0</v>
      </c>
      <c r="F52" s="108">
        <f>F50/(F37-1)</f>
        <v>-43318.743168125293</v>
      </c>
      <c r="G52" s="108">
        <f>G50/(G37-1)</f>
        <v>-8.5959375007860217E-3</v>
      </c>
      <c r="H52" s="108">
        <f>H50/(H37-1)</f>
        <v>-43318.751764062785</v>
      </c>
      <c r="I52" s="108">
        <f>I50/I37</f>
        <v>-2742.1340624999998</v>
      </c>
      <c r="J52" s="108">
        <f t="shared" ref="J52:N52" si="4">J50/J37</f>
        <v>4878.0500999999995</v>
      </c>
      <c r="K52" s="108">
        <f t="shared" si="4"/>
        <v>0</v>
      </c>
      <c r="L52" s="108">
        <f t="shared" si="4"/>
        <v>144422.46745560039</v>
      </c>
      <c r="M52" s="108">
        <f t="shared" si="4"/>
        <v>7.3085408968154297E-3</v>
      </c>
      <c r="N52" s="108">
        <f t="shared" si="4"/>
        <v>144422.47476414128</v>
      </c>
      <c r="O52" s="92"/>
      <c r="P52" s="93"/>
      <c r="Q52" s="93"/>
      <c r="R52" s="93"/>
      <c r="S52" s="92"/>
      <c r="T52" s="94"/>
      <c r="U52" s="11"/>
      <c r="V52" s="11"/>
    </row>
    <row r="53" spans="1:22">
      <c r="A53" s="13"/>
      <c r="B53" s="95"/>
      <c r="C53" s="92"/>
      <c r="D53" s="92"/>
      <c r="E53" s="92"/>
      <c r="F53" s="92"/>
      <c r="G53" s="92"/>
      <c r="H53" s="92"/>
      <c r="I53" s="92"/>
      <c r="J53" s="92"/>
      <c r="K53" s="92"/>
      <c r="L53" s="92"/>
      <c r="M53" s="92"/>
      <c r="N53" s="92"/>
      <c r="O53" s="92"/>
      <c r="P53" s="93"/>
      <c r="Q53" s="93"/>
      <c r="R53" s="93"/>
      <c r="S53" s="92"/>
      <c r="T53" s="94"/>
      <c r="U53" s="11"/>
      <c r="V53" s="11"/>
    </row>
    <row r="54" spans="1:22">
      <c r="A54" s="13"/>
      <c r="B54" s="91" t="s">
        <v>192</v>
      </c>
      <c r="C54" s="110">
        <f>C50-C52</f>
        <v>1784.1473531421668</v>
      </c>
      <c r="D54" s="110">
        <f t="shared" ref="D54" si="5">D50-D52</f>
        <v>-1438.9983829613659</v>
      </c>
      <c r="E54" s="110">
        <f>E50-E52</f>
        <v>0</v>
      </c>
      <c r="F54" s="110">
        <f>F50-F52</f>
        <v>-51982.491801750351</v>
      </c>
      <c r="G54" s="110">
        <f>G50-G52</f>
        <v>-1.0315125000943226E-2</v>
      </c>
      <c r="H54" s="110">
        <f>H50-H52</f>
        <v>-51982.502116875352</v>
      </c>
      <c r="I54" s="110">
        <f>I50-I52</f>
        <v>-6032.6949375000004</v>
      </c>
      <c r="J54" s="110">
        <f t="shared" ref="J54:N54" si="6">J50-J52</f>
        <v>19512.200399999998</v>
      </c>
      <c r="K54" s="110">
        <f t="shared" si="6"/>
        <v>0</v>
      </c>
      <c r="L54" s="110">
        <f t="shared" si="6"/>
        <v>317729.42840232089</v>
      </c>
      <c r="M54" s="110">
        <f t="shared" si="6"/>
        <v>1.6078789972993945E-2</v>
      </c>
      <c r="N54" s="110">
        <f t="shared" si="6"/>
        <v>317729.4444811109</v>
      </c>
      <c r="O54" s="92"/>
      <c r="P54" s="93"/>
      <c r="Q54" s="93"/>
      <c r="R54" s="93"/>
      <c r="S54" s="92"/>
      <c r="T54" s="94"/>
      <c r="U54" s="11"/>
      <c r="V54" s="11"/>
    </row>
    <row r="55" spans="1:22">
      <c r="A55" s="13"/>
      <c r="B55" s="91"/>
      <c r="C55" s="110"/>
      <c r="D55" s="110"/>
      <c r="E55" s="110"/>
      <c r="F55" s="110"/>
      <c r="G55" s="110"/>
      <c r="H55" s="110"/>
      <c r="I55" s="110"/>
      <c r="J55" s="110"/>
      <c r="K55" s="110"/>
      <c r="L55" s="110"/>
      <c r="M55" s="110"/>
      <c r="N55" s="110"/>
      <c r="O55" s="92"/>
      <c r="P55" s="93"/>
      <c r="Q55" s="93"/>
      <c r="R55" s="93"/>
      <c r="S55" s="92"/>
      <c r="T55" s="94"/>
      <c r="U55" s="11"/>
      <c r="V55" s="11"/>
    </row>
    <row r="56" spans="1:22">
      <c r="A56" s="13"/>
      <c r="B56" s="95" t="s">
        <v>251</v>
      </c>
      <c r="C56" s="108">
        <f>IF(D13=0,0,((C54/D13)*C13)-C54)</f>
        <v>17.574285396440246</v>
      </c>
      <c r="D56" s="108">
        <f>IF(D13=0,0,((D54/D13)*C13)-D54)</f>
        <v>-14.174484087673818</v>
      </c>
      <c r="E56" s="108">
        <f>IF(D13=0,0,((E54/D13)*C13)-E54)</f>
        <v>0</v>
      </c>
      <c r="F56" s="110"/>
      <c r="G56" s="110"/>
      <c r="H56" s="110"/>
      <c r="I56" s="108">
        <f>IF(D13=0,0,((I54/D13)*C13)-I54)</f>
        <v>-59.423512499999561</v>
      </c>
      <c r="J56" s="108">
        <f>IF(D13=0,0,((J54/D13)*C13)-J54)</f>
        <v>192.19991999999911</v>
      </c>
      <c r="K56" s="108">
        <f>IF(D13=0,0,((K54/D13)*C13)-K54)</f>
        <v>0</v>
      </c>
      <c r="L56" s="110"/>
      <c r="M56" s="110"/>
      <c r="N56" s="110"/>
      <c r="O56" s="92"/>
      <c r="P56" s="93"/>
      <c r="Q56" s="93"/>
      <c r="R56" s="178">
        <f>-K56-J56-I56-E56-D56-C56</f>
        <v>-136.17620880876598</v>
      </c>
      <c r="S56" s="92"/>
      <c r="T56" s="94"/>
      <c r="U56" s="11"/>
      <c r="V56" s="11"/>
    </row>
    <row r="57" spans="1:22">
      <c r="A57" s="13"/>
      <c r="B57" s="95"/>
      <c r="C57" s="110"/>
      <c r="D57" s="110"/>
      <c r="E57" s="110"/>
      <c r="F57" s="110"/>
      <c r="G57" s="110"/>
      <c r="H57" s="110"/>
      <c r="I57" s="110"/>
      <c r="J57" s="110"/>
      <c r="K57" s="110"/>
      <c r="L57" s="110"/>
      <c r="M57" s="110"/>
      <c r="N57" s="110"/>
      <c r="O57" s="92"/>
      <c r="P57" s="93"/>
      <c r="Q57" s="93"/>
      <c r="R57" s="93"/>
      <c r="S57" s="92"/>
      <c r="T57" s="94"/>
      <c r="U57" s="11"/>
      <c r="V57" s="11"/>
    </row>
    <row r="58" spans="1:22">
      <c r="A58" s="13"/>
      <c r="B58" s="95" t="s">
        <v>252</v>
      </c>
      <c r="C58" s="110"/>
      <c r="D58" s="110"/>
      <c r="E58" s="110"/>
      <c r="F58" s="110"/>
      <c r="G58" s="110"/>
      <c r="H58" s="110"/>
      <c r="I58" s="110"/>
      <c r="J58" s="110"/>
      <c r="K58" s="110"/>
      <c r="L58" s="110"/>
      <c r="M58" s="110"/>
      <c r="N58" s="110"/>
      <c r="O58" s="92"/>
      <c r="P58" s="93"/>
      <c r="Q58" s="93"/>
      <c r="R58" s="178">
        <f>C13*G15-D13*G15</f>
        <v>-3589.6525999999722</v>
      </c>
      <c r="S58" s="92"/>
      <c r="T58" s="94"/>
      <c r="U58" s="11"/>
      <c r="V58" s="11"/>
    </row>
    <row r="59" spans="1:22">
      <c r="A59" s="13"/>
      <c r="B59" s="95"/>
      <c r="C59" s="110"/>
      <c r="D59" s="110"/>
      <c r="E59" s="110"/>
      <c r="F59" s="110"/>
      <c r="G59" s="110"/>
      <c r="H59" s="110"/>
      <c r="I59" s="110"/>
      <c r="J59" s="110"/>
      <c r="K59" s="110"/>
      <c r="L59" s="110"/>
      <c r="M59" s="110"/>
      <c r="N59" s="110"/>
      <c r="O59" s="92"/>
      <c r="P59" s="93"/>
      <c r="Q59" s="93"/>
      <c r="R59" s="93"/>
      <c r="S59" s="92"/>
      <c r="T59" s="94"/>
      <c r="U59" s="11"/>
      <c r="V59" s="11"/>
    </row>
    <row r="60" spans="1:22">
      <c r="A60" s="13"/>
      <c r="B60" s="95" t="s">
        <v>253</v>
      </c>
      <c r="C60" s="179">
        <f>C54+C56+C58</f>
        <v>1801.7216385386071</v>
      </c>
      <c r="D60" s="179">
        <f t="shared" ref="D60:N60" si="7">D54+D56+D58</f>
        <v>-1453.1728670490397</v>
      </c>
      <c r="E60" s="179">
        <f t="shared" si="7"/>
        <v>0</v>
      </c>
      <c r="F60" s="179">
        <f t="shared" si="7"/>
        <v>-51982.491801750351</v>
      </c>
      <c r="G60" s="179">
        <f t="shared" si="7"/>
        <v>-1.0315125000943226E-2</v>
      </c>
      <c r="H60" s="179">
        <f t="shared" si="7"/>
        <v>-51982.502116875352</v>
      </c>
      <c r="I60" s="179">
        <f t="shared" si="7"/>
        <v>-6092.1184499999999</v>
      </c>
      <c r="J60" s="179">
        <f t="shared" si="7"/>
        <v>19704.400319999997</v>
      </c>
      <c r="K60" s="179">
        <f t="shared" si="7"/>
        <v>0</v>
      </c>
      <c r="L60" s="179">
        <f t="shared" si="7"/>
        <v>317729.42840232089</v>
      </c>
      <c r="M60" s="179">
        <f t="shared" si="7"/>
        <v>1.6078789972993945E-2</v>
      </c>
      <c r="N60" s="179">
        <f t="shared" si="7"/>
        <v>317729.4444811109</v>
      </c>
      <c r="O60" s="179">
        <f>C13*D31</f>
        <v>-714.61799999999994</v>
      </c>
      <c r="P60" s="179">
        <f>C13*E31</f>
        <v>-16626.7788</v>
      </c>
      <c r="Q60" s="179">
        <f>C13*F31</f>
        <v>112464.99279999999</v>
      </c>
      <c r="R60" s="179">
        <f>R56+R58</f>
        <v>-3725.8288088087384</v>
      </c>
      <c r="S60" s="179">
        <f>F13-C13*F15</f>
        <v>-2.6067757007695036E-3</v>
      </c>
      <c r="T60" s="179">
        <f>R60+S60</f>
        <v>-3725.8314155844391</v>
      </c>
      <c r="U60" s="180"/>
      <c r="V60" s="11"/>
    </row>
    <row r="61" spans="1:22">
      <c r="A61" s="13"/>
      <c r="B61" s="95"/>
      <c r="C61" s="110"/>
      <c r="D61" s="110"/>
      <c r="E61" s="110"/>
      <c r="F61" s="110"/>
      <c r="G61" s="110"/>
      <c r="H61" s="110"/>
      <c r="I61" s="110"/>
      <c r="J61" s="110"/>
      <c r="K61" s="110"/>
      <c r="L61" s="110"/>
      <c r="M61" s="110"/>
      <c r="N61" s="110"/>
      <c r="O61" s="92"/>
      <c r="P61" s="93"/>
      <c r="Q61" s="93"/>
      <c r="R61" s="93"/>
      <c r="S61" s="92"/>
      <c r="T61" s="93"/>
      <c r="U61" s="180"/>
      <c r="V61" s="11"/>
    </row>
    <row r="62" spans="1:22">
      <c r="A62" s="13"/>
      <c r="B62" s="95" t="s">
        <v>254</v>
      </c>
      <c r="C62" s="179">
        <f>C60/(C37-2)</f>
        <v>1501.4346987821723</v>
      </c>
      <c r="D62" s="179">
        <f t="shared" ref="D62:H62" si="8">D60/(D37-2)</f>
        <v>-484.39095568301326</v>
      </c>
      <c r="E62" s="179">
        <f t="shared" si="8"/>
        <v>0</v>
      </c>
      <c r="F62" s="179">
        <f t="shared" si="8"/>
        <v>-43318.743168125286</v>
      </c>
      <c r="G62" s="179">
        <f t="shared" si="8"/>
        <v>-8.59593750078602E-3</v>
      </c>
      <c r="H62" s="179">
        <f t="shared" si="8"/>
        <v>-43318.751764062785</v>
      </c>
      <c r="I62" s="179">
        <f>I60/(I37-1)</f>
        <v>-2769.1447499999999</v>
      </c>
      <c r="J62" s="179">
        <f t="shared" ref="J62:N62" si="9">J60/(J37-1)</f>
        <v>4926.1000799999993</v>
      </c>
      <c r="K62" s="179">
        <f t="shared" si="9"/>
        <v>0</v>
      </c>
      <c r="L62" s="179">
        <f t="shared" si="9"/>
        <v>144422.46745560039</v>
      </c>
      <c r="M62" s="179">
        <f t="shared" si="9"/>
        <v>7.3085408968154289E-3</v>
      </c>
      <c r="N62" s="179">
        <f t="shared" si="9"/>
        <v>144422.47476414131</v>
      </c>
      <c r="O62" s="109">
        <f>O60/O37</f>
        <v>-212.05281899109789</v>
      </c>
      <c r="P62" s="109">
        <f t="shared" ref="P62:T62" si="10">P60/P37</f>
        <v>-3325.3557599999999</v>
      </c>
      <c r="Q62" s="109">
        <f t="shared" si="10"/>
        <v>33372.40142433234</v>
      </c>
      <c r="R62" s="109">
        <f t="shared" si="10"/>
        <v>-1105.5871836227709</v>
      </c>
      <c r="S62" s="109">
        <f t="shared" si="10"/>
        <v>-7.7352394681587638E-4</v>
      </c>
      <c r="T62" s="109">
        <f t="shared" si="10"/>
        <v>-1105.5879571467178</v>
      </c>
      <c r="U62" s="180"/>
      <c r="V62" s="11"/>
    </row>
    <row r="63" spans="1:22">
      <c r="A63" s="13"/>
      <c r="B63" s="91"/>
      <c r="C63" s="110"/>
      <c r="D63" s="110"/>
      <c r="E63" s="110"/>
      <c r="F63" s="110"/>
      <c r="G63" s="110"/>
      <c r="H63" s="110"/>
      <c r="I63" s="110"/>
      <c r="J63" s="110"/>
      <c r="K63" s="110"/>
      <c r="L63" s="110"/>
      <c r="M63" s="110"/>
      <c r="N63" s="110"/>
      <c r="O63" s="92"/>
      <c r="P63" s="93"/>
      <c r="Q63" s="93"/>
      <c r="R63" s="93"/>
      <c r="S63" s="92"/>
      <c r="T63" s="93"/>
      <c r="U63" s="180"/>
      <c r="V63" s="11"/>
    </row>
    <row r="64" spans="1:22">
      <c r="A64" s="13"/>
      <c r="B64" s="91" t="s">
        <v>255</v>
      </c>
      <c r="C64" s="110">
        <f>C60-C62</f>
        <v>300.28693975643478</v>
      </c>
      <c r="D64" s="110">
        <f t="shared" ref="D64:T64" si="11">D60-D62</f>
        <v>-968.78191136602641</v>
      </c>
      <c r="E64" s="110">
        <f t="shared" si="11"/>
        <v>0</v>
      </c>
      <c r="F64" s="110">
        <f t="shared" si="11"/>
        <v>-8663.7486336250658</v>
      </c>
      <c r="G64" s="110">
        <f t="shared" si="11"/>
        <v>-1.7191875001572061E-3</v>
      </c>
      <c r="H64" s="110">
        <f t="shared" si="11"/>
        <v>-8663.7503528125671</v>
      </c>
      <c r="I64" s="110">
        <f t="shared" si="11"/>
        <v>-3322.9737</v>
      </c>
      <c r="J64" s="110">
        <f t="shared" si="11"/>
        <v>14778.300239999997</v>
      </c>
      <c r="K64" s="110">
        <f t="shared" si="11"/>
        <v>0</v>
      </c>
      <c r="L64" s="110">
        <f t="shared" si="11"/>
        <v>173306.9609467205</v>
      </c>
      <c r="M64" s="110">
        <f t="shared" si="11"/>
        <v>8.7702490761785157E-3</v>
      </c>
      <c r="N64" s="110">
        <f t="shared" si="11"/>
        <v>173306.96971696959</v>
      </c>
      <c r="O64" s="110">
        <f t="shared" si="11"/>
        <v>-502.56518100890207</v>
      </c>
      <c r="P64" s="110">
        <f t="shared" si="11"/>
        <v>-13301.42304</v>
      </c>
      <c r="Q64" s="110">
        <f t="shared" si="11"/>
        <v>79092.59137566766</v>
      </c>
      <c r="R64" s="110">
        <f t="shared" si="11"/>
        <v>-2620.2416251859677</v>
      </c>
      <c r="S64" s="110">
        <f t="shared" si="11"/>
        <v>-1.8332517539536271E-3</v>
      </c>
      <c r="T64" s="110">
        <f t="shared" si="11"/>
        <v>-2620.2434584377215</v>
      </c>
      <c r="U64" s="180"/>
      <c r="V64" s="11"/>
    </row>
    <row r="65" spans="1:22">
      <c r="A65" s="13"/>
      <c r="B65" s="91"/>
      <c r="C65" s="110"/>
      <c r="D65" s="110"/>
      <c r="E65" s="110"/>
      <c r="F65" s="110"/>
      <c r="G65" s="110"/>
      <c r="H65" s="110"/>
      <c r="I65" s="110"/>
      <c r="J65" s="110"/>
      <c r="K65" s="110"/>
      <c r="L65" s="110"/>
      <c r="M65" s="110"/>
      <c r="N65" s="110"/>
      <c r="O65" s="92"/>
      <c r="P65" s="93"/>
      <c r="Q65" s="93"/>
      <c r="R65" s="93"/>
      <c r="S65" s="92"/>
      <c r="T65" s="93"/>
      <c r="U65" s="180"/>
      <c r="V65" s="11"/>
    </row>
    <row r="66" spans="1:22">
      <c r="A66" s="13"/>
      <c r="B66" s="95"/>
      <c r="C66" s="92"/>
      <c r="D66" s="92"/>
      <c r="E66" s="93"/>
      <c r="F66" s="93"/>
      <c r="G66" s="93"/>
      <c r="H66" s="92"/>
      <c r="I66" s="93"/>
      <c r="J66" s="93"/>
      <c r="K66" s="93"/>
      <c r="L66" s="93"/>
      <c r="M66" s="92"/>
      <c r="N66" s="93"/>
      <c r="O66" s="92"/>
      <c r="P66" s="93"/>
      <c r="Q66" s="93"/>
      <c r="R66" s="93"/>
      <c r="S66" s="92"/>
      <c r="T66" s="94"/>
      <c r="U66" s="11"/>
      <c r="V66" s="11"/>
    </row>
    <row r="67" spans="1:22">
      <c r="A67" s="13"/>
      <c r="B67" s="91" t="s">
        <v>193</v>
      </c>
      <c r="C67" s="92"/>
      <c r="D67" s="92"/>
      <c r="E67" s="93"/>
      <c r="F67" s="93"/>
      <c r="G67" s="93"/>
      <c r="H67" s="92"/>
      <c r="I67" s="93"/>
      <c r="J67" s="93"/>
      <c r="K67" s="93"/>
      <c r="L67" s="93"/>
      <c r="M67" s="92"/>
      <c r="N67" s="93"/>
      <c r="O67" s="92"/>
      <c r="P67" s="93"/>
      <c r="Q67" s="93"/>
      <c r="R67" s="93"/>
      <c r="S67" s="92"/>
      <c r="T67" s="94"/>
      <c r="U67" s="11"/>
      <c r="V67" s="11"/>
    </row>
    <row r="68" spans="1:22">
      <c r="A68" s="13"/>
      <c r="B68" s="95">
        <v>2018</v>
      </c>
      <c r="C68" s="108">
        <f>IF(C64&lt;0,IF(C64-C62&lt;0,C62,C64),IF(C64-C62&gt;0,C62,C64))</f>
        <v>300.28693975643478</v>
      </c>
      <c r="D68" s="108">
        <f t="shared" ref="D68:T68" si="12">IF(D64&lt;0,IF(D64-D62&lt;0,D62,D64),IF(D64-D62&gt;0,D62,D64))</f>
        <v>-484.39095568301326</v>
      </c>
      <c r="E68" s="108">
        <f t="shared" si="12"/>
        <v>0</v>
      </c>
      <c r="F68" s="108">
        <f t="shared" si="12"/>
        <v>-8663.7486336250658</v>
      </c>
      <c r="G68" s="108">
        <f t="shared" si="12"/>
        <v>-1.7191875001572061E-3</v>
      </c>
      <c r="H68" s="108">
        <f t="shared" si="12"/>
        <v>-8663.7503528125671</v>
      </c>
      <c r="I68" s="108">
        <f t="shared" si="12"/>
        <v>-2769.1447499999999</v>
      </c>
      <c r="J68" s="108">
        <f t="shared" si="12"/>
        <v>4926.1000799999993</v>
      </c>
      <c r="K68" s="108">
        <f t="shared" si="12"/>
        <v>0</v>
      </c>
      <c r="L68" s="108">
        <f t="shared" si="12"/>
        <v>144422.46745560039</v>
      </c>
      <c r="M68" s="108">
        <f t="shared" si="12"/>
        <v>7.3085408968154289E-3</v>
      </c>
      <c r="N68" s="108">
        <f t="shared" si="12"/>
        <v>144422.47476414131</v>
      </c>
      <c r="O68" s="108">
        <f t="shared" si="12"/>
        <v>-212.05281899109789</v>
      </c>
      <c r="P68" s="108">
        <f t="shared" si="12"/>
        <v>-3325.3557599999999</v>
      </c>
      <c r="Q68" s="108">
        <f t="shared" si="12"/>
        <v>33372.40142433234</v>
      </c>
      <c r="R68" s="108">
        <f t="shared" si="12"/>
        <v>-1105.5871836227709</v>
      </c>
      <c r="S68" s="108">
        <f t="shared" si="12"/>
        <v>-7.7352394681587638E-4</v>
      </c>
      <c r="T68" s="112">
        <f t="shared" si="12"/>
        <v>-1105.5879571467178</v>
      </c>
      <c r="U68" s="11"/>
      <c r="V68" s="11"/>
    </row>
    <row r="69" spans="1:22">
      <c r="A69" s="13"/>
      <c r="B69" s="95">
        <v>2019</v>
      </c>
      <c r="C69" s="108">
        <f>IF(C64&lt;0,IF(C64-C68-C62&lt;0,C62,C64-C68),IF(C64-C68-C62&gt;0,C62,C64-C68))</f>
        <v>0</v>
      </c>
      <c r="D69" s="108">
        <f t="shared" ref="D69:T69" si="13">IF(D64&lt;0,IF(D64-D68-D62&lt;0,D62,D64-D68),IF(D64-D68-D62&gt;0,D62,D64-D68))</f>
        <v>-484.39095568301315</v>
      </c>
      <c r="E69" s="108">
        <f t="shared" si="13"/>
        <v>0</v>
      </c>
      <c r="F69" s="108">
        <f t="shared" si="13"/>
        <v>0</v>
      </c>
      <c r="G69" s="108">
        <f t="shared" si="13"/>
        <v>0</v>
      </c>
      <c r="H69" s="108">
        <f t="shared" si="13"/>
        <v>0</v>
      </c>
      <c r="I69" s="108">
        <f t="shared" si="13"/>
        <v>-553.82895000000008</v>
      </c>
      <c r="J69" s="108">
        <f t="shared" si="13"/>
        <v>4926.1000799999993</v>
      </c>
      <c r="K69" s="108">
        <f t="shared" si="13"/>
        <v>0</v>
      </c>
      <c r="L69" s="108">
        <f t="shared" si="13"/>
        <v>28884.493491120113</v>
      </c>
      <c r="M69" s="108">
        <f t="shared" si="13"/>
        <v>1.4617081793630868E-3</v>
      </c>
      <c r="N69" s="108">
        <f t="shared" si="13"/>
        <v>28884.494952828274</v>
      </c>
      <c r="O69" s="108">
        <f t="shared" si="13"/>
        <v>-212.05281899109789</v>
      </c>
      <c r="P69" s="108">
        <f t="shared" si="13"/>
        <v>-3325.3557599999999</v>
      </c>
      <c r="Q69" s="108">
        <f t="shared" si="13"/>
        <v>33372.40142433234</v>
      </c>
      <c r="R69" s="108">
        <f t="shared" si="13"/>
        <v>-1105.5871836227709</v>
      </c>
      <c r="S69" s="108">
        <f t="shared" si="13"/>
        <v>-7.7352394681587638E-4</v>
      </c>
      <c r="T69" s="112">
        <f t="shared" si="13"/>
        <v>-1105.5879571467178</v>
      </c>
      <c r="U69" s="11"/>
      <c r="V69" s="11"/>
    </row>
    <row r="70" spans="1:22">
      <c r="A70" s="13"/>
      <c r="B70" s="95">
        <v>2020</v>
      </c>
      <c r="C70" s="108">
        <f>IF(C64&lt;0,IF(C64-C62-C68-C69&lt;0,C62,C64-C68-C69),IF(C64-C62-C68-C69&gt;0,C62,C64-C68-C69))</f>
        <v>0</v>
      </c>
      <c r="D70" s="108">
        <f t="shared" ref="D70:T70" si="14">IF(D64&lt;0,IF(D64-D62-D68-D69&lt;0,D62,D64-D68-D69),IF(D64-D62-D68-D69&gt;0,D62,D64-D68-D69))</f>
        <v>0</v>
      </c>
      <c r="E70" s="108">
        <f t="shared" si="14"/>
        <v>0</v>
      </c>
      <c r="F70" s="108">
        <f t="shared" si="14"/>
        <v>0</v>
      </c>
      <c r="G70" s="108">
        <f t="shared" si="14"/>
        <v>0</v>
      </c>
      <c r="H70" s="108">
        <f t="shared" si="14"/>
        <v>0</v>
      </c>
      <c r="I70" s="108">
        <f t="shared" si="14"/>
        <v>0</v>
      </c>
      <c r="J70" s="108">
        <f t="shared" si="14"/>
        <v>4926.1000799999974</v>
      </c>
      <c r="K70" s="108">
        <f t="shared" si="14"/>
        <v>0</v>
      </c>
      <c r="L70" s="108">
        <f t="shared" si="14"/>
        <v>0</v>
      </c>
      <c r="M70" s="108">
        <f t="shared" si="14"/>
        <v>0</v>
      </c>
      <c r="N70" s="108">
        <f t="shared" si="14"/>
        <v>0</v>
      </c>
      <c r="O70" s="108">
        <f t="shared" si="14"/>
        <v>-78.459543026706314</v>
      </c>
      <c r="P70" s="108">
        <f t="shared" si="14"/>
        <v>-3325.3557599999999</v>
      </c>
      <c r="Q70" s="108">
        <f t="shared" si="14"/>
        <v>12347.78852700298</v>
      </c>
      <c r="R70" s="108">
        <f t="shared" si="14"/>
        <v>-409.06725794042586</v>
      </c>
      <c r="S70" s="108">
        <f t="shared" si="14"/>
        <v>-2.8620386032187424E-4</v>
      </c>
      <c r="T70" s="112">
        <f t="shared" si="14"/>
        <v>-409.06754414428588</v>
      </c>
      <c r="U70" s="11"/>
      <c r="V70" s="11"/>
    </row>
    <row r="71" spans="1:22">
      <c r="A71" s="13"/>
      <c r="B71" s="95">
        <v>2021</v>
      </c>
      <c r="C71" s="108">
        <f>IF(C64&lt;0,IF(C64-C62-C68-C69-C70&lt;0,C62,C64-C68-C69-C70),IF(C64-C62-C68-C69-C70&gt;0,C62,C64-C68-C69-C70))</f>
        <v>0</v>
      </c>
      <c r="D71" s="108">
        <f t="shared" ref="D71:T71" si="15">IF(D64&lt;0,IF(D64-D62-D68-D69-D70&lt;0,D62,D64-D68-D69-D70),IF(D64-D62-D68-D69-D70&gt;0,D62,D64-D68-D69-D70))</f>
        <v>0</v>
      </c>
      <c r="E71" s="108">
        <f t="shared" si="15"/>
        <v>0</v>
      </c>
      <c r="F71" s="108">
        <f t="shared" si="15"/>
        <v>0</v>
      </c>
      <c r="G71" s="108">
        <f t="shared" si="15"/>
        <v>0</v>
      </c>
      <c r="H71" s="108">
        <f t="shared" si="15"/>
        <v>0</v>
      </c>
      <c r="I71" s="108">
        <f t="shared" si="15"/>
        <v>0</v>
      </c>
      <c r="J71" s="108">
        <f t="shared" si="15"/>
        <v>0</v>
      </c>
      <c r="K71" s="108">
        <f t="shared" si="15"/>
        <v>0</v>
      </c>
      <c r="L71" s="108">
        <f t="shared" si="15"/>
        <v>0</v>
      </c>
      <c r="M71" s="108">
        <f t="shared" si="15"/>
        <v>0</v>
      </c>
      <c r="N71" s="108">
        <f t="shared" si="15"/>
        <v>0</v>
      </c>
      <c r="O71" s="108">
        <f t="shared" si="15"/>
        <v>0</v>
      </c>
      <c r="P71" s="108">
        <f t="shared" si="15"/>
        <v>-3325.355759999999</v>
      </c>
      <c r="Q71" s="108">
        <f t="shared" si="15"/>
        <v>0</v>
      </c>
      <c r="R71" s="108">
        <f t="shared" si="15"/>
        <v>0</v>
      </c>
      <c r="S71" s="108">
        <f t="shared" si="15"/>
        <v>0</v>
      </c>
      <c r="T71" s="112">
        <f t="shared" si="15"/>
        <v>0</v>
      </c>
      <c r="U71" s="11"/>
      <c r="V71" s="11"/>
    </row>
    <row r="72" spans="1:22">
      <c r="A72" s="13"/>
      <c r="B72" s="95">
        <v>2022</v>
      </c>
      <c r="C72" s="108">
        <f>IF(C64&lt;0,IF(C64-C62-C68-C69-C70-C71&lt;0,C62,C64-C68-C69-C70-C71),IF(C64-C62-C68-C69-C70-C71&gt;0,C62,C64-C68-C69-C70-C71))</f>
        <v>0</v>
      </c>
      <c r="D72" s="108">
        <f t="shared" ref="D72:T72" si="16">IF(D64&lt;0,IF(D64-D62-D68-D69-D70-D71&lt;0,D62,D64-D68-D69-D70-D71),IF(D64-D62-D68-D69-D70-D71&gt;0,D62,D64-D68-D69-D70-D71))</f>
        <v>0</v>
      </c>
      <c r="E72" s="108">
        <f t="shared" si="16"/>
        <v>0</v>
      </c>
      <c r="F72" s="108">
        <f t="shared" si="16"/>
        <v>0</v>
      </c>
      <c r="G72" s="108">
        <f t="shared" si="16"/>
        <v>0</v>
      </c>
      <c r="H72" s="108">
        <f t="shared" si="16"/>
        <v>0</v>
      </c>
      <c r="I72" s="108">
        <f t="shared" si="16"/>
        <v>0</v>
      </c>
      <c r="J72" s="108">
        <f t="shared" si="16"/>
        <v>0</v>
      </c>
      <c r="K72" s="108">
        <f t="shared" si="16"/>
        <v>0</v>
      </c>
      <c r="L72" s="108">
        <f t="shared" si="16"/>
        <v>0</v>
      </c>
      <c r="M72" s="108">
        <f t="shared" si="16"/>
        <v>0</v>
      </c>
      <c r="N72" s="108">
        <f t="shared" si="16"/>
        <v>0</v>
      </c>
      <c r="O72" s="108">
        <f t="shared" si="16"/>
        <v>0</v>
      </c>
      <c r="P72" s="108">
        <f t="shared" si="16"/>
        <v>0</v>
      </c>
      <c r="Q72" s="108">
        <f t="shared" si="16"/>
        <v>0</v>
      </c>
      <c r="R72" s="108">
        <f t="shared" si="16"/>
        <v>0</v>
      </c>
      <c r="S72" s="108">
        <f t="shared" si="16"/>
        <v>0</v>
      </c>
      <c r="T72" s="112">
        <f t="shared" si="16"/>
        <v>0</v>
      </c>
      <c r="U72" s="11"/>
      <c r="V72" s="11"/>
    </row>
    <row r="73" spans="1:22">
      <c r="A73" s="13"/>
      <c r="B73" s="96" t="s">
        <v>30</v>
      </c>
      <c r="C73" s="108">
        <f>C64-C68-C69-C70-C71-C72</f>
        <v>0</v>
      </c>
      <c r="D73" s="108">
        <f t="shared" ref="D73:T73" si="17">D64-D68-D69-D70-D71-D72</f>
        <v>0</v>
      </c>
      <c r="E73" s="108">
        <f t="shared" si="17"/>
        <v>0</v>
      </c>
      <c r="F73" s="108">
        <f t="shared" si="17"/>
        <v>0</v>
      </c>
      <c r="G73" s="108">
        <f t="shared" si="17"/>
        <v>0</v>
      </c>
      <c r="H73" s="108">
        <f t="shared" si="17"/>
        <v>0</v>
      </c>
      <c r="I73" s="108">
        <f t="shared" si="17"/>
        <v>0</v>
      </c>
      <c r="J73" s="108">
        <f t="shared" si="17"/>
        <v>0</v>
      </c>
      <c r="K73" s="108">
        <f t="shared" si="17"/>
        <v>0</v>
      </c>
      <c r="L73" s="108">
        <f t="shared" si="17"/>
        <v>0</v>
      </c>
      <c r="M73" s="108">
        <f t="shared" si="17"/>
        <v>0</v>
      </c>
      <c r="N73" s="108">
        <f t="shared" si="17"/>
        <v>0</v>
      </c>
      <c r="O73" s="108">
        <f t="shared" si="17"/>
        <v>0</v>
      </c>
      <c r="P73" s="108">
        <f t="shared" si="17"/>
        <v>0</v>
      </c>
      <c r="Q73" s="108">
        <f t="shared" si="17"/>
        <v>0</v>
      </c>
      <c r="R73" s="108">
        <f t="shared" si="17"/>
        <v>0</v>
      </c>
      <c r="S73" s="108">
        <f t="shared" si="17"/>
        <v>0</v>
      </c>
      <c r="T73" s="112">
        <f t="shared" si="17"/>
        <v>0</v>
      </c>
      <c r="U73" s="11"/>
      <c r="V73" s="11"/>
    </row>
    <row r="74" spans="1:22">
      <c r="A74" s="13"/>
      <c r="B74" s="95"/>
      <c r="C74" s="92"/>
      <c r="D74" s="92"/>
      <c r="E74" s="93"/>
      <c r="F74" s="93"/>
      <c r="G74" s="93"/>
      <c r="H74" s="92"/>
      <c r="I74" s="93"/>
      <c r="J74" s="93"/>
      <c r="K74" s="93"/>
      <c r="L74" s="93"/>
      <c r="M74" s="92"/>
      <c r="N74" s="93"/>
      <c r="O74" s="92"/>
      <c r="P74" s="93"/>
      <c r="Q74" s="93"/>
      <c r="R74" s="93"/>
      <c r="S74" s="92"/>
      <c r="T74" s="94"/>
      <c r="U74" s="11"/>
      <c r="V74" s="11"/>
    </row>
    <row r="75" spans="1:22">
      <c r="A75" s="13"/>
      <c r="B75" s="91" t="s">
        <v>194</v>
      </c>
      <c r="C75" s="92"/>
      <c r="D75" s="92"/>
      <c r="E75" s="93"/>
      <c r="F75" s="93"/>
      <c r="G75" s="93"/>
      <c r="H75" s="92"/>
      <c r="I75" s="93"/>
      <c r="J75" s="93"/>
      <c r="K75" s="93"/>
      <c r="L75" s="93"/>
      <c r="M75" s="92"/>
      <c r="N75" s="93"/>
      <c r="O75" s="92"/>
      <c r="P75" s="93"/>
      <c r="Q75" s="93"/>
      <c r="R75" s="93"/>
      <c r="S75" s="92"/>
      <c r="T75" s="94"/>
      <c r="U75" s="11"/>
      <c r="V75" s="11"/>
    </row>
    <row r="76" spans="1:22">
      <c r="A76" s="13"/>
      <c r="B76" s="91">
        <v>2018</v>
      </c>
      <c r="C76" s="110">
        <f>+C68+D68+E68+H68+I68+J68+K68+N68+O68+P68+Q68+T68</f>
        <v>166460.98061359668</v>
      </c>
      <c r="D76" s="92"/>
      <c r="E76" s="93"/>
      <c r="F76" s="93"/>
      <c r="G76" s="93"/>
      <c r="H76" s="92"/>
      <c r="I76" s="93"/>
      <c r="J76" s="93"/>
      <c r="K76" s="93"/>
      <c r="L76" s="93"/>
      <c r="M76" s="92"/>
      <c r="N76" s="93"/>
      <c r="O76" s="92"/>
      <c r="P76" s="93"/>
      <c r="Q76" s="93"/>
      <c r="R76" s="93"/>
      <c r="S76" s="92"/>
      <c r="T76" s="94"/>
      <c r="U76" s="11"/>
      <c r="V76" s="11"/>
    </row>
    <row r="77" spans="1:22">
      <c r="A77" s="13"/>
      <c r="B77" s="91">
        <v>2019</v>
      </c>
      <c r="C77" s="110">
        <f t="shared" ref="C77:C81" si="18">+C69+D69+E69+H69+I69+J69+K69+N69+O69+P69+Q69+T69</f>
        <v>61501.780015339791</v>
      </c>
      <c r="D77" s="92"/>
      <c r="E77" s="93"/>
      <c r="F77" s="93"/>
      <c r="G77" s="93"/>
      <c r="H77" s="92"/>
      <c r="I77" s="93"/>
      <c r="J77" s="93"/>
      <c r="K77" s="93"/>
      <c r="L77" s="93"/>
      <c r="M77" s="92"/>
      <c r="N77" s="93"/>
      <c r="O77" s="92"/>
      <c r="P77" s="93"/>
      <c r="Q77" s="93"/>
      <c r="R77" s="93"/>
      <c r="S77" s="92"/>
      <c r="T77" s="94"/>
      <c r="U77" s="11"/>
      <c r="V77" s="11"/>
    </row>
    <row r="78" spans="1:22">
      <c r="A78" s="13"/>
      <c r="B78" s="91">
        <v>2020</v>
      </c>
      <c r="C78" s="110">
        <f t="shared" si="18"/>
        <v>13461.005759831985</v>
      </c>
      <c r="D78" s="92"/>
      <c r="E78" s="93"/>
      <c r="F78" s="93"/>
      <c r="G78" s="93"/>
      <c r="H78" s="92"/>
      <c r="I78" s="93"/>
      <c r="J78" s="93"/>
      <c r="K78" s="93"/>
      <c r="L78" s="93"/>
      <c r="M78" s="92"/>
      <c r="N78" s="93"/>
      <c r="O78" s="92"/>
      <c r="P78" s="93"/>
      <c r="Q78" s="93"/>
      <c r="R78" s="93"/>
      <c r="S78" s="92"/>
      <c r="T78" s="94"/>
      <c r="U78" s="11"/>
      <c r="V78" s="11"/>
    </row>
    <row r="79" spans="1:22">
      <c r="A79" s="13"/>
      <c r="B79" s="91">
        <v>2021</v>
      </c>
      <c r="C79" s="110">
        <f t="shared" si="18"/>
        <v>-3325.355759999999</v>
      </c>
      <c r="D79" s="92"/>
      <c r="E79" s="93"/>
      <c r="F79" s="93"/>
      <c r="G79" s="93"/>
      <c r="H79" s="92"/>
      <c r="I79" s="93"/>
      <c r="J79" s="93"/>
      <c r="K79" s="93"/>
      <c r="L79" s="93"/>
      <c r="M79" s="92"/>
      <c r="N79" s="93"/>
      <c r="O79" s="92"/>
      <c r="P79" s="93"/>
      <c r="Q79" s="93"/>
      <c r="R79" s="93"/>
      <c r="S79" s="92"/>
      <c r="T79" s="94"/>
      <c r="U79" s="11"/>
      <c r="V79" s="11"/>
    </row>
    <row r="80" spans="1:22">
      <c r="A80" s="13"/>
      <c r="B80" s="91">
        <v>2022</v>
      </c>
      <c r="C80" s="110">
        <f t="shared" si="18"/>
        <v>0</v>
      </c>
      <c r="D80" s="92"/>
      <c r="E80" s="93"/>
      <c r="F80" s="93"/>
      <c r="G80" s="93"/>
      <c r="H80" s="92"/>
      <c r="I80" s="93"/>
      <c r="J80" s="93"/>
      <c r="K80" s="93"/>
      <c r="L80" s="93"/>
      <c r="M80" s="92"/>
      <c r="N80" s="93"/>
      <c r="O80" s="92"/>
      <c r="P80" s="93"/>
      <c r="Q80" s="93"/>
      <c r="R80" s="93"/>
      <c r="S80" s="92"/>
      <c r="T80" s="94"/>
      <c r="U80" s="11"/>
      <c r="V80" s="11"/>
    </row>
    <row r="81" spans="1:22">
      <c r="A81" s="13"/>
      <c r="B81" s="113" t="s">
        <v>30</v>
      </c>
      <c r="C81" s="110">
        <f t="shared" si="18"/>
        <v>0</v>
      </c>
      <c r="D81" s="92"/>
      <c r="E81" s="93"/>
      <c r="F81" s="93"/>
      <c r="G81" s="93"/>
      <c r="H81" s="92"/>
      <c r="I81" s="93"/>
      <c r="J81" s="93"/>
      <c r="K81" s="93"/>
      <c r="L81" s="93"/>
      <c r="M81" s="92"/>
      <c r="N81" s="93"/>
      <c r="O81" s="92"/>
      <c r="P81" s="93"/>
      <c r="Q81" s="93"/>
      <c r="R81" s="93"/>
      <c r="S81" s="92"/>
      <c r="T81" s="94"/>
      <c r="U81" s="11"/>
      <c r="V81" s="11"/>
    </row>
    <row r="82" spans="1:22">
      <c r="A82" s="13"/>
      <c r="B82" s="114"/>
      <c r="C82" s="115"/>
      <c r="D82" s="115"/>
      <c r="E82" s="116"/>
      <c r="F82" s="116"/>
      <c r="G82" s="116"/>
      <c r="H82" s="115"/>
      <c r="I82" s="116"/>
      <c r="J82" s="116"/>
      <c r="K82" s="116"/>
      <c r="L82" s="116"/>
      <c r="M82" s="115"/>
      <c r="N82" s="116"/>
      <c r="O82" s="115"/>
      <c r="P82" s="116"/>
      <c r="Q82" s="116"/>
      <c r="R82" s="116"/>
      <c r="S82" s="115"/>
      <c r="T82" s="117"/>
      <c r="U82" s="11"/>
      <c r="V82" s="11"/>
    </row>
    <row r="83" spans="1:22">
      <c r="A83" s="13"/>
      <c r="F83" s="11"/>
      <c r="G83" s="11"/>
      <c r="H83" s="11"/>
      <c r="J83" s="11"/>
      <c r="K83" s="11"/>
      <c r="L83" s="11"/>
      <c r="M83" s="11"/>
      <c r="O83" s="11"/>
      <c r="P83" s="11"/>
      <c r="Q83" s="11"/>
      <c r="R83" s="11"/>
      <c r="T83" s="11"/>
      <c r="U83" s="11"/>
      <c r="V83" s="11"/>
    </row>
    <row r="85" spans="1:22" ht="18" customHeight="1"/>
    <row r="87" spans="1:22">
      <c r="A87" s="24"/>
      <c r="B87" s="25" t="s">
        <v>135</v>
      </c>
      <c r="C87" s="25"/>
      <c r="D87" s="25"/>
      <c r="E87" s="26" t="s">
        <v>14</v>
      </c>
      <c r="F87" s="27" t="s">
        <v>15</v>
      </c>
      <c r="I87" s="18" t="s">
        <v>17</v>
      </c>
      <c r="J87" s="19"/>
      <c r="K87" s="19"/>
      <c r="L87" s="20"/>
    </row>
    <row r="88" spans="1:22">
      <c r="A88" s="118"/>
      <c r="B88" s="29"/>
      <c r="C88" s="29"/>
      <c r="D88" s="29"/>
      <c r="E88" s="119"/>
      <c r="F88" s="120"/>
      <c r="I88" s="21"/>
      <c r="J88" s="15"/>
      <c r="K88" s="15"/>
      <c r="L88" s="16"/>
    </row>
    <row r="89" spans="1:22">
      <c r="A89" s="28" t="s">
        <v>256</v>
      </c>
      <c r="B89" s="47"/>
      <c r="C89" s="29"/>
      <c r="D89" s="29"/>
      <c r="E89" s="119"/>
      <c r="F89" s="120"/>
      <c r="I89" s="21"/>
      <c r="J89" s="15"/>
      <c r="K89" s="15"/>
      <c r="L89" s="16"/>
    </row>
    <row r="90" spans="1:22" ht="30">
      <c r="A90" s="28"/>
      <c r="B90" s="31"/>
      <c r="C90" s="29"/>
      <c r="D90" s="29"/>
      <c r="E90" s="119"/>
      <c r="F90" s="120"/>
      <c r="I90" s="21"/>
      <c r="J90" s="121" t="s">
        <v>195</v>
      </c>
      <c r="K90" s="121" t="s">
        <v>196</v>
      </c>
      <c r="L90" s="122" t="s">
        <v>18</v>
      </c>
    </row>
    <row r="91" spans="1:22" ht="30">
      <c r="A91" s="181">
        <v>1</v>
      </c>
      <c r="B91" s="31" t="s">
        <v>257</v>
      </c>
      <c r="C91" s="29"/>
      <c r="D91" s="29"/>
      <c r="E91" s="124">
        <f>IF(F13&gt;Info!C19,F13-Info!C19,0)</f>
        <v>12973.271249999998</v>
      </c>
      <c r="F91" s="125">
        <f>IF(Info!C19&gt;F13,Info!C19-F13,0)</f>
        <v>0</v>
      </c>
      <c r="I91" s="21"/>
      <c r="J91" s="15"/>
      <c r="K91" s="15"/>
      <c r="L91" s="16"/>
    </row>
    <row r="92" spans="1:22">
      <c r="A92" s="181"/>
      <c r="B92" s="31" t="s">
        <v>199</v>
      </c>
      <c r="C92" s="29"/>
      <c r="D92" s="29"/>
      <c r="E92" s="124">
        <f>F91</f>
        <v>0</v>
      </c>
      <c r="F92" s="125">
        <f>E91</f>
        <v>12973.271249999998</v>
      </c>
      <c r="I92" s="21" t="s">
        <v>19</v>
      </c>
      <c r="J92" s="17">
        <f>-H13</f>
        <v>296900</v>
      </c>
      <c r="K92" s="17">
        <f>J13+K13+L13+M13-O13-P13-Q13-R13</f>
        <v>238109</v>
      </c>
      <c r="L92" s="22">
        <f>V13</f>
        <v>121961</v>
      </c>
    </row>
    <row r="93" spans="1:22">
      <c r="A93" s="181"/>
      <c r="B93" s="31"/>
      <c r="C93" s="29"/>
      <c r="D93" s="29"/>
      <c r="E93" s="119"/>
      <c r="F93" s="120"/>
      <c r="I93" s="21" t="s">
        <v>20</v>
      </c>
      <c r="J93" s="17">
        <f>-H18+E97-F97+E143-F143+E149-F149+E161-F161+E167-F167+E173-F173+E190-F190+E211-F211</f>
        <v>296901.1944181479</v>
      </c>
      <c r="K93" s="17">
        <f>J18+K18+L18+M18-O18-P18-Q18-R18-E135+F135+E141-F141+E142-F142+E147-F147+E148-F148-F153+E154+E159-F160+E165-F166+E171-F172-F177+E178-F179+E180-F181+E182-E211+F211</f>
        <v>238107.63853185205</v>
      </c>
      <c r="L93" s="22">
        <f>E92-F92+E135-F135+E155-F155+E183-F183+E189-F189</f>
        <v>108987.72874999998</v>
      </c>
    </row>
    <row r="94" spans="1:22" ht="150">
      <c r="A94" s="181" t="s">
        <v>258</v>
      </c>
      <c r="B94" s="182" t="s">
        <v>298</v>
      </c>
      <c r="C94" s="182"/>
      <c r="D94" s="182"/>
      <c r="E94" s="182"/>
      <c r="F94" s="120"/>
      <c r="I94" s="183" t="s">
        <v>259</v>
      </c>
      <c r="J94" s="17">
        <f>J92-J93</f>
        <v>-1.1944181479047984</v>
      </c>
      <c r="K94" s="17">
        <f>K92-K93</f>
        <v>1.3614681479521096</v>
      </c>
      <c r="L94" s="22">
        <f>L92-L93</f>
        <v>12973.27125000002</v>
      </c>
    </row>
    <row r="95" spans="1:22" ht="30">
      <c r="A95" s="123" t="s">
        <v>260</v>
      </c>
      <c r="B95" s="31" t="s">
        <v>299</v>
      </c>
      <c r="C95" s="31"/>
      <c r="D95" s="31"/>
      <c r="E95" s="32"/>
      <c r="F95" s="33"/>
      <c r="I95" s="183"/>
      <c r="J95" s="159"/>
      <c r="K95" s="15"/>
      <c r="L95" s="160"/>
    </row>
    <row r="96" spans="1:22">
      <c r="A96" s="30"/>
      <c r="B96" s="31"/>
      <c r="C96" s="31"/>
      <c r="D96" s="31"/>
      <c r="E96" s="32"/>
      <c r="F96" s="33"/>
      <c r="I96" s="21"/>
      <c r="J96" s="15"/>
      <c r="K96" s="15"/>
      <c r="L96" s="16"/>
    </row>
    <row r="97" spans="1:12" ht="45">
      <c r="A97" s="30"/>
      <c r="B97" s="31" t="s">
        <v>224</v>
      </c>
      <c r="C97" s="31"/>
      <c r="D97" s="31"/>
      <c r="E97" s="32">
        <f>F13</f>
        <v>12973.271249999998</v>
      </c>
      <c r="F97" s="33"/>
      <c r="I97" s="183" t="s">
        <v>261</v>
      </c>
      <c r="J97" s="159"/>
      <c r="K97" s="159"/>
      <c r="L97" s="160">
        <f>E92-F92</f>
        <v>-12973.271249999998</v>
      </c>
    </row>
    <row r="98" spans="1:12">
      <c r="A98" s="30"/>
      <c r="B98" s="126" t="s">
        <v>197</v>
      </c>
      <c r="C98" s="31"/>
      <c r="D98" s="31"/>
      <c r="E98" s="32"/>
      <c r="F98" s="33">
        <f>E97</f>
        <v>12973.271249999998</v>
      </c>
      <c r="I98" s="21"/>
      <c r="J98" s="159"/>
      <c r="K98" s="159"/>
      <c r="L98" s="160"/>
    </row>
    <row r="99" spans="1:12">
      <c r="A99" s="30"/>
      <c r="B99" s="126"/>
      <c r="C99" s="31"/>
      <c r="D99" s="31"/>
      <c r="E99" s="32"/>
      <c r="F99" s="33"/>
      <c r="I99" s="23" t="s">
        <v>0</v>
      </c>
      <c r="J99" s="184">
        <f>J94+J95</f>
        <v>-1.1944181479047984</v>
      </c>
      <c r="K99" s="184">
        <f>K94+K95</f>
        <v>1.3614681479521096</v>
      </c>
      <c r="L99" s="185">
        <f>L94+L95+L97</f>
        <v>2.1827872842550278E-11</v>
      </c>
    </row>
    <row r="100" spans="1:12" ht="75">
      <c r="A100" s="30"/>
      <c r="B100" s="31" t="s">
        <v>262</v>
      </c>
      <c r="C100" s="31"/>
      <c r="D100" s="31"/>
      <c r="E100" s="32"/>
      <c r="F100" s="33"/>
      <c r="I100" s="66"/>
      <c r="J100" s="186"/>
      <c r="K100" s="186"/>
      <c r="L100" s="186"/>
    </row>
    <row r="101" spans="1:12">
      <c r="A101" s="30"/>
      <c r="B101" s="31"/>
      <c r="C101" s="31"/>
      <c r="D101" s="31"/>
      <c r="E101" s="32"/>
      <c r="F101" s="33"/>
      <c r="I101" s="66"/>
      <c r="J101" s="186"/>
      <c r="K101" s="186"/>
      <c r="L101" s="186"/>
    </row>
    <row r="102" spans="1:12">
      <c r="A102" s="30" t="s">
        <v>263</v>
      </c>
      <c r="B102" s="31"/>
      <c r="C102" s="31"/>
      <c r="D102" s="31"/>
      <c r="E102" s="32"/>
      <c r="F102" s="33"/>
      <c r="I102" s="66"/>
      <c r="J102" s="186"/>
      <c r="K102" s="186"/>
      <c r="L102" s="186"/>
    </row>
    <row r="103" spans="1:12">
      <c r="A103" s="30"/>
      <c r="B103" s="31"/>
      <c r="C103" s="31"/>
      <c r="D103" s="31"/>
      <c r="E103" s="32"/>
      <c r="F103" s="33"/>
      <c r="I103" s="66"/>
      <c r="J103" s="186"/>
      <c r="K103" s="186"/>
      <c r="L103" s="186"/>
    </row>
    <row r="104" spans="1:12" ht="30">
      <c r="A104" s="30">
        <v>3</v>
      </c>
      <c r="B104" s="31" t="s">
        <v>198</v>
      </c>
      <c r="C104" s="31"/>
      <c r="D104" s="31"/>
      <c r="E104" s="32"/>
      <c r="F104" s="33"/>
      <c r="I104" s="66"/>
      <c r="J104" s="186"/>
      <c r="K104" s="186"/>
      <c r="L104" s="186"/>
    </row>
    <row r="105" spans="1:12">
      <c r="A105" s="30"/>
      <c r="B105" s="31"/>
      <c r="C105" s="31"/>
      <c r="D105" s="31"/>
      <c r="E105" s="32"/>
      <c r="F105" s="33"/>
      <c r="I105" s="66"/>
      <c r="J105" s="66"/>
      <c r="K105" s="66"/>
      <c r="L105" s="66"/>
    </row>
    <row r="106" spans="1:12" ht="30">
      <c r="A106" s="30"/>
      <c r="B106" s="31" t="s">
        <v>217</v>
      </c>
      <c r="C106" s="31"/>
      <c r="D106" s="31"/>
      <c r="E106" s="32">
        <f>IF(C54&gt;0,IF(C56&gt;0,C56,0),0)</f>
        <v>17.574285396440246</v>
      </c>
      <c r="F106" s="33">
        <f>IF(C54&gt;0,IF(C56&lt;0,-C56,0),0)</f>
        <v>0</v>
      </c>
      <c r="I106" s="66"/>
      <c r="J106" s="66"/>
      <c r="K106" s="66"/>
      <c r="L106" s="66"/>
    </row>
    <row r="107" spans="1:12" ht="30">
      <c r="A107" s="30"/>
      <c r="B107" s="31" t="s">
        <v>218</v>
      </c>
      <c r="C107" s="31"/>
      <c r="D107" s="31"/>
      <c r="E107" s="32">
        <f>IF(C54&lt;0,IF(C56&gt;0,C56,0),0)</f>
        <v>0</v>
      </c>
      <c r="F107" s="33">
        <f>IF(C54&lt;0,IF(C56&lt;0,-C56,0),0)</f>
        <v>0</v>
      </c>
      <c r="I107" s="66"/>
      <c r="J107" s="66"/>
      <c r="K107" s="66"/>
      <c r="L107" s="66"/>
    </row>
    <row r="108" spans="1:12" ht="30">
      <c r="A108" s="30"/>
      <c r="B108" s="31" t="s">
        <v>219</v>
      </c>
      <c r="C108" s="31"/>
      <c r="D108" s="31"/>
      <c r="E108" s="32">
        <f>IF(D54&gt;0,IF(D56&gt;0,D56,0),0)</f>
        <v>0</v>
      </c>
      <c r="F108" s="33">
        <f>IF(D54&gt;0,IF(D56&lt;0,-D56,0),0)</f>
        <v>0</v>
      </c>
      <c r="I108" s="66"/>
      <c r="J108" s="66"/>
      <c r="K108" s="66"/>
      <c r="L108" s="66"/>
    </row>
    <row r="109" spans="1:12" ht="30">
      <c r="A109" s="30"/>
      <c r="B109" s="31" t="s">
        <v>220</v>
      </c>
      <c r="C109" s="31"/>
      <c r="D109" s="31"/>
      <c r="E109" s="32">
        <f>IF(D54&lt;0,IF(D56&gt;0,D56,0),0)</f>
        <v>0</v>
      </c>
      <c r="F109" s="33">
        <f>IF(D54&lt;0,IF(D56&lt;0,-D56,0),0)</f>
        <v>14.174484087673818</v>
      </c>
      <c r="I109" s="66"/>
      <c r="J109" s="66"/>
      <c r="K109" s="66"/>
      <c r="L109" s="66"/>
    </row>
    <row r="110" spans="1:12" ht="30">
      <c r="A110" s="30"/>
      <c r="B110" s="31" t="s">
        <v>264</v>
      </c>
      <c r="C110" s="31"/>
      <c r="D110" s="31"/>
      <c r="E110" s="32">
        <f>IF(I54&gt;0,IF(I56&gt;0,I56,0),0)</f>
        <v>0</v>
      </c>
      <c r="F110" s="33">
        <f>IF(I54&gt;0,IF(I56&lt;0,-I56,0),0)</f>
        <v>0</v>
      </c>
      <c r="I110" s="66"/>
      <c r="J110" s="66"/>
      <c r="K110" s="66"/>
      <c r="L110" s="66"/>
    </row>
    <row r="111" spans="1:12" ht="30">
      <c r="A111" s="30"/>
      <c r="B111" s="31" t="s">
        <v>265</v>
      </c>
      <c r="C111" s="31"/>
      <c r="D111" s="31"/>
      <c r="E111" s="32">
        <f>IF(I54&lt;0,IF(I56&gt;0,I56,0),0)</f>
        <v>0</v>
      </c>
      <c r="F111" s="33">
        <f>IF(I54&lt;0,IF(I56&lt;0,-I56,0),0)</f>
        <v>59.423512499999561</v>
      </c>
      <c r="I111" s="66"/>
      <c r="J111" s="66"/>
      <c r="K111" s="66"/>
      <c r="L111" s="66"/>
    </row>
    <row r="112" spans="1:12" ht="30">
      <c r="A112" s="30"/>
      <c r="B112" s="31" t="s">
        <v>266</v>
      </c>
      <c r="C112" s="31"/>
      <c r="D112" s="31"/>
      <c r="E112" s="32">
        <f>IF(J54&gt;0,IF(J56&gt;0,J56,0),0)</f>
        <v>192.19991999999911</v>
      </c>
      <c r="F112" s="33">
        <f>IF(J54&gt;0,IF(J56&lt;0,-J56,0),0)</f>
        <v>0</v>
      </c>
      <c r="I112" s="66"/>
      <c r="J112" s="66"/>
      <c r="K112" s="66"/>
      <c r="L112" s="66"/>
    </row>
    <row r="113" spans="1:12" ht="30">
      <c r="A113" s="30"/>
      <c r="B113" s="31" t="s">
        <v>267</v>
      </c>
      <c r="C113" s="31"/>
      <c r="D113" s="31"/>
      <c r="E113" s="32">
        <f>IF(J54&lt;0,IF(J56&gt;0,J56,0),0)</f>
        <v>0</v>
      </c>
      <c r="F113" s="33">
        <f>IF(J54&lt;0,IF(J56&lt;0,-J56,0),0)</f>
        <v>0</v>
      </c>
      <c r="I113" s="66"/>
      <c r="J113" s="66"/>
      <c r="K113" s="66"/>
      <c r="L113" s="66"/>
    </row>
    <row r="114" spans="1:12" ht="45">
      <c r="A114" s="30"/>
      <c r="B114" s="127" t="s">
        <v>268</v>
      </c>
      <c r="C114" s="31"/>
      <c r="D114" s="31"/>
      <c r="E114" s="32">
        <f>IF(T60&gt;0,IF(R56&gt;0,R56,0),0)</f>
        <v>0</v>
      </c>
      <c r="F114" s="33">
        <f>IF(T60&gt;0,IF(R56&lt;0,-R56,0),0)</f>
        <v>0</v>
      </c>
      <c r="I114" s="66"/>
      <c r="J114" s="66"/>
      <c r="K114" s="66"/>
      <c r="L114" s="66"/>
    </row>
    <row r="115" spans="1:12" ht="45">
      <c r="A115" s="30"/>
      <c r="B115" s="127" t="s">
        <v>269</v>
      </c>
      <c r="C115" s="31"/>
      <c r="D115" s="31"/>
      <c r="E115" s="32">
        <f>IF(T60&lt;0,IF(R56&gt;0,R56,0),0)</f>
        <v>0</v>
      </c>
      <c r="F115" s="33">
        <f>IF(T60&lt;0,IF(R56&lt;0,-R56,0),0)</f>
        <v>136.17620880876598</v>
      </c>
      <c r="I115" s="66"/>
      <c r="J115" s="66"/>
      <c r="K115" s="66"/>
      <c r="L115" s="66"/>
    </row>
    <row r="116" spans="1:12">
      <c r="A116" s="30"/>
      <c r="B116" s="31"/>
      <c r="C116" s="31"/>
      <c r="D116" s="31"/>
      <c r="E116" s="32"/>
      <c r="F116" s="33"/>
      <c r="I116" s="66"/>
      <c r="J116" s="66"/>
      <c r="K116" s="66"/>
      <c r="L116" s="66"/>
    </row>
    <row r="117" spans="1:12" ht="30">
      <c r="A117" s="30">
        <v>4</v>
      </c>
      <c r="B117" s="31" t="s">
        <v>270</v>
      </c>
      <c r="C117" s="31"/>
      <c r="D117" s="31"/>
      <c r="E117" s="32"/>
      <c r="F117" s="33"/>
      <c r="I117" s="66"/>
      <c r="J117" s="66"/>
      <c r="K117" s="66"/>
      <c r="L117" s="66"/>
    </row>
    <row r="118" spans="1:12">
      <c r="A118" s="30"/>
      <c r="B118" s="31"/>
      <c r="C118" s="31"/>
      <c r="D118" s="31"/>
      <c r="E118" s="32"/>
      <c r="F118" s="33"/>
      <c r="I118" s="66"/>
      <c r="J118" s="66"/>
      <c r="K118" s="66"/>
      <c r="L118" s="66"/>
    </row>
    <row r="119" spans="1:12" ht="30">
      <c r="A119" s="30"/>
      <c r="B119" s="31" t="s">
        <v>217</v>
      </c>
      <c r="C119" s="31"/>
      <c r="D119" s="31"/>
      <c r="E119" s="32"/>
      <c r="F119" s="33">
        <f>IF(C62&gt;0,C62,0)</f>
        <v>1501.4346987821723</v>
      </c>
      <c r="I119" s="66"/>
      <c r="J119" s="66"/>
      <c r="K119" s="66"/>
      <c r="L119" s="66"/>
    </row>
    <row r="120" spans="1:12" ht="30">
      <c r="A120" s="30"/>
      <c r="B120" s="31" t="s">
        <v>218</v>
      </c>
      <c r="C120" s="31"/>
      <c r="D120" s="31"/>
      <c r="E120" s="32">
        <f>IF(C62&lt;0,-C62,0)</f>
        <v>0</v>
      </c>
      <c r="F120" s="33"/>
      <c r="I120" s="66"/>
      <c r="J120" s="66"/>
      <c r="K120" s="66"/>
      <c r="L120" s="66"/>
    </row>
    <row r="121" spans="1:12" ht="30">
      <c r="A121" s="30"/>
      <c r="B121" s="127" t="s">
        <v>219</v>
      </c>
      <c r="C121" s="31"/>
      <c r="D121" s="31"/>
      <c r="E121" s="32"/>
      <c r="F121" s="33">
        <f>IF(D62&gt;0,D62,0)</f>
        <v>0</v>
      </c>
      <c r="I121" s="66"/>
      <c r="J121" s="66"/>
      <c r="K121" s="66"/>
      <c r="L121" s="66"/>
    </row>
    <row r="122" spans="1:12" ht="30">
      <c r="A122" s="30"/>
      <c r="B122" s="127" t="s">
        <v>220</v>
      </c>
      <c r="C122" s="31"/>
      <c r="D122" s="31"/>
      <c r="E122" s="32">
        <f>IF(D62&lt;0,-D62,0)</f>
        <v>484.39095568301326</v>
      </c>
      <c r="F122" s="33"/>
      <c r="I122" s="66"/>
      <c r="J122" s="66"/>
      <c r="K122" s="66"/>
      <c r="L122" s="66"/>
    </row>
    <row r="123" spans="1:12">
      <c r="A123" s="30"/>
      <c r="B123" s="31" t="s">
        <v>221</v>
      </c>
      <c r="C123" s="31"/>
      <c r="D123" s="31"/>
      <c r="E123" s="32"/>
      <c r="F123" s="33">
        <f>IF(E62&gt;0,E62,0)</f>
        <v>0</v>
      </c>
      <c r="I123" s="66"/>
      <c r="J123" s="66"/>
      <c r="K123" s="66"/>
      <c r="L123" s="66"/>
    </row>
    <row r="124" spans="1:12">
      <c r="A124" s="30"/>
      <c r="B124" s="31" t="s">
        <v>222</v>
      </c>
      <c r="C124" s="31"/>
      <c r="D124" s="31"/>
      <c r="E124" s="32">
        <f>IF(E62&lt;0,-E62,0)</f>
        <v>0</v>
      </c>
      <c r="F124" s="33"/>
      <c r="I124" s="66"/>
      <c r="J124" s="66"/>
      <c r="K124" s="66"/>
      <c r="L124" s="66"/>
    </row>
    <row r="125" spans="1:12" ht="45">
      <c r="A125" s="30"/>
      <c r="B125" s="31" t="s">
        <v>271</v>
      </c>
      <c r="C125" s="31"/>
      <c r="D125" s="31"/>
      <c r="E125" s="32"/>
      <c r="F125" s="33">
        <f>IF(H62&gt;0,H62,0)</f>
        <v>0</v>
      </c>
      <c r="I125" s="66"/>
      <c r="J125" s="66"/>
      <c r="K125" s="66"/>
      <c r="L125" s="66"/>
    </row>
    <row r="126" spans="1:12" ht="45">
      <c r="A126" s="30"/>
      <c r="B126" s="31" t="s">
        <v>223</v>
      </c>
      <c r="C126" s="31"/>
      <c r="D126" s="31"/>
      <c r="E126" s="32">
        <f>IF(H62&lt;0,-H62,0)</f>
        <v>43318.751764062785</v>
      </c>
      <c r="F126" s="33"/>
      <c r="I126" s="66"/>
      <c r="J126" s="66"/>
      <c r="K126" s="66"/>
      <c r="L126" s="66"/>
    </row>
    <row r="127" spans="1:12" ht="30">
      <c r="A127" s="30"/>
      <c r="B127" s="31" t="s">
        <v>264</v>
      </c>
      <c r="C127" s="31"/>
      <c r="D127" s="31"/>
      <c r="E127" s="32"/>
      <c r="F127" s="33">
        <f>IF(I62&gt;0,I62,0)</f>
        <v>0</v>
      </c>
      <c r="I127" s="66"/>
      <c r="J127" s="66"/>
      <c r="K127" s="66"/>
      <c r="L127" s="66"/>
    </row>
    <row r="128" spans="1:12" ht="30">
      <c r="A128" s="30"/>
      <c r="B128" s="31" t="s">
        <v>265</v>
      </c>
      <c r="C128" s="31"/>
      <c r="D128" s="31"/>
      <c r="E128" s="32">
        <f>IF(I62&lt;0,-I62,0)</f>
        <v>2769.1447499999999</v>
      </c>
      <c r="F128" s="33"/>
      <c r="I128" s="66"/>
      <c r="J128" s="66"/>
      <c r="K128" s="66"/>
      <c r="L128" s="66"/>
    </row>
    <row r="129" spans="1:12" ht="30">
      <c r="A129" s="30"/>
      <c r="B129" s="127" t="s">
        <v>266</v>
      </c>
      <c r="C129" s="31"/>
      <c r="D129" s="31"/>
      <c r="E129" s="32"/>
      <c r="F129" s="33">
        <f>IF(J62&gt;0,J62,0)</f>
        <v>4926.1000799999993</v>
      </c>
      <c r="I129" s="66"/>
      <c r="J129" s="66"/>
      <c r="K129" s="66"/>
      <c r="L129" s="66"/>
    </row>
    <row r="130" spans="1:12" ht="30">
      <c r="A130" s="30"/>
      <c r="B130" s="127" t="s">
        <v>267</v>
      </c>
      <c r="C130" s="31"/>
      <c r="D130" s="31"/>
      <c r="E130" s="32">
        <f>IF(J62&lt;0,-J62,0)</f>
        <v>0</v>
      </c>
      <c r="F130" s="33"/>
      <c r="I130" s="66"/>
      <c r="J130" s="66"/>
      <c r="K130" s="66"/>
      <c r="L130" s="66"/>
    </row>
    <row r="131" spans="1:12">
      <c r="A131" s="30"/>
      <c r="B131" s="31" t="s">
        <v>272</v>
      </c>
      <c r="C131" s="31"/>
      <c r="D131" s="31"/>
      <c r="E131" s="32"/>
      <c r="F131" s="33">
        <f>IF(K62&gt;0,K62,0)</f>
        <v>0</v>
      </c>
      <c r="I131" s="66"/>
      <c r="J131" s="66"/>
      <c r="K131" s="66"/>
      <c r="L131" s="66"/>
    </row>
    <row r="132" spans="1:12">
      <c r="A132" s="30"/>
      <c r="B132" s="31" t="s">
        <v>273</v>
      </c>
      <c r="C132" s="31"/>
      <c r="D132" s="31"/>
      <c r="E132" s="32">
        <f>IF(K62&lt;0,-K62,0)</f>
        <v>0</v>
      </c>
      <c r="F132" s="33"/>
      <c r="I132" s="66"/>
      <c r="J132" s="66"/>
      <c r="K132" s="66"/>
      <c r="L132" s="66"/>
    </row>
    <row r="133" spans="1:12" ht="45">
      <c r="A133" s="30"/>
      <c r="B133" s="31" t="s">
        <v>274</v>
      </c>
      <c r="C133" s="31"/>
      <c r="D133" s="31"/>
      <c r="E133" s="32"/>
      <c r="F133" s="33">
        <f>IF(N62&gt;0,N62,0)</f>
        <v>144422.47476414131</v>
      </c>
      <c r="I133" s="66"/>
      <c r="J133" s="66"/>
      <c r="K133" s="66"/>
      <c r="L133" s="66"/>
    </row>
    <row r="134" spans="1:12" ht="45">
      <c r="A134" s="30"/>
      <c r="B134" s="31" t="s">
        <v>275</v>
      </c>
      <c r="C134" s="31"/>
      <c r="D134" s="31"/>
      <c r="E134" s="32">
        <f>IF(N62&lt;0,-N62,0)</f>
        <v>0</v>
      </c>
      <c r="F134" s="33"/>
      <c r="I134" s="66"/>
      <c r="J134" s="66"/>
      <c r="K134" s="66"/>
      <c r="L134" s="66"/>
    </row>
    <row r="135" spans="1:12">
      <c r="A135" s="30"/>
      <c r="B135" s="31" t="s">
        <v>199</v>
      </c>
      <c r="C135" s="31"/>
      <c r="D135" s="31"/>
      <c r="E135" s="32">
        <f>IF((E120+E122+E124+E126+E128+E130+E132+E134-F119-F121-F123-F125-F127-F129-F131-F133)&lt;0,F119+F121+F123+F125+F127+F129+F131+F133-E120-E122-E124-E126-E128-E130-E132-E134,0)</f>
        <v>104277.72207317766</v>
      </c>
      <c r="F135" s="33">
        <f>IF((E120+E122+E124+E126+E128+E130+E132+E134-F119-F121-F123-F125-F127-F129-F131-F133)&gt;0,E120+E122+E124+E126+E128+E130+E132+E134-F119-F121-F123-F125-F127-F129-F131-F133,0)</f>
        <v>0</v>
      </c>
      <c r="I135" s="66"/>
      <c r="J135" s="66"/>
      <c r="K135" s="66"/>
      <c r="L135" s="66"/>
    </row>
    <row r="136" spans="1:12">
      <c r="A136" s="30"/>
      <c r="B136" s="31"/>
      <c r="C136" s="31"/>
      <c r="D136" s="31"/>
      <c r="E136" s="32"/>
      <c r="F136" s="33"/>
      <c r="I136" s="66"/>
      <c r="J136" s="66"/>
      <c r="K136" s="66"/>
      <c r="L136" s="66"/>
    </row>
    <row r="137" spans="1:12">
      <c r="A137" s="30" t="s">
        <v>276</v>
      </c>
      <c r="B137" s="31"/>
      <c r="C137" s="31"/>
      <c r="D137" s="31"/>
      <c r="E137" s="32"/>
      <c r="F137" s="33"/>
      <c r="I137" s="66"/>
      <c r="J137" s="66"/>
      <c r="K137" s="66"/>
      <c r="L137" s="66"/>
    </row>
    <row r="138" spans="1:12" ht="15" customHeight="1">
      <c r="A138" s="30"/>
      <c r="B138" s="31"/>
      <c r="C138" s="31"/>
      <c r="D138" s="31"/>
      <c r="E138" s="32"/>
      <c r="F138" s="33"/>
      <c r="I138" s="66"/>
      <c r="J138" s="66"/>
      <c r="K138" s="66"/>
      <c r="L138" s="66"/>
    </row>
    <row r="139" spans="1:12" ht="57" customHeight="1">
      <c r="A139" s="30">
        <v>5</v>
      </c>
      <c r="B139" s="127" t="s">
        <v>300</v>
      </c>
      <c r="C139" s="31"/>
      <c r="D139" s="31"/>
      <c r="E139" s="32"/>
      <c r="F139" s="33"/>
      <c r="I139" s="66"/>
      <c r="J139" s="66"/>
      <c r="K139" s="66"/>
      <c r="L139" s="66"/>
    </row>
    <row r="140" spans="1:12" ht="15" customHeight="1">
      <c r="A140" s="30"/>
      <c r="B140" s="31"/>
      <c r="C140" s="31"/>
      <c r="D140" s="31"/>
      <c r="E140" s="32"/>
      <c r="F140" s="33"/>
      <c r="I140" s="66"/>
      <c r="J140" s="66"/>
      <c r="K140" s="66"/>
      <c r="L140" s="66"/>
    </row>
    <row r="141" spans="1:12">
      <c r="A141" s="30"/>
      <c r="B141" s="31" t="s">
        <v>277</v>
      </c>
      <c r="C141" s="31"/>
      <c r="D141" s="31"/>
      <c r="E141" s="32">
        <f>IF(T60&gt;0,IF(R58&gt;0,R58,0),0)</f>
        <v>0</v>
      </c>
      <c r="F141" s="33">
        <f>IF(T60&gt;0,IF(R58&lt;0,-R58,0),0)</f>
        <v>0</v>
      </c>
      <c r="I141" s="66"/>
      <c r="J141" s="66"/>
      <c r="K141" s="66"/>
      <c r="L141" s="66"/>
    </row>
    <row r="142" spans="1:12">
      <c r="A142" s="30"/>
      <c r="B142" s="31" t="s">
        <v>278</v>
      </c>
      <c r="C142" s="31"/>
      <c r="D142" s="31"/>
      <c r="E142" s="32">
        <f>IF(T60&lt;0,IF(R58&gt;0,R58,0),0)</f>
        <v>0</v>
      </c>
      <c r="F142" s="33">
        <f>IF(T60&lt;0,IF(R58&lt;0,-R58,0),0)</f>
        <v>3589.6525999999722</v>
      </c>
      <c r="I142" s="66"/>
      <c r="J142" s="66"/>
      <c r="K142" s="66"/>
      <c r="L142" s="66"/>
    </row>
    <row r="143" spans="1:12">
      <c r="A143" s="30"/>
      <c r="B143" s="31" t="s">
        <v>224</v>
      </c>
      <c r="C143" s="31"/>
      <c r="D143" s="31"/>
      <c r="E143" s="32">
        <f>F141+F142</f>
        <v>3589.6525999999722</v>
      </c>
      <c r="F143" s="33">
        <f>E141+E142</f>
        <v>0</v>
      </c>
      <c r="I143" s="66"/>
      <c r="J143" s="66"/>
      <c r="K143" s="66"/>
      <c r="L143" s="66"/>
    </row>
    <row r="144" spans="1:12">
      <c r="A144" s="30"/>
      <c r="B144" s="31"/>
      <c r="C144" s="31"/>
      <c r="D144" s="31"/>
      <c r="E144" s="32"/>
      <c r="F144" s="33"/>
      <c r="I144" s="66"/>
      <c r="J144" s="66"/>
      <c r="K144" s="66"/>
      <c r="L144" s="66"/>
    </row>
    <row r="145" spans="1:6" ht="45">
      <c r="A145" s="30">
        <v>6</v>
      </c>
      <c r="B145" s="31" t="s">
        <v>200</v>
      </c>
      <c r="C145" s="31"/>
      <c r="D145" s="31"/>
      <c r="E145" s="32"/>
      <c r="F145" s="33"/>
    </row>
    <row r="146" spans="1:6">
      <c r="A146" s="30"/>
      <c r="B146" s="31"/>
      <c r="C146" s="31"/>
      <c r="D146" s="31"/>
      <c r="E146" s="32"/>
      <c r="F146" s="33"/>
    </row>
    <row r="147" spans="1:6" ht="30">
      <c r="A147" s="30"/>
      <c r="B147" s="31" t="s">
        <v>225</v>
      </c>
      <c r="C147" s="31"/>
      <c r="D147" s="31"/>
      <c r="E147" s="32">
        <f>IF(T60&gt;0,IF(S60&gt;0,S60,0),0)</f>
        <v>0</v>
      </c>
      <c r="F147" s="33">
        <f>IF(T60&gt;0,IF(S60&lt;0,-S60,0),0)</f>
        <v>0</v>
      </c>
    </row>
    <row r="148" spans="1:6" ht="30">
      <c r="A148" s="30"/>
      <c r="B148" s="31" t="s">
        <v>226</v>
      </c>
      <c r="C148" s="31"/>
      <c r="D148" s="31"/>
      <c r="E148" s="32">
        <f>IF(T60&lt;0,IF(S60&gt;0,S60,0),0)</f>
        <v>0</v>
      </c>
      <c r="F148" s="33">
        <f>IF(T60&lt;0,IF(S60&lt;0,-S60,0),0)</f>
        <v>2.6067757007695036E-3</v>
      </c>
    </row>
    <row r="149" spans="1:6">
      <c r="A149" s="30"/>
      <c r="B149" s="31" t="s">
        <v>224</v>
      </c>
      <c r="C149" s="31"/>
      <c r="D149" s="31"/>
      <c r="E149" s="32">
        <f>F147+F148</f>
        <v>2.6067757007695036E-3</v>
      </c>
      <c r="F149" s="33">
        <f>+E147+E148</f>
        <v>0</v>
      </c>
    </row>
    <row r="150" spans="1:6">
      <c r="A150" s="30"/>
      <c r="B150" s="31"/>
      <c r="C150" s="31"/>
      <c r="D150" s="31"/>
      <c r="E150" s="34"/>
      <c r="F150" s="35"/>
    </row>
    <row r="151" spans="1:6" ht="30">
      <c r="A151" s="30">
        <v>7</v>
      </c>
      <c r="B151" s="31" t="s">
        <v>201</v>
      </c>
      <c r="C151" s="36"/>
      <c r="D151" s="36"/>
      <c r="E151" s="32"/>
      <c r="F151" s="33"/>
    </row>
    <row r="152" spans="1:6">
      <c r="A152" s="30"/>
      <c r="B152" s="31"/>
      <c r="C152" s="31"/>
      <c r="D152" s="31"/>
      <c r="E152" s="32"/>
      <c r="F152" s="33"/>
    </row>
    <row r="153" spans="1:6" ht="45">
      <c r="A153" s="30"/>
      <c r="B153" s="31" t="s">
        <v>227</v>
      </c>
      <c r="C153" s="31"/>
      <c r="D153" s="31"/>
      <c r="E153" s="32"/>
      <c r="F153" s="33">
        <f>IF(T62&gt;0,T62,0)</f>
        <v>0</v>
      </c>
    </row>
    <row r="154" spans="1:6" ht="45">
      <c r="A154" s="30"/>
      <c r="B154" s="31" t="s">
        <v>228</v>
      </c>
      <c r="C154" s="31"/>
      <c r="D154" s="31"/>
      <c r="E154" s="32">
        <f>IF(T62&lt;0,-T62,0)</f>
        <v>1105.5879571467178</v>
      </c>
      <c r="F154" s="33"/>
    </row>
    <row r="155" spans="1:6">
      <c r="A155" s="30"/>
      <c r="B155" s="31" t="s">
        <v>199</v>
      </c>
      <c r="C155" s="31"/>
      <c r="D155" s="31"/>
      <c r="E155" s="32">
        <f>F153</f>
        <v>0</v>
      </c>
      <c r="F155" s="33">
        <f>E154</f>
        <v>1105.5879571467178</v>
      </c>
    </row>
    <row r="156" spans="1:6">
      <c r="A156" s="30"/>
      <c r="B156" s="31"/>
      <c r="C156" s="31"/>
      <c r="D156" s="31"/>
      <c r="E156" s="34"/>
      <c r="F156" s="35"/>
    </row>
    <row r="157" spans="1:6" ht="30">
      <c r="A157" s="30">
        <v>8</v>
      </c>
      <c r="B157" s="31" t="s">
        <v>202</v>
      </c>
      <c r="C157" s="31"/>
      <c r="D157" s="31"/>
      <c r="E157" s="34"/>
      <c r="F157" s="35"/>
    </row>
    <row r="158" spans="1:6">
      <c r="A158" s="30"/>
      <c r="B158" s="31"/>
      <c r="C158" s="31"/>
      <c r="D158" s="31"/>
      <c r="E158" s="32"/>
      <c r="F158" s="33"/>
    </row>
    <row r="159" spans="1:6" ht="30">
      <c r="A159" s="30"/>
      <c r="B159" s="31" t="s">
        <v>229</v>
      </c>
      <c r="C159" s="36"/>
      <c r="D159" s="36"/>
      <c r="E159" s="32">
        <f>IF(O60&gt;0,O60,0)</f>
        <v>0</v>
      </c>
      <c r="F159" s="33"/>
    </row>
    <row r="160" spans="1:6" ht="30">
      <c r="A160" s="30"/>
      <c r="B160" s="31" t="s">
        <v>230</v>
      </c>
      <c r="C160" s="36"/>
      <c r="D160" s="36"/>
      <c r="E160" s="32"/>
      <c r="F160" s="33">
        <f>IF(O60&lt;0,-O60,0)</f>
        <v>714.61799999999994</v>
      </c>
    </row>
    <row r="161" spans="1:6">
      <c r="A161" s="30"/>
      <c r="B161" s="31" t="s">
        <v>224</v>
      </c>
      <c r="C161" s="31"/>
      <c r="D161" s="31"/>
      <c r="E161" s="32">
        <f>F160</f>
        <v>714.61799999999994</v>
      </c>
      <c r="F161" s="33">
        <f>E159</f>
        <v>0</v>
      </c>
    </row>
    <row r="162" spans="1:6">
      <c r="A162" s="30"/>
      <c r="B162" s="31"/>
      <c r="C162" s="31"/>
      <c r="D162" s="31"/>
      <c r="E162" s="34"/>
      <c r="F162" s="35"/>
    </row>
    <row r="163" spans="1:6" ht="30">
      <c r="A163" s="30">
        <v>9</v>
      </c>
      <c r="B163" s="31" t="s">
        <v>203</v>
      </c>
      <c r="C163" s="31"/>
      <c r="D163" s="31"/>
      <c r="E163" s="34"/>
      <c r="F163" s="35"/>
    </row>
    <row r="164" spans="1:6">
      <c r="A164" s="30"/>
      <c r="B164" s="31"/>
      <c r="C164" s="31"/>
      <c r="D164" s="31"/>
      <c r="E164" s="34"/>
      <c r="F164" s="35"/>
    </row>
    <row r="165" spans="1:6" ht="30">
      <c r="A165" s="30"/>
      <c r="B165" s="31" t="s">
        <v>231</v>
      </c>
      <c r="C165" s="36"/>
      <c r="D165" s="36"/>
      <c r="E165" s="32">
        <f>IF(P60&gt;0,P60,0)</f>
        <v>0</v>
      </c>
      <c r="F165" s="35"/>
    </row>
    <row r="166" spans="1:6" ht="30">
      <c r="A166" s="30"/>
      <c r="B166" s="31" t="s">
        <v>232</v>
      </c>
      <c r="C166" s="36"/>
      <c r="D166" s="36"/>
      <c r="E166" s="32"/>
      <c r="F166" s="33">
        <f>IF(P60&lt;0,-P60,0)</f>
        <v>16626.7788</v>
      </c>
    </row>
    <row r="167" spans="1:6">
      <c r="A167" s="30"/>
      <c r="B167" s="31" t="s">
        <v>224</v>
      </c>
      <c r="C167" s="31"/>
      <c r="D167" s="31"/>
      <c r="E167" s="32">
        <f>F166</f>
        <v>16626.7788</v>
      </c>
      <c r="F167" s="33">
        <f>E165</f>
        <v>0</v>
      </c>
    </row>
    <row r="168" spans="1:6">
      <c r="A168" s="30"/>
      <c r="B168" s="31"/>
      <c r="C168" s="31"/>
      <c r="D168" s="31"/>
      <c r="E168" s="34"/>
      <c r="F168" s="35"/>
    </row>
    <row r="169" spans="1:6" ht="30">
      <c r="A169" s="30">
        <v>10</v>
      </c>
      <c r="B169" s="31" t="s">
        <v>204</v>
      </c>
      <c r="C169" s="31"/>
      <c r="D169" s="31"/>
      <c r="E169" s="34"/>
      <c r="F169" s="35"/>
    </row>
    <row r="170" spans="1:6">
      <c r="A170" s="30"/>
      <c r="B170" s="31"/>
      <c r="C170" s="31"/>
      <c r="D170" s="31"/>
      <c r="E170" s="34"/>
      <c r="F170" s="35"/>
    </row>
    <row r="171" spans="1:6">
      <c r="A171" s="30"/>
      <c r="B171" s="31" t="s">
        <v>233</v>
      </c>
      <c r="C171" s="31"/>
      <c r="D171" s="31"/>
      <c r="E171" s="32">
        <f>IF(Q60&gt;0,Q60,0)</f>
        <v>112464.99279999999</v>
      </c>
      <c r="F171" s="35"/>
    </row>
    <row r="172" spans="1:6">
      <c r="A172" s="30"/>
      <c r="B172" s="31" t="s">
        <v>234</v>
      </c>
      <c r="C172" s="31"/>
      <c r="D172" s="31"/>
      <c r="E172" s="34"/>
      <c r="F172" s="35">
        <f>IF(Q60&lt;0,-Q60,0)</f>
        <v>0</v>
      </c>
    </row>
    <row r="173" spans="1:6">
      <c r="A173" s="30"/>
      <c r="B173" s="31" t="s">
        <v>224</v>
      </c>
      <c r="C173" s="31"/>
      <c r="D173" s="31"/>
      <c r="E173" s="32">
        <f>F172</f>
        <v>0</v>
      </c>
      <c r="F173" s="33">
        <f>E171</f>
        <v>112464.99279999999</v>
      </c>
    </row>
    <row r="174" spans="1:6">
      <c r="A174" s="30"/>
      <c r="B174" s="36"/>
      <c r="C174" s="36"/>
      <c r="D174" s="36"/>
      <c r="E174" s="32"/>
      <c r="F174" s="33"/>
    </row>
    <row r="175" spans="1:6" ht="30">
      <c r="A175" s="30">
        <v>11</v>
      </c>
      <c r="B175" s="31" t="s">
        <v>205</v>
      </c>
      <c r="C175" s="31"/>
      <c r="D175" s="31"/>
      <c r="E175" s="34"/>
      <c r="F175" s="35"/>
    </row>
    <row r="176" spans="1:6">
      <c r="A176" s="30"/>
      <c r="B176" s="31"/>
      <c r="C176" s="31"/>
      <c r="D176" s="31"/>
      <c r="E176" s="34"/>
      <c r="F176" s="35"/>
    </row>
    <row r="177" spans="1:6" ht="30">
      <c r="A177" s="30"/>
      <c r="B177" s="31" t="s">
        <v>229</v>
      </c>
      <c r="C177" s="31"/>
      <c r="D177" s="31"/>
      <c r="E177" s="34"/>
      <c r="F177" s="33">
        <f>IF(O62&gt;0,O62,0)</f>
        <v>0</v>
      </c>
    </row>
    <row r="178" spans="1:6" ht="30">
      <c r="A178" s="30"/>
      <c r="B178" s="31" t="s">
        <v>230</v>
      </c>
      <c r="C178" s="31"/>
      <c r="D178" s="31"/>
      <c r="E178" s="32">
        <f>IF(O62&lt;0,-O62,0)</f>
        <v>212.05281899109789</v>
      </c>
      <c r="F178" s="33"/>
    </row>
    <row r="179" spans="1:6" ht="30">
      <c r="A179" s="30"/>
      <c r="B179" s="31" t="s">
        <v>231</v>
      </c>
      <c r="C179" s="31"/>
      <c r="D179" s="31"/>
      <c r="E179" s="34"/>
      <c r="F179" s="33">
        <f>IF(P62&gt;0,P62,0)</f>
        <v>0</v>
      </c>
    </row>
    <row r="180" spans="1:6" ht="30">
      <c r="A180" s="30"/>
      <c r="B180" s="31" t="s">
        <v>232</v>
      </c>
      <c r="C180" s="31"/>
      <c r="D180" s="31"/>
      <c r="E180" s="32">
        <f>IF(P62&lt;0,-P62,0)</f>
        <v>3325.3557599999999</v>
      </c>
      <c r="F180" s="33"/>
    </row>
    <row r="181" spans="1:6">
      <c r="A181" s="30"/>
      <c r="B181" s="31" t="s">
        <v>233</v>
      </c>
      <c r="C181" s="31"/>
      <c r="D181" s="31"/>
      <c r="E181" s="34"/>
      <c r="F181" s="33">
        <f>IF(Q62&gt;0,Q62,0)</f>
        <v>33372.40142433234</v>
      </c>
    </row>
    <row r="182" spans="1:6">
      <c r="A182" s="30"/>
      <c r="B182" s="31" t="s">
        <v>234</v>
      </c>
      <c r="C182" s="31"/>
      <c r="D182" s="31"/>
      <c r="E182" s="32">
        <f>IF(Q62&lt;0,-Q62,0)</f>
        <v>0</v>
      </c>
      <c r="F182" s="33"/>
    </row>
    <row r="183" spans="1:6">
      <c r="A183" s="30"/>
      <c r="B183" s="31" t="s">
        <v>199</v>
      </c>
      <c r="C183" s="31"/>
      <c r="D183" s="31"/>
      <c r="E183" s="32">
        <f>IF((F177+F179+F181-E178-E180-E182)&gt;0,F177+F179+F181-E178-E180-E182,0)</f>
        <v>29834.992845341243</v>
      </c>
      <c r="F183" s="33">
        <f>IF((E178+E180+E182-F177-F179-F181)&gt;0,E178+E180+E182-F177-F179-F181,0)</f>
        <v>0</v>
      </c>
    </row>
    <row r="184" spans="1:6">
      <c r="A184" s="30"/>
      <c r="B184" s="31"/>
      <c r="C184" s="31"/>
      <c r="D184" s="31"/>
      <c r="E184" s="34"/>
      <c r="F184" s="35"/>
    </row>
    <row r="185" spans="1:6">
      <c r="A185" s="30" t="s">
        <v>206</v>
      </c>
      <c r="B185" s="31"/>
      <c r="C185" s="31"/>
      <c r="D185" s="31"/>
      <c r="E185" s="34"/>
      <c r="F185" s="35"/>
    </row>
    <row r="186" spans="1:6">
      <c r="A186" s="30"/>
      <c r="B186" s="31"/>
      <c r="C186" s="31"/>
      <c r="D186" s="31"/>
      <c r="E186" s="34"/>
      <c r="F186" s="35"/>
    </row>
    <row r="187" spans="1:6" ht="30">
      <c r="A187" s="30">
        <v>12</v>
      </c>
      <c r="B187" s="31" t="s">
        <v>206</v>
      </c>
      <c r="C187" s="31"/>
      <c r="D187" s="31"/>
      <c r="E187" s="34"/>
      <c r="F187" s="35"/>
    </row>
    <row r="188" spans="1:6">
      <c r="A188" s="30"/>
      <c r="B188" s="31"/>
      <c r="C188" s="31"/>
      <c r="D188" s="31"/>
      <c r="E188" s="32"/>
      <c r="F188" s="33"/>
    </row>
    <row r="189" spans="1:6">
      <c r="A189" s="30"/>
      <c r="B189" s="31" t="s">
        <v>199</v>
      </c>
      <c r="C189" s="31"/>
      <c r="D189" s="31"/>
      <c r="E189" s="32">
        <f>IF((V13-C62-D62-H62-I62-J62-N62-O62-P62-Q62-T62)&gt;0,V13-C62-D62-H62-I62-J62-N62-O62-P62-Q62-T62,0)</f>
        <v>0</v>
      </c>
      <c r="F189" s="33">
        <f>IF((V13-C62-D62-H62-I62-J62-N62-O62-P62-Q62-T62)&lt;0,-V13+C62+D62+H62+I62+J62+N62+O62+P62+Q62+T62,0)</f>
        <v>11046.126961372216</v>
      </c>
    </row>
    <row r="190" spans="1:6">
      <c r="A190" s="30"/>
      <c r="B190" s="31" t="s">
        <v>224</v>
      </c>
      <c r="C190" s="31"/>
      <c r="D190" s="31"/>
      <c r="E190" s="32">
        <f>F189</f>
        <v>11046.126961372216</v>
      </c>
      <c r="F190" s="33">
        <f>E189</f>
        <v>0</v>
      </c>
    </row>
    <row r="191" spans="1:6">
      <c r="A191" s="30"/>
      <c r="B191" s="31"/>
      <c r="C191" s="31"/>
      <c r="D191" s="31"/>
      <c r="E191" s="34"/>
      <c r="F191" s="35"/>
    </row>
    <row r="192" spans="1:6">
      <c r="A192" s="30" t="s">
        <v>207</v>
      </c>
      <c r="B192" s="31"/>
      <c r="C192" s="31"/>
      <c r="D192" s="31"/>
      <c r="E192" s="34"/>
      <c r="F192" s="35"/>
    </row>
    <row r="193" spans="1:13">
      <c r="A193" s="30"/>
      <c r="B193" s="31"/>
      <c r="C193" s="31"/>
      <c r="D193" s="31"/>
      <c r="E193" s="34"/>
      <c r="F193" s="35"/>
    </row>
    <row r="194" spans="1:13" ht="30">
      <c r="A194" s="30">
        <v>13</v>
      </c>
      <c r="B194" s="128" t="s">
        <v>291</v>
      </c>
      <c r="C194" s="129"/>
      <c r="D194" s="31"/>
      <c r="E194" s="34"/>
      <c r="F194" s="33"/>
    </row>
    <row r="195" spans="1:13">
      <c r="A195" s="30"/>
      <c r="B195" s="31"/>
      <c r="C195" s="31"/>
      <c r="D195" s="31"/>
      <c r="E195" s="32"/>
      <c r="F195" s="33"/>
    </row>
    <row r="196" spans="1:13" ht="30">
      <c r="A196" s="30"/>
      <c r="B196" s="31" t="s">
        <v>208</v>
      </c>
      <c r="C196" s="31"/>
      <c r="D196" s="31"/>
      <c r="E196" s="32">
        <f>Info!C23</f>
        <v>0</v>
      </c>
      <c r="F196" s="33"/>
    </row>
    <row r="197" spans="1:13">
      <c r="A197" s="30"/>
      <c r="B197" s="31" t="s">
        <v>209</v>
      </c>
      <c r="C197" s="31"/>
      <c r="D197" s="31"/>
      <c r="E197" s="32"/>
      <c r="F197" s="33">
        <f>E196</f>
        <v>0</v>
      </c>
    </row>
    <row r="198" spans="1:13">
      <c r="A198" s="30"/>
      <c r="B198" s="31"/>
      <c r="C198" s="31"/>
      <c r="D198" s="31"/>
      <c r="E198" s="32"/>
      <c r="F198" s="33"/>
    </row>
    <row r="199" spans="1:13">
      <c r="A199" s="30"/>
      <c r="B199" s="31"/>
      <c r="C199" s="31"/>
      <c r="D199" s="31"/>
      <c r="E199" s="32"/>
      <c r="F199" s="33"/>
    </row>
    <row r="200" spans="1:13">
      <c r="A200" s="30"/>
      <c r="B200" s="31"/>
      <c r="C200" s="31"/>
      <c r="D200" s="31"/>
      <c r="E200" s="32"/>
      <c r="F200" s="33"/>
      <c r="H200" s="151" t="s">
        <v>279</v>
      </c>
      <c r="I200" s="19"/>
      <c r="J200" s="19"/>
      <c r="K200" s="19"/>
      <c r="L200" s="19"/>
      <c r="M200" s="20"/>
    </row>
    <row r="201" spans="1:13">
      <c r="A201" s="30" t="s">
        <v>235</v>
      </c>
      <c r="B201" s="31"/>
      <c r="C201" s="31"/>
      <c r="D201" s="31"/>
      <c r="E201" s="32"/>
      <c r="F201" s="33"/>
      <c r="H201" s="152"/>
      <c r="I201" s="153"/>
      <c r="J201" s="154"/>
      <c r="K201" s="187" t="s">
        <v>280</v>
      </c>
      <c r="L201" s="188" t="s">
        <v>20</v>
      </c>
      <c r="M201" s="189" t="s">
        <v>236</v>
      </c>
    </row>
    <row r="202" spans="1:13">
      <c r="A202" s="30"/>
      <c r="B202" s="31"/>
      <c r="C202" s="31"/>
      <c r="D202" s="31"/>
      <c r="E202" s="32"/>
      <c r="F202" s="33"/>
      <c r="H202" s="152"/>
      <c r="I202" s="153"/>
      <c r="J202" s="155"/>
      <c r="K202" s="156"/>
      <c r="L202" s="15"/>
      <c r="M202" s="16"/>
    </row>
    <row r="203" spans="1:13">
      <c r="A203" s="30">
        <v>14</v>
      </c>
      <c r="B203" s="150" t="s">
        <v>281</v>
      </c>
      <c r="C203" s="31"/>
      <c r="D203" s="31"/>
      <c r="E203" s="32">
        <f t="shared" ref="E203:E211" si="19">IF(M203&gt;0,M203,0)</f>
        <v>9</v>
      </c>
      <c r="F203" s="33">
        <f t="shared" ref="F203:F211" si="20">IF(M203&lt;0,-M203,0)</f>
        <v>0</v>
      </c>
      <c r="H203" s="152" t="s">
        <v>281</v>
      </c>
      <c r="I203" s="153"/>
      <c r="J203" s="157"/>
      <c r="K203" s="158">
        <f>J13</f>
        <v>318</v>
      </c>
      <c r="L203" s="159">
        <f>J18+E106-F106+E110-F110-F119-F127+E159-F177</f>
        <v>308.84658661426784</v>
      </c>
      <c r="M203" s="160">
        <f t="shared" ref="M203:M210" si="21">ROUND(K203-L203,0)</f>
        <v>9</v>
      </c>
    </row>
    <row r="204" spans="1:13">
      <c r="A204" s="30"/>
      <c r="B204" s="150" t="s">
        <v>282</v>
      </c>
      <c r="C204" s="31"/>
      <c r="D204" s="31"/>
      <c r="E204" s="32">
        <f t="shared" si="19"/>
        <v>0</v>
      </c>
      <c r="F204" s="33">
        <f t="shared" si="20"/>
        <v>12827</v>
      </c>
      <c r="H204" s="152" t="s">
        <v>282</v>
      </c>
      <c r="I204" s="153"/>
      <c r="J204" s="157"/>
      <c r="K204" s="158">
        <f>IF(K13-P13&gt;0,K13-P13,0)</f>
        <v>508</v>
      </c>
      <c r="L204" s="159">
        <f>K18-P18+E108-F108+E112-F112-F121-F129+E165-F179</f>
        <v>13334.699339999999</v>
      </c>
      <c r="M204" s="160">
        <f t="shared" si="21"/>
        <v>-12827</v>
      </c>
    </row>
    <row r="205" spans="1:13">
      <c r="A205" s="30"/>
      <c r="B205" s="150" t="s">
        <v>283</v>
      </c>
      <c r="C205" s="31"/>
      <c r="D205" s="31"/>
      <c r="E205" s="32">
        <f t="shared" si="19"/>
        <v>7</v>
      </c>
      <c r="F205" s="33">
        <f t="shared" si="20"/>
        <v>0</v>
      </c>
      <c r="H205" s="152" t="s">
        <v>283</v>
      </c>
      <c r="I205" s="153"/>
      <c r="J205" s="157"/>
      <c r="K205" s="158">
        <f>L13</f>
        <v>79100</v>
      </c>
      <c r="L205" s="159">
        <f>L18-F123-F131+E171-F181</f>
        <v>79092.59137566766</v>
      </c>
      <c r="M205" s="160">
        <f t="shared" si="21"/>
        <v>7</v>
      </c>
    </row>
    <row r="206" spans="1:13">
      <c r="A206" s="30"/>
      <c r="B206" s="150" t="s">
        <v>284</v>
      </c>
      <c r="C206" s="31"/>
      <c r="D206" s="31"/>
      <c r="E206" s="32">
        <f t="shared" si="19"/>
        <v>0</v>
      </c>
      <c r="F206" s="33">
        <f t="shared" si="20"/>
        <v>4</v>
      </c>
      <c r="H206" s="152" t="s">
        <v>284</v>
      </c>
      <c r="I206" s="153"/>
      <c r="J206" s="157"/>
      <c r="K206" s="158">
        <f>M13</f>
        <v>173311</v>
      </c>
      <c r="L206" s="159">
        <f>M18+E114-F114-F125-F133+E141-F141+E147-F147-F153</f>
        <v>173315.03543585865</v>
      </c>
      <c r="M206" s="160">
        <f t="shared" si="21"/>
        <v>-4</v>
      </c>
    </row>
    <row r="207" spans="1:13">
      <c r="A207" s="30"/>
      <c r="B207" s="150" t="s">
        <v>285</v>
      </c>
      <c r="C207" s="31"/>
      <c r="D207" s="31"/>
      <c r="E207" s="32">
        <f t="shared" si="19"/>
        <v>0</v>
      </c>
      <c r="F207" s="33">
        <f t="shared" si="20"/>
        <v>12</v>
      </c>
      <c r="H207" s="152" t="s">
        <v>285</v>
      </c>
      <c r="I207" s="153"/>
      <c r="J207" s="157"/>
      <c r="K207" s="158">
        <f>-O13</f>
        <v>-3843</v>
      </c>
      <c r="L207" s="159">
        <f>-O18+E107-F107+E111-F111+E120+E128-F160+E178</f>
        <v>-3831.4359435089013</v>
      </c>
      <c r="M207" s="160">
        <f t="shared" si="21"/>
        <v>-12</v>
      </c>
    </row>
    <row r="208" spans="1:13">
      <c r="A208" s="30"/>
      <c r="B208" s="150" t="s">
        <v>286</v>
      </c>
      <c r="C208" s="31"/>
      <c r="D208" s="31"/>
      <c r="E208" s="32">
        <f t="shared" si="19"/>
        <v>12831</v>
      </c>
      <c r="F208" s="33">
        <f t="shared" si="20"/>
        <v>0</v>
      </c>
      <c r="H208" s="152" t="s">
        <v>286</v>
      </c>
      <c r="I208" s="153"/>
      <c r="J208" s="157"/>
      <c r="K208" s="158">
        <f>IF(K13-P13&lt;0,P13-K13,0)</f>
        <v>0</v>
      </c>
      <c r="L208" s="159">
        <f>E109-F109+E113-F113+E122+E130-F166+E180</f>
        <v>-12831.206568404661</v>
      </c>
      <c r="M208" s="160">
        <f t="shared" si="21"/>
        <v>12831</v>
      </c>
    </row>
    <row r="209" spans="1:20">
      <c r="A209" s="30"/>
      <c r="B209" s="150" t="s">
        <v>287</v>
      </c>
      <c r="C209" s="31"/>
      <c r="D209" s="31"/>
      <c r="E209" s="32">
        <f t="shared" si="19"/>
        <v>0</v>
      </c>
      <c r="F209" s="33">
        <f t="shared" si="20"/>
        <v>0</v>
      </c>
      <c r="H209" s="152" t="s">
        <v>287</v>
      </c>
      <c r="I209" s="153"/>
      <c r="J209" s="157"/>
      <c r="K209" s="158">
        <f>-Q13</f>
        <v>0</v>
      </c>
      <c r="L209" s="159">
        <f>-Q18+E124+E132-F172+E182</f>
        <v>0</v>
      </c>
      <c r="M209" s="160">
        <f t="shared" si="21"/>
        <v>0</v>
      </c>
    </row>
    <row r="210" spans="1:20">
      <c r="A210" s="30"/>
      <c r="B210" s="150" t="s">
        <v>288</v>
      </c>
      <c r="C210" s="31"/>
      <c r="D210" s="31"/>
      <c r="E210" s="32">
        <f t="shared" si="19"/>
        <v>3</v>
      </c>
      <c r="F210" s="33">
        <f t="shared" si="20"/>
        <v>0</v>
      </c>
      <c r="H210" s="152" t="s">
        <v>288</v>
      </c>
      <c r="I210" s="153"/>
      <c r="J210" s="157"/>
      <c r="K210" s="158">
        <f>-R13</f>
        <v>-11285</v>
      </c>
      <c r="L210" s="159">
        <f>-R18+E115-F115+E126+E134+E142-F142+E148-F148+E154</f>
        <v>-11287.891694374943</v>
      </c>
      <c r="M210" s="160">
        <f t="shared" si="21"/>
        <v>3</v>
      </c>
    </row>
    <row r="211" spans="1:20">
      <c r="A211" s="30"/>
      <c r="B211" s="150" t="s">
        <v>301</v>
      </c>
      <c r="C211" s="31"/>
      <c r="D211" s="31"/>
      <c r="E211" s="32">
        <f t="shared" si="19"/>
        <v>0</v>
      </c>
      <c r="F211" s="33">
        <f t="shared" si="20"/>
        <v>7</v>
      </c>
      <c r="H211" s="152" t="s">
        <v>301</v>
      </c>
      <c r="I211" s="153"/>
      <c r="J211" s="157"/>
      <c r="K211" s="158"/>
      <c r="L211" s="161"/>
      <c r="M211" s="160">
        <f>-SUM(M203:M210)</f>
        <v>-7</v>
      </c>
    </row>
    <row r="212" spans="1:20">
      <c r="A212" s="30"/>
      <c r="B212" s="31"/>
      <c r="C212" s="31"/>
      <c r="D212" s="31"/>
      <c r="E212" s="32"/>
      <c r="F212" s="33"/>
      <c r="H212" s="23"/>
      <c r="I212" s="162"/>
      <c r="J212" s="162"/>
      <c r="K212" s="162"/>
      <c r="L212" s="162"/>
      <c r="M212" s="163"/>
    </row>
    <row r="213" spans="1:20">
      <c r="A213" s="37"/>
      <c r="B213" s="38"/>
      <c r="C213" s="38"/>
      <c r="D213" s="38"/>
      <c r="E213" s="39"/>
      <c r="F213" s="40"/>
    </row>
    <row r="216" spans="1:20">
      <c r="A216" s="14"/>
      <c r="B216" s="1"/>
      <c r="C216" s="1"/>
      <c r="D216" s="1"/>
      <c r="E216" s="1"/>
      <c r="F216" s="3"/>
      <c r="G216" s="3"/>
      <c r="I216" s="5"/>
      <c r="J216" s="5"/>
      <c r="K216" s="5"/>
      <c r="L216" s="5"/>
      <c r="M216" s="5"/>
      <c r="N216" s="5"/>
      <c r="O216" s="5"/>
      <c r="P216" s="5"/>
      <c r="Q216" s="5"/>
      <c r="R216" s="5"/>
      <c r="S216" s="5"/>
      <c r="T216" s="5"/>
    </row>
    <row r="217" spans="1:20">
      <c r="A217" s="14"/>
      <c r="B217" s="1"/>
      <c r="C217" s="1"/>
      <c r="D217" s="1"/>
      <c r="E217" s="1"/>
      <c r="F217" s="3"/>
      <c r="G217" s="3"/>
      <c r="I217" s="5"/>
      <c r="J217" s="5"/>
      <c r="K217" s="5"/>
      <c r="L217" s="5"/>
      <c r="M217" s="5"/>
      <c r="N217" s="5"/>
      <c r="O217" s="5"/>
      <c r="P217" s="5"/>
      <c r="Q217" s="5"/>
      <c r="R217" s="5"/>
      <c r="S217" s="5"/>
      <c r="T217" s="5"/>
    </row>
    <row r="218" spans="1:20">
      <c r="A218" s="14"/>
      <c r="B218" s="1"/>
      <c r="C218" s="1"/>
      <c r="D218" s="1"/>
      <c r="E218" s="1"/>
      <c r="F218" s="3"/>
      <c r="G218" s="3"/>
      <c r="I218" s="5"/>
      <c r="J218" s="5"/>
      <c r="K218" s="5"/>
      <c r="L218" s="5"/>
      <c r="M218" s="5"/>
      <c r="N218" s="5"/>
      <c r="O218" s="5"/>
      <c r="P218" s="5"/>
      <c r="Q218" s="5"/>
      <c r="R218" s="5"/>
      <c r="S218" s="5"/>
      <c r="T218" s="5"/>
    </row>
    <row r="219" spans="1:20">
      <c r="A219" s="42" t="s">
        <v>289</v>
      </c>
      <c r="B219" s="43"/>
      <c r="C219" s="43"/>
      <c r="D219" s="43"/>
      <c r="E219" s="44"/>
      <c r="F219" s="44"/>
      <c r="I219" s="5"/>
      <c r="J219" s="205"/>
      <c r="K219" s="205"/>
      <c r="L219" s="5"/>
      <c r="M219" s="5"/>
      <c r="N219" s="5"/>
      <c r="O219" s="5"/>
      <c r="P219" s="5"/>
      <c r="Q219" s="5"/>
      <c r="R219" s="5"/>
      <c r="S219" s="5"/>
      <c r="T219" s="5"/>
    </row>
    <row r="220" spans="1:20">
      <c r="A220" s="42"/>
      <c r="B220" s="43"/>
      <c r="C220" s="43"/>
      <c r="D220" s="43"/>
      <c r="E220" s="44"/>
      <c r="F220" s="44"/>
      <c r="I220" s="5"/>
      <c r="J220" s="168"/>
      <c r="K220" s="168"/>
      <c r="L220" s="5"/>
      <c r="M220" s="5"/>
      <c r="N220" s="5"/>
      <c r="O220" s="5"/>
      <c r="P220" s="5"/>
      <c r="Q220" s="5"/>
      <c r="R220" s="5"/>
      <c r="S220" s="5"/>
      <c r="T220" s="5"/>
    </row>
    <row r="221" spans="1:20">
      <c r="A221" s="42"/>
      <c r="B221" s="43" t="s">
        <v>305</v>
      </c>
      <c r="C221" s="43"/>
      <c r="D221" s="43"/>
      <c r="E221" s="53">
        <f>L93</f>
        <v>108987.72874999998</v>
      </c>
      <c r="F221" s="44"/>
      <c r="I221" s="5"/>
      <c r="J221" s="168"/>
      <c r="K221" s="168"/>
      <c r="L221" s="5"/>
      <c r="M221" s="5"/>
      <c r="N221" s="5"/>
      <c r="O221" s="5"/>
      <c r="P221" s="5"/>
      <c r="Q221" s="5"/>
      <c r="R221" s="5"/>
      <c r="S221" s="5"/>
      <c r="T221" s="5"/>
    </row>
    <row r="222" spans="1:20">
      <c r="A222" s="42"/>
      <c r="B222" s="43" t="s">
        <v>306</v>
      </c>
      <c r="C222" s="43"/>
      <c r="D222" s="43"/>
      <c r="E222" s="46">
        <f>-J93</f>
        <v>-296901.1944181479</v>
      </c>
      <c r="F222" s="44"/>
      <c r="I222" s="5"/>
      <c r="J222" s="168"/>
      <c r="K222" s="168"/>
      <c r="L222" s="5"/>
      <c r="M222" s="5"/>
      <c r="N222" s="5"/>
      <c r="O222" s="5"/>
      <c r="P222" s="5"/>
      <c r="Q222" s="5"/>
      <c r="R222" s="5"/>
      <c r="S222" s="5"/>
      <c r="T222" s="5"/>
    </row>
    <row r="223" spans="1:20">
      <c r="A223" s="42"/>
      <c r="B223" s="43"/>
      <c r="C223" s="43"/>
      <c r="D223" s="43"/>
      <c r="E223" s="44"/>
      <c r="F223" s="44"/>
      <c r="I223" s="5"/>
      <c r="J223" s="168"/>
      <c r="K223" s="168"/>
      <c r="L223" s="5"/>
      <c r="M223" s="5"/>
      <c r="N223" s="5"/>
      <c r="O223" s="5"/>
      <c r="P223" s="5"/>
      <c r="Q223" s="5"/>
      <c r="R223" s="5"/>
      <c r="S223" s="5"/>
      <c r="T223" s="5"/>
    </row>
    <row r="224" spans="1:20">
      <c r="A224" s="42"/>
      <c r="B224" s="43"/>
      <c r="C224" s="43"/>
      <c r="D224" s="43"/>
      <c r="E224" s="44"/>
      <c r="F224" s="44"/>
      <c r="I224" s="5"/>
      <c r="J224" s="168"/>
      <c r="K224" s="168"/>
      <c r="L224" s="5"/>
      <c r="M224" s="5"/>
      <c r="N224" s="5"/>
      <c r="O224" s="5"/>
      <c r="P224" s="5"/>
      <c r="Q224" s="5"/>
      <c r="R224" s="5"/>
      <c r="S224" s="5"/>
      <c r="T224" s="5"/>
    </row>
    <row r="225" spans="1:20">
      <c r="A225" s="42"/>
      <c r="B225" s="43"/>
      <c r="C225" s="43"/>
      <c r="D225" s="43"/>
      <c r="E225" s="44"/>
      <c r="F225" s="44"/>
      <c r="I225" s="5"/>
      <c r="J225" s="168"/>
      <c r="K225" s="168"/>
      <c r="L225" s="5"/>
      <c r="M225" s="5"/>
      <c r="N225" s="5"/>
      <c r="O225" s="5"/>
      <c r="P225" s="5"/>
      <c r="Q225" s="5"/>
      <c r="R225" s="5"/>
      <c r="S225" s="5"/>
      <c r="T225" s="5"/>
    </row>
    <row r="226" spans="1:20" ht="30">
      <c r="A226" s="42"/>
      <c r="B226" s="43"/>
      <c r="C226" s="43"/>
      <c r="D226" s="43"/>
      <c r="E226" s="45" t="s">
        <v>26</v>
      </c>
      <c r="F226" s="45" t="s">
        <v>27</v>
      </c>
      <c r="I226" s="5"/>
      <c r="J226" s="130"/>
      <c r="K226" s="5"/>
      <c r="L226" s="5"/>
      <c r="M226" s="5"/>
      <c r="N226" s="5"/>
      <c r="O226" s="5"/>
      <c r="P226" s="6"/>
      <c r="Q226" s="168"/>
      <c r="R226" s="168"/>
      <c r="S226" s="5"/>
      <c r="T226" s="5"/>
    </row>
    <row r="227" spans="1:20" ht="15" customHeight="1">
      <c r="A227" s="42"/>
      <c r="B227" s="43" t="s">
        <v>21</v>
      </c>
      <c r="C227" s="43"/>
      <c r="D227" s="43"/>
      <c r="E227" s="46">
        <f>K203</f>
        <v>318</v>
      </c>
      <c r="F227" s="46">
        <f>-K207</f>
        <v>3843</v>
      </c>
      <c r="H227" s="206" t="s">
        <v>210</v>
      </c>
      <c r="I227" s="207"/>
      <c r="J227" s="207"/>
      <c r="K227" s="208"/>
      <c r="M227" s="81"/>
      <c r="N227" s="5"/>
      <c r="O227" s="81"/>
      <c r="P227" s="81"/>
      <c r="Q227" s="81"/>
      <c r="R227" s="131"/>
      <c r="S227" s="5"/>
      <c r="T227" s="5"/>
    </row>
    <row r="228" spans="1:20">
      <c r="A228" s="42"/>
      <c r="B228" s="43" t="s">
        <v>22</v>
      </c>
      <c r="C228" s="43"/>
      <c r="D228" s="43"/>
      <c r="E228" s="46">
        <f>K205</f>
        <v>79100</v>
      </c>
      <c r="F228" s="44">
        <f>-K209</f>
        <v>0</v>
      </c>
      <c r="H228" s="209"/>
      <c r="I228" s="210"/>
      <c r="J228" s="210"/>
      <c r="K228" s="211"/>
      <c r="M228" s="5"/>
      <c r="N228" s="5"/>
      <c r="O228" s="5"/>
      <c r="P228" s="5"/>
      <c r="Q228" s="81"/>
      <c r="R228" s="131"/>
      <c r="S228" s="5"/>
      <c r="T228" s="5"/>
    </row>
    <row r="229" spans="1:20" ht="30">
      <c r="A229" s="42"/>
      <c r="B229" s="43" t="s">
        <v>23</v>
      </c>
      <c r="C229" s="43"/>
      <c r="D229" s="43"/>
      <c r="E229" s="46">
        <f>K204</f>
        <v>508</v>
      </c>
      <c r="F229" s="46">
        <f>-K208</f>
        <v>0</v>
      </c>
      <c r="H229" s="209"/>
      <c r="I229" s="210"/>
      <c r="J229" s="210"/>
      <c r="K229" s="211"/>
      <c r="M229" s="81"/>
      <c r="N229" s="5"/>
      <c r="O229" s="81"/>
      <c r="P229" s="81"/>
      <c r="Q229" s="81"/>
      <c r="R229" s="131"/>
      <c r="S229" s="5"/>
      <c r="T229" s="5"/>
    </row>
    <row r="230" spans="1:20" ht="30">
      <c r="A230" s="42"/>
      <c r="B230" s="43" t="s">
        <v>24</v>
      </c>
      <c r="C230" s="43"/>
      <c r="D230" s="43"/>
      <c r="E230" s="46">
        <f>K206</f>
        <v>173311</v>
      </c>
      <c r="F230" s="46">
        <f>-K210</f>
        <v>11285</v>
      </c>
      <c r="H230" s="212"/>
      <c r="I230" s="213"/>
      <c r="J230" s="213"/>
      <c r="K230" s="214"/>
      <c r="M230" s="81"/>
      <c r="N230" s="5"/>
      <c r="O230" s="81"/>
      <c r="P230" s="81"/>
      <c r="Q230" s="81"/>
      <c r="R230" s="131"/>
      <c r="S230" s="5"/>
      <c r="T230" s="5"/>
    </row>
    <row r="231" spans="1:20">
      <c r="A231" s="47"/>
      <c r="B231" s="43" t="s">
        <v>211</v>
      </c>
      <c r="C231" s="43"/>
      <c r="D231" s="43"/>
      <c r="E231" s="46">
        <f>E196</f>
        <v>0</v>
      </c>
      <c r="F231" s="48"/>
      <c r="I231" s="5"/>
      <c r="J231" s="5"/>
      <c r="K231" s="5"/>
      <c r="L231" s="5"/>
      <c r="M231" s="5"/>
      <c r="N231" s="5"/>
      <c r="O231" s="5"/>
      <c r="P231" s="5"/>
      <c r="Q231" s="81"/>
      <c r="R231" s="131"/>
      <c r="S231" s="5"/>
      <c r="T231" s="5"/>
    </row>
    <row r="232" spans="1:20" ht="15.75" thickBot="1">
      <c r="A232" s="47"/>
      <c r="B232" s="49" t="s">
        <v>25</v>
      </c>
      <c r="C232" s="49"/>
      <c r="D232" s="49"/>
      <c r="E232" s="50">
        <f>SUM(E227:E231)</f>
        <v>253237</v>
      </c>
      <c r="F232" s="50">
        <f>SUM(F227:F231)</f>
        <v>15128</v>
      </c>
      <c r="I232" s="5"/>
      <c r="J232" s="81"/>
      <c r="K232" s="81"/>
      <c r="L232" s="81"/>
      <c r="M232" s="81"/>
      <c r="N232" s="5"/>
      <c r="O232" s="81"/>
      <c r="P232" s="81"/>
      <c r="Q232" s="81"/>
      <c r="R232" s="131"/>
      <c r="S232" s="5"/>
      <c r="T232" s="5"/>
    </row>
    <row r="233" spans="1:20" ht="15.75" thickTop="1">
      <c r="A233" s="47"/>
      <c r="B233" s="43"/>
      <c r="C233" s="43"/>
      <c r="D233" s="43"/>
      <c r="E233" s="44"/>
      <c r="F233" s="44"/>
      <c r="I233" s="5"/>
      <c r="J233" s="5"/>
      <c r="K233" s="5"/>
      <c r="L233" s="5"/>
      <c r="M233" s="5"/>
      <c r="N233" s="5"/>
      <c r="O233" s="5"/>
      <c r="P233" s="5"/>
      <c r="Q233" s="5"/>
      <c r="R233" s="5"/>
      <c r="S233" s="5"/>
      <c r="T233" s="5"/>
    </row>
    <row r="234" spans="1:20" ht="60">
      <c r="A234" s="47"/>
      <c r="B234" s="43" t="s">
        <v>160</v>
      </c>
      <c r="C234" s="43"/>
      <c r="D234" s="43"/>
      <c r="E234" s="44"/>
      <c r="F234" s="44"/>
      <c r="I234" s="5"/>
      <c r="J234" s="5"/>
      <c r="K234" s="5"/>
      <c r="L234" s="5"/>
      <c r="M234" s="5"/>
      <c r="N234" s="5"/>
      <c r="O234" s="5"/>
      <c r="P234" s="5"/>
      <c r="Q234" s="5"/>
      <c r="R234" s="5"/>
      <c r="S234" s="5"/>
      <c r="T234" s="5"/>
    </row>
    <row r="235" spans="1:20">
      <c r="A235" s="47"/>
      <c r="B235" s="47"/>
      <c r="C235" s="47"/>
      <c r="D235" s="47"/>
      <c r="E235" s="47"/>
      <c r="F235" s="47"/>
    </row>
    <row r="236" spans="1:20">
      <c r="A236" s="47"/>
      <c r="B236" s="47" t="s">
        <v>28</v>
      </c>
      <c r="C236" s="47"/>
      <c r="D236" s="47"/>
      <c r="E236" s="47"/>
      <c r="F236" s="47"/>
    </row>
    <row r="237" spans="1:20">
      <c r="A237" s="47"/>
      <c r="B237" s="47"/>
      <c r="C237" s="47"/>
      <c r="D237" s="47"/>
      <c r="E237" s="47"/>
      <c r="F237" s="47"/>
    </row>
    <row r="238" spans="1:20">
      <c r="A238" s="47"/>
      <c r="B238" s="51" t="s">
        <v>29</v>
      </c>
      <c r="C238" s="51"/>
      <c r="D238" s="51"/>
      <c r="E238" s="47"/>
      <c r="F238" s="47"/>
    </row>
    <row r="239" spans="1:20">
      <c r="A239" s="47"/>
      <c r="B239" s="52">
        <v>2018</v>
      </c>
      <c r="C239" s="52"/>
      <c r="D239" s="52"/>
      <c r="E239" s="53">
        <f t="shared" ref="E239:E244" si="22">C76</f>
        <v>166460.98061359668</v>
      </c>
      <c r="F239" s="47"/>
    </row>
    <row r="240" spans="1:20">
      <c r="A240" s="47"/>
      <c r="B240" s="52">
        <v>2019</v>
      </c>
      <c r="C240" s="52"/>
      <c r="D240" s="52"/>
      <c r="E240" s="46">
        <f t="shared" si="22"/>
        <v>61501.780015339791</v>
      </c>
      <c r="F240" s="47"/>
    </row>
    <row r="241" spans="1:10">
      <c r="A241" s="47"/>
      <c r="B241" s="52">
        <v>2020</v>
      </c>
      <c r="C241" s="52"/>
      <c r="D241" s="52"/>
      <c r="E241" s="46">
        <f t="shared" si="22"/>
        <v>13461.005759831985</v>
      </c>
      <c r="F241" s="47"/>
    </row>
    <row r="242" spans="1:10" ht="12" customHeight="1">
      <c r="A242" s="47"/>
      <c r="B242" s="52">
        <v>2021</v>
      </c>
      <c r="C242" s="52"/>
      <c r="D242" s="52"/>
      <c r="E242" s="46">
        <f t="shared" si="22"/>
        <v>-3325.355759999999</v>
      </c>
      <c r="F242" s="47"/>
    </row>
    <row r="243" spans="1:10" ht="12" customHeight="1">
      <c r="A243" s="47"/>
      <c r="B243" s="52">
        <v>2022</v>
      </c>
      <c r="C243" s="52"/>
      <c r="D243" s="52"/>
      <c r="E243" s="46">
        <f t="shared" si="22"/>
        <v>0</v>
      </c>
      <c r="F243" s="47"/>
    </row>
    <row r="244" spans="1:10">
      <c r="A244" s="47"/>
      <c r="B244" s="47" t="s">
        <v>30</v>
      </c>
      <c r="C244" s="47"/>
      <c r="D244" s="47"/>
      <c r="E244" s="46">
        <f t="shared" si="22"/>
        <v>0</v>
      </c>
      <c r="F244" s="47"/>
    </row>
    <row r="245" spans="1:10" ht="15.75" thickBot="1">
      <c r="A245" s="47"/>
      <c r="B245" s="47"/>
      <c r="C245" s="47"/>
      <c r="D245" s="47"/>
      <c r="E245" s="54">
        <f>SUM(E239:E244)</f>
        <v>238098.41062876844</v>
      </c>
      <c r="F245" s="47"/>
      <c r="J245" s="5"/>
    </row>
    <row r="246" spans="1:10" ht="15.75" thickTop="1">
      <c r="A246" s="47"/>
      <c r="B246" s="47"/>
      <c r="C246" s="47"/>
      <c r="D246" s="47"/>
      <c r="E246" s="47"/>
      <c r="F246" s="47"/>
    </row>
    <row r="247" spans="1:10">
      <c r="A247" s="5"/>
      <c r="B247" s="5"/>
      <c r="C247" s="5"/>
      <c r="D247" s="5"/>
      <c r="E247" s="5"/>
      <c r="F247" s="5"/>
      <c r="G247" s="5"/>
    </row>
    <row r="248" spans="1:10" ht="30">
      <c r="A248" s="51" t="s">
        <v>131</v>
      </c>
      <c r="B248" s="51"/>
      <c r="C248" s="51"/>
      <c r="D248" s="51"/>
      <c r="E248" s="56" t="s">
        <v>302</v>
      </c>
      <c r="F248" s="56" t="s">
        <v>303</v>
      </c>
      <c r="G248" s="56" t="s">
        <v>304</v>
      </c>
    </row>
    <row r="249" spans="1:10">
      <c r="A249" s="51"/>
      <c r="B249" s="132" t="s">
        <v>13</v>
      </c>
      <c r="C249" s="51"/>
      <c r="D249" s="51"/>
      <c r="E249" s="46">
        <v>-15075000</v>
      </c>
      <c r="F249" s="133">
        <f>H15</f>
        <v>-18696000.799999997</v>
      </c>
      <c r="G249" s="46">
        <v>-21738000</v>
      </c>
    </row>
    <row r="250" spans="1:10">
      <c r="A250" s="51"/>
      <c r="B250" s="51"/>
      <c r="C250" s="51"/>
      <c r="D250" s="51"/>
      <c r="E250" s="134"/>
      <c r="F250" s="134"/>
      <c r="G250" s="134"/>
    </row>
    <row r="251" spans="1:10">
      <c r="A251" s="47"/>
      <c r="B251" s="51" t="s">
        <v>212</v>
      </c>
      <c r="C251" s="51"/>
      <c r="D251" s="51"/>
      <c r="E251" s="135">
        <f>C13*E249</f>
        <v>-239397.03</v>
      </c>
      <c r="F251" s="135">
        <f>H13</f>
        <v>-296900</v>
      </c>
      <c r="G251" s="135">
        <f>C13*G249</f>
        <v>-345208.13519999996</v>
      </c>
    </row>
    <row r="252" spans="1:10">
      <c r="A252" s="47"/>
      <c r="B252" s="47"/>
      <c r="C252" s="47"/>
      <c r="D252" s="47"/>
      <c r="E252" s="47"/>
      <c r="F252" s="47"/>
      <c r="G252" s="47"/>
    </row>
    <row r="255" spans="1:10">
      <c r="A255" s="215" t="s">
        <v>136</v>
      </c>
      <c r="B255" s="216"/>
      <c r="C255" s="169"/>
      <c r="D255" s="169"/>
      <c r="E255" s="169"/>
      <c r="F255" s="67"/>
      <c r="G255" s="67"/>
      <c r="H255" s="68"/>
      <c r="I255" s="68"/>
      <c r="J255" s="69"/>
    </row>
    <row r="256" spans="1:10" ht="57.75" customHeight="1">
      <c r="A256" s="70" t="s">
        <v>137</v>
      </c>
      <c r="B256" s="199" t="s">
        <v>138</v>
      </c>
      <c r="C256" s="199"/>
      <c r="D256" s="199"/>
      <c r="E256" s="199"/>
      <c r="F256" s="200"/>
      <c r="G256" s="200"/>
      <c r="H256" s="200"/>
      <c r="I256" s="200"/>
      <c r="J256" s="200"/>
    </row>
    <row r="257" spans="1:10">
      <c r="A257" s="71"/>
      <c r="B257" s="72"/>
      <c r="C257" s="72"/>
      <c r="D257" s="72"/>
      <c r="E257" s="72"/>
      <c r="F257" s="73"/>
      <c r="G257" s="73"/>
      <c r="H257" s="73"/>
      <c r="I257" s="73"/>
      <c r="J257" s="73"/>
    </row>
    <row r="258" spans="1:10" ht="58.5" customHeight="1">
      <c r="A258" s="70" t="s">
        <v>139</v>
      </c>
      <c r="B258" s="199" t="s">
        <v>140</v>
      </c>
      <c r="C258" s="199"/>
      <c r="D258" s="199"/>
      <c r="E258" s="199"/>
      <c r="F258" s="199"/>
      <c r="G258" s="199"/>
      <c r="H258" s="199"/>
      <c r="I258" s="199"/>
      <c r="J258" s="199"/>
    </row>
    <row r="259" spans="1:10">
      <c r="A259" s="71"/>
      <c r="B259" s="72"/>
      <c r="C259" s="72"/>
      <c r="D259" s="72"/>
      <c r="E259" s="72"/>
      <c r="F259" s="73"/>
      <c r="G259" s="73"/>
      <c r="H259" s="73"/>
      <c r="I259" s="73"/>
      <c r="J259" s="73"/>
    </row>
    <row r="260" spans="1:10" ht="28.5" customHeight="1">
      <c r="A260" s="70" t="s">
        <v>141</v>
      </c>
      <c r="B260" s="197" t="s">
        <v>142</v>
      </c>
      <c r="C260" s="197"/>
      <c r="D260" s="197"/>
      <c r="E260" s="197"/>
      <c r="F260" s="198"/>
      <c r="G260" s="198"/>
      <c r="H260" s="198"/>
      <c r="I260" s="198"/>
      <c r="J260" s="198"/>
    </row>
    <row r="261" spans="1:10">
      <c r="A261" s="71"/>
      <c r="B261" s="72"/>
      <c r="C261" s="72"/>
      <c r="D261" s="72"/>
      <c r="E261" s="72"/>
      <c r="F261" s="73"/>
      <c r="G261" s="73"/>
      <c r="H261" s="73"/>
      <c r="I261" s="73"/>
      <c r="J261" s="73"/>
    </row>
    <row r="262" spans="1:10" ht="51.75" customHeight="1">
      <c r="A262" s="70" t="s">
        <v>143</v>
      </c>
      <c r="B262" s="199" t="s">
        <v>144</v>
      </c>
      <c r="C262" s="199"/>
      <c r="D262" s="199"/>
      <c r="E262" s="199"/>
      <c r="F262" s="198"/>
      <c r="G262" s="198"/>
      <c r="H262" s="198"/>
      <c r="I262" s="198"/>
      <c r="J262" s="198"/>
    </row>
    <row r="263" spans="1:10">
      <c r="A263" s="71"/>
      <c r="B263" s="170"/>
      <c r="C263" s="170"/>
      <c r="D263" s="170"/>
      <c r="E263" s="170"/>
      <c r="F263" s="170"/>
      <c r="G263" s="170"/>
      <c r="H263" s="170"/>
      <c r="I263" s="170"/>
      <c r="J263" s="170"/>
    </row>
    <row r="264" spans="1:10">
      <c r="A264" s="70" t="s">
        <v>145</v>
      </c>
      <c r="B264" s="197" t="s">
        <v>146</v>
      </c>
      <c r="C264" s="197"/>
      <c r="D264" s="197"/>
      <c r="E264" s="197"/>
      <c r="F264" s="198"/>
      <c r="G264" s="198"/>
      <c r="H264" s="198"/>
      <c r="I264" s="198"/>
      <c r="J264" s="198"/>
    </row>
    <row r="265" spans="1:10">
      <c r="A265" s="71"/>
      <c r="B265" s="73"/>
      <c r="C265" s="73"/>
      <c r="D265" s="73"/>
      <c r="E265" s="73"/>
      <c r="F265" s="170"/>
      <c r="G265" s="170"/>
      <c r="H265" s="170"/>
      <c r="I265" s="170"/>
      <c r="J265" s="170"/>
    </row>
    <row r="266" spans="1:10" ht="47.25" customHeight="1">
      <c r="A266" s="70" t="s">
        <v>147</v>
      </c>
      <c r="B266" s="199" t="s">
        <v>148</v>
      </c>
      <c r="C266" s="199"/>
      <c r="D266" s="199"/>
      <c r="E266" s="199"/>
      <c r="F266" s="199"/>
      <c r="G266" s="199"/>
      <c r="H266" s="199"/>
      <c r="I266" s="199"/>
      <c r="J266" s="199"/>
    </row>
    <row r="267" spans="1:10">
      <c r="A267" s="71"/>
      <c r="B267" s="170"/>
      <c r="C267" s="170"/>
      <c r="D267" s="170"/>
      <c r="E267" s="170"/>
      <c r="F267" s="170"/>
      <c r="G267" s="170"/>
      <c r="H267" s="170"/>
      <c r="I267" s="170"/>
      <c r="J267" s="170"/>
    </row>
    <row r="268" spans="1:10" ht="71.25" customHeight="1">
      <c r="A268" s="74" t="s">
        <v>149</v>
      </c>
      <c r="B268" s="199" t="s">
        <v>150</v>
      </c>
      <c r="C268" s="199"/>
      <c r="D268" s="199"/>
      <c r="E268" s="199"/>
      <c r="F268" s="200"/>
      <c r="G268" s="200"/>
      <c r="H268" s="200"/>
      <c r="I268" s="200"/>
      <c r="J268" s="200"/>
    </row>
    <row r="269" spans="1:10" ht="12" customHeight="1">
      <c r="A269" s="71"/>
      <c r="B269" s="170"/>
      <c r="C269" s="170"/>
      <c r="D269" s="170"/>
      <c r="E269" s="170"/>
      <c r="F269" s="170"/>
      <c r="G269" s="170"/>
      <c r="H269" s="170"/>
      <c r="I269" s="170"/>
      <c r="J269" s="170"/>
    </row>
    <row r="270" spans="1:10" ht="85.5" customHeight="1">
      <c r="A270" s="70" t="s">
        <v>151</v>
      </c>
      <c r="B270" s="199" t="s">
        <v>152</v>
      </c>
      <c r="C270" s="199"/>
      <c r="D270" s="199"/>
      <c r="E270" s="199"/>
      <c r="F270" s="198"/>
      <c r="G270" s="198"/>
      <c r="H270" s="198"/>
      <c r="I270" s="198"/>
      <c r="J270" s="198"/>
    </row>
    <row r="271" spans="1:10" ht="12" customHeight="1">
      <c r="A271" s="71"/>
      <c r="B271" s="170"/>
      <c r="C271" s="170"/>
      <c r="D271" s="170"/>
      <c r="E271" s="170"/>
      <c r="F271" s="170"/>
      <c r="G271" s="170"/>
      <c r="H271" s="170"/>
      <c r="I271" s="170"/>
      <c r="J271" s="170"/>
    </row>
    <row r="272" spans="1:10" ht="12" customHeight="1">
      <c r="A272" s="75" t="s">
        <v>153</v>
      </c>
      <c r="B272" s="197" t="s">
        <v>154</v>
      </c>
      <c r="C272" s="197"/>
      <c r="D272" s="197"/>
      <c r="E272" s="197"/>
      <c r="F272" s="198"/>
      <c r="G272" s="198"/>
      <c r="H272" s="198"/>
      <c r="I272" s="198"/>
      <c r="J272" s="198"/>
    </row>
    <row r="273" spans="1:10">
      <c r="A273" s="71"/>
      <c r="B273" s="170"/>
      <c r="C273" s="170"/>
      <c r="D273" s="170"/>
      <c r="E273" s="170"/>
      <c r="F273" s="170"/>
      <c r="G273" s="170"/>
      <c r="H273" s="170"/>
      <c r="I273" s="170"/>
      <c r="J273" s="170"/>
    </row>
    <row r="274" spans="1:10" ht="27.75" customHeight="1">
      <c r="A274" s="75" t="s">
        <v>155</v>
      </c>
      <c r="B274" s="197" t="s">
        <v>156</v>
      </c>
      <c r="C274" s="197"/>
      <c r="D274" s="197"/>
      <c r="E274" s="197"/>
      <c r="F274" s="198"/>
      <c r="G274" s="198"/>
      <c r="H274" s="198"/>
      <c r="I274" s="198"/>
      <c r="J274" s="198"/>
    </row>
    <row r="275" spans="1:10" ht="12" customHeight="1">
      <c r="A275" s="75"/>
      <c r="B275" s="171"/>
      <c r="C275" s="171"/>
      <c r="D275" s="171"/>
      <c r="E275" s="171"/>
      <c r="F275" s="166"/>
      <c r="G275" s="166"/>
      <c r="H275" s="166"/>
      <c r="I275" s="166"/>
      <c r="J275" s="166"/>
    </row>
    <row r="276" spans="1:10" ht="45" customHeight="1">
      <c r="A276" s="75" t="s">
        <v>157</v>
      </c>
      <c r="B276" s="197" t="s">
        <v>158</v>
      </c>
      <c r="C276" s="197"/>
      <c r="D276" s="197"/>
      <c r="E276" s="197"/>
      <c r="F276" s="198"/>
      <c r="G276" s="198"/>
      <c r="H276" s="198"/>
      <c r="I276" s="198"/>
      <c r="J276" s="198"/>
    </row>
  </sheetData>
  <mergeCells count="20">
    <mergeCell ref="B260:J260"/>
    <mergeCell ref="C35:H35"/>
    <mergeCell ref="I35:N35"/>
    <mergeCell ref="O35:T35"/>
    <mergeCell ref="C36:H36"/>
    <mergeCell ref="I36:N36"/>
    <mergeCell ref="O36:T36"/>
    <mergeCell ref="J219:K219"/>
    <mergeCell ref="H227:K230"/>
    <mergeCell ref="A255:B255"/>
    <mergeCell ref="B256:J256"/>
    <mergeCell ref="B258:J258"/>
    <mergeCell ref="B274:J274"/>
    <mergeCell ref="B276:J276"/>
    <mergeCell ref="B262:J262"/>
    <mergeCell ref="B264:J264"/>
    <mergeCell ref="B266:J266"/>
    <mergeCell ref="B268:J268"/>
    <mergeCell ref="B270:J270"/>
    <mergeCell ref="B272:J272"/>
  </mergeCells>
  <conditionalFormatting sqref="F94 B94 B90:F93 C89:F89 A89:A94">
    <cfRule type="expression" dxfId="1" priority="2">
      <formula>$C$85=1</formula>
    </cfRule>
  </conditionalFormatting>
  <conditionalFormatting sqref="A87:F213">
    <cfRule type="expression" dxfId="0"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06"/>
  <sheetViews>
    <sheetView workbookViewId="0"/>
  </sheetViews>
  <sheetFormatPr defaultRowHeight="15"/>
  <cols>
    <col min="1" max="1" width="3.42578125" style="5" customWidth="1"/>
    <col min="2" max="2" width="18.7109375" style="5" bestFit="1" customWidth="1"/>
    <col min="3" max="6" width="13.85546875" style="5" customWidth="1"/>
    <col min="7" max="7" width="19" style="5" customWidth="1"/>
    <col min="8" max="8" width="5.42578125" style="5" customWidth="1"/>
    <col min="9" max="9" width="18.28515625" style="5" customWidth="1"/>
    <col min="10" max="10" width="20" style="5" customWidth="1"/>
    <col min="11" max="11" width="14.42578125" style="5" customWidth="1"/>
    <col min="12" max="12" width="19.42578125" style="5" customWidth="1"/>
    <col min="13" max="13" width="3.85546875" style="5" customWidth="1"/>
    <col min="14" max="14" width="18.28515625" style="5" customWidth="1"/>
    <col min="15" max="15" width="20" style="5" customWidth="1"/>
    <col min="16" max="16" width="12" style="5" customWidth="1"/>
    <col min="17" max="17" width="19.42578125" style="5" customWidth="1"/>
    <col min="18" max="18" width="3.85546875" style="5" customWidth="1"/>
    <col min="19" max="19" width="14.7109375" style="5" customWidth="1"/>
    <col min="20" max="20" width="22.42578125" style="5" customWidth="1"/>
    <col min="21" max="21" width="12.42578125" style="5" customWidth="1"/>
    <col min="22" max="16384" width="9.140625" style="5"/>
  </cols>
  <sheetData>
    <row r="1" spans="2:21">
      <c r="I1" s="77" t="s">
        <v>3</v>
      </c>
      <c r="J1" s="77"/>
      <c r="K1" s="77"/>
      <c r="L1" s="77"/>
      <c r="N1" s="77" t="s">
        <v>4</v>
      </c>
      <c r="O1" s="77"/>
      <c r="P1" s="77"/>
      <c r="Q1" s="77"/>
      <c r="S1" s="77" t="s">
        <v>5</v>
      </c>
      <c r="T1" s="77"/>
      <c r="U1" s="77"/>
    </row>
    <row r="2" spans="2:21" ht="120">
      <c r="B2" s="9" t="s">
        <v>161</v>
      </c>
      <c r="C2" s="9" t="s">
        <v>162</v>
      </c>
      <c r="D2" s="9" t="s">
        <v>163</v>
      </c>
      <c r="E2" s="9" t="s">
        <v>216</v>
      </c>
      <c r="F2" s="9" t="s">
        <v>294</v>
      </c>
      <c r="G2" s="9" t="s">
        <v>293</v>
      </c>
      <c r="H2" s="9"/>
      <c r="I2" s="9" t="s">
        <v>6</v>
      </c>
      <c r="J2" s="9" t="s">
        <v>7</v>
      </c>
      <c r="K2" s="9" t="s">
        <v>8</v>
      </c>
      <c r="L2" s="9" t="s">
        <v>9</v>
      </c>
      <c r="M2" s="9"/>
      <c r="N2" s="9" t="s">
        <v>6</v>
      </c>
      <c r="O2" s="9" t="s">
        <v>7</v>
      </c>
      <c r="P2" s="9" t="s">
        <v>8</v>
      </c>
      <c r="Q2" s="9" t="s">
        <v>9</v>
      </c>
      <c r="R2" s="9"/>
      <c r="S2" s="9" t="s">
        <v>10</v>
      </c>
      <c r="T2" s="9" t="s">
        <v>11</v>
      </c>
      <c r="U2" s="9" t="s">
        <v>12</v>
      </c>
    </row>
    <row r="3" spans="2:21">
      <c r="B3" s="78" t="s">
        <v>32</v>
      </c>
      <c r="C3" s="79">
        <v>1.5880399999999999E-2</v>
      </c>
      <c r="D3" s="79">
        <v>1.57255E-2</v>
      </c>
      <c r="E3" s="7">
        <v>12973.271249999998</v>
      </c>
      <c r="F3" s="7">
        <v>-364422.73700000002</v>
      </c>
      <c r="G3" s="7">
        <v>-296900</v>
      </c>
      <c r="H3" s="192"/>
      <c r="I3" s="80">
        <v>318</v>
      </c>
      <c r="J3" s="80">
        <v>14753</v>
      </c>
      <c r="K3" s="80">
        <v>79100</v>
      </c>
      <c r="L3" s="7">
        <v>173311</v>
      </c>
      <c r="M3" s="7"/>
      <c r="N3" s="80">
        <v>3843</v>
      </c>
      <c r="O3" s="80">
        <v>14245</v>
      </c>
      <c r="P3" s="80">
        <v>0</v>
      </c>
      <c r="Q3" s="7">
        <v>11285</v>
      </c>
      <c r="R3" s="7"/>
      <c r="S3" s="80">
        <v>21963</v>
      </c>
      <c r="T3" s="81">
        <v>99999</v>
      </c>
      <c r="U3" s="81">
        <v>121961</v>
      </c>
    </row>
    <row r="4" spans="2:21">
      <c r="B4" s="78" t="s">
        <v>33</v>
      </c>
      <c r="C4" s="79">
        <v>2.8471999999999998E-3</v>
      </c>
      <c r="D4" s="79">
        <v>2.8473999999999999E-3</v>
      </c>
      <c r="E4" s="7">
        <v>2325.9787500000002</v>
      </c>
      <c r="F4" s="7">
        <v>-65985.647599999997</v>
      </c>
      <c r="G4" s="7">
        <v>-53231</v>
      </c>
      <c r="H4" s="192"/>
      <c r="I4" s="80">
        <v>57</v>
      </c>
      <c r="J4" s="80">
        <v>2645</v>
      </c>
      <c r="K4" s="80">
        <v>14182</v>
      </c>
      <c r="L4" s="7">
        <v>618</v>
      </c>
      <c r="M4" s="7"/>
      <c r="N4" s="80">
        <v>689</v>
      </c>
      <c r="O4" s="80">
        <v>2554</v>
      </c>
      <c r="P4" s="80">
        <v>0</v>
      </c>
      <c r="Q4" s="7">
        <v>412</v>
      </c>
      <c r="R4" s="7"/>
      <c r="S4" s="80">
        <v>3938</v>
      </c>
      <c r="T4" s="81">
        <v>-1546</v>
      </c>
      <c r="U4" s="81">
        <v>2392</v>
      </c>
    </row>
    <row r="5" spans="2:21">
      <c r="B5" s="78" t="s">
        <v>34</v>
      </c>
      <c r="C5" s="79">
        <v>1.4815E-3</v>
      </c>
      <c r="D5" s="79">
        <v>1.5223999999999999E-3</v>
      </c>
      <c r="E5" s="7">
        <v>1210.29025</v>
      </c>
      <c r="F5" s="7">
        <v>-35280.097600000001</v>
      </c>
      <c r="G5" s="7">
        <v>-27698</v>
      </c>
      <c r="H5" s="192"/>
      <c r="I5" s="80">
        <v>29.63</v>
      </c>
      <c r="J5" s="80">
        <v>1376</v>
      </c>
      <c r="K5" s="80">
        <v>7379</v>
      </c>
      <c r="L5" s="7">
        <v>692</v>
      </c>
      <c r="M5" s="7"/>
      <c r="N5" s="80">
        <v>359</v>
      </c>
      <c r="O5" s="80">
        <v>1329</v>
      </c>
      <c r="P5" s="80">
        <v>0</v>
      </c>
      <c r="Q5" s="7">
        <v>102</v>
      </c>
      <c r="R5" s="7"/>
      <c r="S5" s="80">
        <v>2049</v>
      </c>
      <c r="T5" s="81">
        <v>-106</v>
      </c>
      <c r="U5" s="81">
        <v>1943</v>
      </c>
    </row>
    <row r="6" spans="2:21">
      <c r="B6" s="78" t="s">
        <v>35</v>
      </c>
      <c r="C6" s="79">
        <v>1.7148E-3</v>
      </c>
      <c r="D6" s="79">
        <v>1.7566999999999999E-3</v>
      </c>
      <c r="E6" s="7">
        <v>1400.8981999999999</v>
      </c>
      <c r="F6" s="7">
        <v>-40709.765800000001</v>
      </c>
      <c r="G6" s="7">
        <v>-32060</v>
      </c>
      <c r="H6" s="192"/>
      <c r="I6" s="80">
        <v>34</v>
      </c>
      <c r="J6" s="80">
        <v>1593</v>
      </c>
      <c r="K6" s="80">
        <v>8541</v>
      </c>
      <c r="L6" s="7">
        <v>905</v>
      </c>
      <c r="M6" s="7"/>
      <c r="N6" s="80">
        <v>415</v>
      </c>
      <c r="O6" s="80">
        <v>1538</v>
      </c>
      <c r="P6" s="80">
        <v>0</v>
      </c>
      <c r="Q6" s="7">
        <v>117</v>
      </c>
      <c r="R6" s="7"/>
      <c r="S6" s="80">
        <v>2372</v>
      </c>
      <c r="T6" s="81">
        <v>-122</v>
      </c>
      <c r="U6" s="81">
        <v>2249</v>
      </c>
    </row>
    <row r="7" spans="2:21">
      <c r="B7" s="78" t="s">
        <v>36</v>
      </c>
      <c r="C7" s="79">
        <v>3.5569999999999998E-3</v>
      </c>
      <c r="D7" s="79">
        <v>3.5098999999999998E-3</v>
      </c>
      <c r="E7" s="7">
        <v>2905.8015</v>
      </c>
      <c r="F7" s="7">
        <v>-81338.422599999991</v>
      </c>
      <c r="G7" s="7">
        <v>-66502</v>
      </c>
      <c r="H7" s="192"/>
      <c r="I7" s="80">
        <v>71.14</v>
      </c>
      <c r="J7" s="80">
        <v>3304</v>
      </c>
      <c r="K7" s="80">
        <v>17717</v>
      </c>
      <c r="L7" s="7">
        <v>0</v>
      </c>
      <c r="M7" s="7"/>
      <c r="N7" s="80">
        <v>861</v>
      </c>
      <c r="O7" s="80">
        <v>3191</v>
      </c>
      <c r="P7" s="80">
        <v>0</v>
      </c>
      <c r="Q7" s="7">
        <v>2159</v>
      </c>
      <c r="R7" s="7"/>
      <c r="S7" s="80">
        <v>4919</v>
      </c>
      <c r="T7" s="81">
        <v>-1633</v>
      </c>
      <c r="U7" s="81">
        <v>3287</v>
      </c>
    </row>
    <row r="8" spans="2:21">
      <c r="B8" s="78" t="s">
        <v>37</v>
      </c>
      <c r="C8" s="79">
        <v>2.8322E-3</v>
      </c>
      <c r="D8" s="79">
        <v>2.6254E-3</v>
      </c>
      <c r="E8" s="7">
        <v>2313.69985</v>
      </c>
      <c r="F8" s="7">
        <v>-60841.0196</v>
      </c>
      <c r="G8" s="7">
        <v>-52951</v>
      </c>
      <c r="H8" s="192"/>
      <c r="I8" s="80">
        <v>57</v>
      </c>
      <c r="J8" s="80">
        <v>2631</v>
      </c>
      <c r="K8" s="80">
        <v>14107</v>
      </c>
      <c r="L8" s="7">
        <v>2219</v>
      </c>
      <c r="M8" s="7"/>
      <c r="N8" s="80">
        <v>685</v>
      </c>
      <c r="O8" s="80">
        <v>2540</v>
      </c>
      <c r="P8" s="80">
        <v>0</v>
      </c>
      <c r="Q8" s="7">
        <v>3563</v>
      </c>
      <c r="R8" s="7"/>
      <c r="S8" s="80">
        <v>3917</v>
      </c>
      <c r="T8" s="81">
        <v>49</v>
      </c>
      <c r="U8" s="81">
        <v>3966</v>
      </c>
    </row>
    <row r="9" spans="2:21">
      <c r="B9" s="78" t="s">
        <v>38</v>
      </c>
      <c r="C9" s="79">
        <v>4.4989000000000001E-3</v>
      </c>
      <c r="D9" s="79">
        <v>4.2408999999999997E-3</v>
      </c>
      <c r="E9" s="7">
        <v>3675.28125</v>
      </c>
      <c r="F9" s="7">
        <v>-98278.616599999994</v>
      </c>
      <c r="G9" s="7">
        <v>-84111</v>
      </c>
      <c r="H9" s="192"/>
      <c r="I9" s="80">
        <v>90</v>
      </c>
      <c r="J9" s="80">
        <v>4179</v>
      </c>
      <c r="K9" s="80">
        <v>22409</v>
      </c>
      <c r="L9" s="7">
        <v>2424</v>
      </c>
      <c r="M9" s="7"/>
      <c r="N9" s="80">
        <v>1089</v>
      </c>
      <c r="O9" s="80">
        <v>4036</v>
      </c>
      <c r="P9" s="80">
        <v>0</v>
      </c>
      <c r="Q9" s="7">
        <v>4364</v>
      </c>
      <c r="R9" s="7"/>
      <c r="S9" s="80">
        <v>6222</v>
      </c>
      <c r="T9" s="81">
        <v>615</v>
      </c>
      <c r="U9" s="81">
        <v>6837</v>
      </c>
    </row>
    <row r="10" spans="2:21">
      <c r="B10" s="78" t="s">
        <v>39</v>
      </c>
      <c r="C10" s="79">
        <v>1.1913E-3</v>
      </c>
      <c r="D10" s="79">
        <v>1.1998E-3</v>
      </c>
      <c r="E10" s="7">
        <v>973.19074999999987</v>
      </c>
      <c r="F10" s="7">
        <v>-27804.165199999999</v>
      </c>
      <c r="G10" s="7">
        <v>-22273</v>
      </c>
      <c r="H10" s="192"/>
      <c r="I10" s="80">
        <v>24</v>
      </c>
      <c r="J10" s="80">
        <v>1107</v>
      </c>
      <c r="K10" s="80">
        <v>5934</v>
      </c>
      <c r="L10" s="7">
        <v>387</v>
      </c>
      <c r="M10" s="7"/>
      <c r="N10" s="80">
        <v>288</v>
      </c>
      <c r="O10" s="80">
        <v>1069</v>
      </c>
      <c r="P10" s="80">
        <v>0</v>
      </c>
      <c r="Q10" s="7">
        <v>54</v>
      </c>
      <c r="R10" s="7"/>
      <c r="S10" s="80">
        <v>1648</v>
      </c>
      <c r="T10" s="81">
        <v>-7</v>
      </c>
      <c r="U10" s="81">
        <v>1641</v>
      </c>
    </row>
    <row r="11" spans="2:21">
      <c r="B11" s="78" t="s">
        <v>40</v>
      </c>
      <c r="C11" s="79">
        <v>2.5176999999999999E-3</v>
      </c>
      <c r="D11" s="79">
        <v>2.5879000000000002E-3</v>
      </c>
      <c r="E11" s="7">
        <v>2056.7723999999998</v>
      </c>
      <c r="F11" s="7">
        <v>-59971.994600000005</v>
      </c>
      <c r="G11" s="7">
        <v>-47071</v>
      </c>
      <c r="H11" s="192"/>
      <c r="I11" s="80">
        <v>50</v>
      </c>
      <c r="J11" s="80">
        <v>2339</v>
      </c>
      <c r="K11" s="80">
        <v>12541</v>
      </c>
      <c r="L11" s="7">
        <v>1187</v>
      </c>
      <c r="M11" s="7"/>
      <c r="N11" s="80">
        <v>609</v>
      </c>
      <c r="O11" s="80">
        <v>2258</v>
      </c>
      <c r="P11" s="80">
        <v>0</v>
      </c>
      <c r="Q11" s="7">
        <v>439</v>
      </c>
      <c r="R11" s="7"/>
      <c r="S11" s="80">
        <v>3482</v>
      </c>
      <c r="T11" s="81">
        <v>-1669</v>
      </c>
      <c r="U11" s="81">
        <v>1813</v>
      </c>
    </row>
    <row r="12" spans="2:21">
      <c r="B12" s="78" t="s">
        <v>41</v>
      </c>
      <c r="C12" s="79">
        <v>1.9386E-2</v>
      </c>
      <c r="D12" s="79">
        <v>2.1004100000000001E-2</v>
      </c>
      <c r="E12" s="7">
        <v>15837.151349999998</v>
      </c>
      <c r="F12" s="7">
        <v>-486749.01340000005</v>
      </c>
      <c r="G12" s="7">
        <v>-362441</v>
      </c>
      <c r="H12" s="192"/>
      <c r="I12" s="80">
        <v>387.72</v>
      </c>
      <c r="J12" s="80">
        <v>18010</v>
      </c>
      <c r="K12" s="80">
        <v>96562</v>
      </c>
      <c r="L12" s="7">
        <v>27371</v>
      </c>
      <c r="M12" s="7"/>
      <c r="N12" s="80">
        <v>4691</v>
      </c>
      <c r="O12" s="80">
        <v>17389</v>
      </c>
      <c r="P12" s="80">
        <v>0</v>
      </c>
      <c r="Q12" s="7">
        <v>1414</v>
      </c>
      <c r="R12" s="7"/>
      <c r="S12" s="80">
        <v>26811</v>
      </c>
      <c r="T12" s="81">
        <v>4716</v>
      </c>
      <c r="U12" s="81">
        <v>31527</v>
      </c>
    </row>
    <row r="13" spans="2:21">
      <c r="B13" s="78" t="s">
        <v>42</v>
      </c>
      <c r="C13" s="79">
        <v>3.46618E-2</v>
      </c>
      <c r="D13" s="79">
        <v>3.4609599999999997E-2</v>
      </c>
      <c r="E13" s="7">
        <v>28316.474249999996</v>
      </c>
      <c r="F13" s="7">
        <v>-802042.87040000013</v>
      </c>
      <c r="G13" s="7">
        <v>-648037</v>
      </c>
      <c r="H13" s="192"/>
      <c r="I13" s="80">
        <v>693</v>
      </c>
      <c r="J13" s="80">
        <v>32201</v>
      </c>
      <c r="K13" s="80">
        <v>172650</v>
      </c>
      <c r="L13" s="7">
        <v>0</v>
      </c>
      <c r="M13" s="7"/>
      <c r="N13" s="80">
        <v>8388</v>
      </c>
      <c r="O13" s="80">
        <v>31092</v>
      </c>
      <c r="P13" s="80">
        <v>0</v>
      </c>
      <c r="Q13" s="7">
        <v>28739</v>
      </c>
      <c r="R13" s="7"/>
      <c r="S13" s="80">
        <v>47937</v>
      </c>
      <c r="T13" s="81">
        <v>-28500</v>
      </c>
      <c r="U13" s="81">
        <v>19438</v>
      </c>
    </row>
    <row r="14" spans="2:21">
      <c r="B14" s="78" t="s">
        <v>43</v>
      </c>
      <c r="C14" s="79">
        <v>1.0696499999999999E-2</v>
      </c>
      <c r="D14" s="79">
        <v>8.3555000000000001E-3</v>
      </c>
      <c r="E14" s="7">
        <v>8738.3182500000003</v>
      </c>
      <c r="F14" s="7">
        <v>-193630.35699999999</v>
      </c>
      <c r="G14" s="7">
        <v>-199982</v>
      </c>
      <c r="H14" s="192"/>
      <c r="I14" s="80">
        <v>214</v>
      </c>
      <c r="J14" s="80">
        <v>9937</v>
      </c>
      <c r="K14" s="80">
        <v>53279</v>
      </c>
      <c r="L14" s="7">
        <v>0</v>
      </c>
      <c r="M14" s="7"/>
      <c r="N14" s="80">
        <v>2589</v>
      </c>
      <c r="O14" s="80">
        <v>9595</v>
      </c>
      <c r="P14" s="80">
        <v>0</v>
      </c>
      <c r="Q14" s="7">
        <v>46343</v>
      </c>
      <c r="R14" s="7"/>
      <c r="S14" s="80">
        <v>14793</v>
      </c>
      <c r="T14" s="81">
        <v>-26324</v>
      </c>
      <c r="U14" s="81">
        <v>-11531</v>
      </c>
    </row>
    <row r="15" spans="2:21">
      <c r="B15" s="78" t="s">
        <v>44</v>
      </c>
      <c r="C15" s="79">
        <v>2.39884E-2</v>
      </c>
      <c r="D15" s="79">
        <v>2.2662600000000001E-2</v>
      </c>
      <c r="E15" s="7">
        <v>19597.03</v>
      </c>
      <c r="F15" s="7">
        <v>-525183.09240000008</v>
      </c>
      <c r="G15" s="7">
        <v>-448487</v>
      </c>
      <c r="H15" s="192"/>
      <c r="I15" s="80">
        <v>480</v>
      </c>
      <c r="J15" s="80">
        <v>22285</v>
      </c>
      <c r="K15" s="80">
        <v>119486</v>
      </c>
      <c r="L15" s="7">
        <v>276</v>
      </c>
      <c r="M15" s="7"/>
      <c r="N15" s="80">
        <v>5805</v>
      </c>
      <c r="O15" s="80">
        <v>21518</v>
      </c>
      <c r="P15" s="80">
        <v>0</v>
      </c>
      <c r="Q15" s="7">
        <v>32965</v>
      </c>
      <c r="R15" s="7"/>
      <c r="S15" s="80">
        <v>33176</v>
      </c>
      <c r="T15" s="81">
        <v>-16866</v>
      </c>
      <c r="U15" s="81">
        <v>16310</v>
      </c>
    </row>
    <row r="16" spans="2:21">
      <c r="B16" s="78" t="s">
        <v>45</v>
      </c>
      <c r="C16" s="79">
        <v>7.5778E-3</v>
      </c>
      <c r="D16" s="79">
        <v>7.2118E-3</v>
      </c>
      <c r="E16" s="7">
        <v>6190.6034999999993</v>
      </c>
      <c r="F16" s="7">
        <v>-167126.25320000001</v>
      </c>
      <c r="G16" s="7">
        <v>-141675</v>
      </c>
      <c r="H16" s="192"/>
      <c r="I16" s="80">
        <v>152</v>
      </c>
      <c r="J16" s="80">
        <v>7040</v>
      </c>
      <c r="K16" s="80">
        <v>37745</v>
      </c>
      <c r="L16" s="7">
        <v>3800</v>
      </c>
      <c r="M16" s="7"/>
      <c r="N16" s="80">
        <v>1834</v>
      </c>
      <c r="O16" s="80">
        <v>6797</v>
      </c>
      <c r="P16" s="80">
        <v>0</v>
      </c>
      <c r="Q16" s="7">
        <v>7320</v>
      </c>
      <c r="R16" s="7"/>
      <c r="S16" s="80">
        <v>10480</v>
      </c>
      <c r="T16" s="81">
        <v>-5091</v>
      </c>
      <c r="U16" s="81">
        <v>5389</v>
      </c>
    </row>
    <row r="17" spans="2:21">
      <c r="B17" s="78" t="s">
        <v>46</v>
      </c>
      <c r="C17" s="79">
        <v>1.103E-3</v>
      </c>
      <c r="D17" s="79">
        <v>9.5220000000000005E-4</v>
      </c>
      <c r="E17" s="7">
        <v>901.09034999999994</v>
      </c>
      <c r="F17" s="7">
        <v>-22066.282800000001</v>
      </c>
      <c r="G17" s="7">
        <v>-20622</v>
      </c>
      <c r="H17" s="192"/>
      <c r="I17" s="80">
        <v>22</v>
      </c>
      <c r="J17" s="80">
        <v>1025</v>
      </c>
      <c r="K17" s="80">
        <v>5494</v>
      </c>
      <c r="L17" s="7">
        <v>660</v>
      </c>
      <c r="M17" s="7"/>
      <c r="N17" s="80">
        <v>267</v>
      </c>
      <c r="O17" s="80">
        <v>989</v>
      </c>
      <c r="P17" s="80">
        <v>0</v>
      </c>
      <c r="Q17" s="7">
        <v>2551</v>
      </c>
      <c r="R17" s="7"/>
      <c r="S17" s="80">
        <v>1525</v>
      </c>
      <c r="T17" s="81">
        <v>142</v>
      </c>
      <c r="U17" s="81">
        <v>1667</v>
      </c>
    </row>
    <row r="18" spans="2:21">
      <c r="B18" s="78" t="s">
        <v>47</v>
      </c>
      <c r="C18" s="79">
        <v>1.33673E-2</v>
      </c>
      <c r="D18" s="79">
        <v>1.09128E-2</v>
      </c>
      <c r="E18" s="7">
        <v>10920.239250000001</v>
      </c>
      <c r="F18" s="7">
        <v>-252893.22719999999</v>
      </c>
      <c r="G18" s="7">
        <v>-249915</v>
      </c>
      <c r="H18" s="192"/>
      <c r="I18" s="80">
        <v>267</v>
      </c>
      <c r="J18" s="80">
        <v>12418</v>
      </c>
      <c r="K18" s="80">
        <v>66583</v>
      </c>
      <c r="L18" s="7">
        <v>1177</v>
      </c>
      <c r="M18" s="7"/>
      <c r="N18" s="80">
        <v>3235</v>
      </c>
      <c r="O18" s="80">
        <v>11990</v>
      </c>
      <c r="P18" s="80">
        <v>0</v>
      </c>
      <c r="Q18" s="7">
        <v>41519</v>
      </c>
      <c r="R18" s="7"/>
      <c r="S18" s="80">
        <v>18487</v>
      </c>
      <c r="T18" s="81">
        <v>-14988</v>
      </c>
      <c r="U18" s="81">
        <v>3499</v>
      </c>
    </row>
    <row r="19" spans="2:21">
      <c r="B19" s="78" t="s">
        <v>48</v>
      </c>
      <c r="C19" s="79">
        <v>1.7351999999999999E-3</v>
      </c>
      <c r="D19" s="79">
        <v>1.6876E-3</v>
      </c>
      <c r="E19" s="7">
        <v>1417.5149999999999</v>
      </c>
      <c r="F19" s="7">
        <v>-39108.4424</v>
      </c>
      <c r="G19" s="7">
        <v>-32441</v>
      </c>
      <c r="H19" s="192"/>
      <c r="I19" s="80">
        <v>35</v>
      </c>
      <c r="J19" s="80">
        <v>1612</v>
      </c>
      <c r="K19" s="80">
        <v>8643</v>
      </c>
      <c r="L19" s="7">
        <v>89</v>
      </c>
      <c r="M19" s="7"/>
      <c r="N19" s="80">
        <v>420</v>
      </c>
      <c r="O19" s="80">
        <v>1556</v>
      </c>
      <c r="P19" s="80">
        <v>0</v>
      </c>
      <c r="Q19" s="7">
        <v>1071</v>
      </c>
      <c r="R19" s="7"/>
      <c r="S19" s="80">
        <v>2400</v>
      </c>
      <c r="T19" s="81">
        <v>-1594</v>
      </c>
      <c r="U19" s="81">
        <v>806</v>
      </c>
    </row>
    <row r="20" spans="2:21">
      <c r="B20" s="78" t="s">
        <v>49</v>
      </c>
      <c r="C20" s="79">
        <v>1.6867199999999999E-2</v>
      </c>
      <c r="D20" s="79">
        <v>1.65814E-2</v>
      </c>
      <c r="E20" s="7">
        <v>13779.397799999999</v>
      </c>
      <c r="F20" s="7">
        <v>-384257.36359999998</v>
      </c>
      <c r="G20" s="7">
        <v>-315349</v>
      </c>
      <c r="H20" s="192"/>
      <c r="I20" s="80">
        <v>337</v>
      </c>
      <c r="J20" s="80">
        <v>15670</v>
      </c>
      <c r="K20" s="80">
        <v>84016</v>
      </c>
      <c r="L20" s="7">
        <v>0</v>
      </c>
      <c r="M20" s="7"/>
      <c r="N20" s="80">
        <v>4082</v>
      </c>
      <c r="O20" s="80">
        <v>15130</v>
      </c>
      <c r="P20" s="80">
        <v>0</v>
      </c>
      <c r="Q20" s="7">
        <v>8888</v>
      </c>
      <c r="R20" s="7"/>
      <c r="S20" s="80">
        <v>23327</v>
      </c>
      <c r="T20" s="81">
        <v>-6759</v>
      </c>
      <c r="U20" s="81">
        <v>16569</v>
      </c>
    </row>
    <row r="21" spans="2:21">
      <c r="B21" s="78" t="s">
        <v>50</v>
      </c>
      <c r="C21" s="79">
        <v>8.1905999999999993E-3</v>
      </c>
      <c r="D21" s="79">
        <v>8.4030000000000007E-3</v>
      </c>
      <c r="E21" s="7">
        <v>6691.1587499999987</v>
      </c>
      <c r="F21" s="7">
        <v>-194731.122</v>
      </c>
      <c r="G21" s="7">
        <v>-153131</v>
      </c>
      <c r="H21" s="192"/>
      <c r="I21" s="80">
        <v>164</v>
      </c>
      <c r="J21" s="80">
        <v>7609</v>
      </c>
      <c r="K21" s="80">
        <v>40797</v>
      </c>
      <c r="L21" s="7">
        <v>3593</v>
      </c>
      <c r="M21" s="7"/>
      <c r="N21" s="80">
        <v>1982</v>
      </c>
      <c r="O21" s="80">
        <v>7347</v>
      </c>
      <c r="P21" s="80">
        <v>0</v>
      </c>
      <c r="Q21" s="7">
        <v>1438</v>
      </c>
      <c r="R21" s="7"/>
      <c r="S21" s="80">
        <v>11328</v>
      </c>
      <c r="T21" s="81">
        <v>-1210</v>
      </c>
      <c r="U21" s="81">
        <v>10117</v>
      </c>
    </row>
    <row r="22" spans="2:21">
      <c r="B22" s="78" t="s">
        <v>51</v>
      </c>
      <c r="C22" s="79">
        <v>3.8235000000000001E-3</v>
      </c>
      <c r="D22" s="79">
        <v>3.7967000000000001E-3</v>
      </c>
      <c r="E22" s="7">
        <v>3123.5865000000003</v>
      </c>
      <c r="F22" s="7">
        <v>-87984.7258</v>
      </c>
      <c r="G22" s="7">
        <v>-71484</v>
      </c>
      <c r="H22" s="192"/>
      <c r="I22" s="80">
        <v>76.47</v>
      </c>
      <c r="J22" s="80">
        <v>3552</v>
      </c>
      <c r="K22" s="80">
        <v>19045</v>
      </c>
      <c r="L22" s="7">
        <v>62</v>
      </c>
      <c r="M22" s="7"/>
      <c r="N22" s="80">
        <v>925</v>
      </c>
      <c r="O22" s="80">
        <v>3430</v>
      </c>
      <c r="P22" s="80">
        <v>0</v>
      </c>
      <c r="Q22" s="7">
        <v>2434</v>
      </c>
      <c r="R22" s="7"/>
      <c r="S22" s="80">
        <v>5288</v>
      </c>
      <c r="T22" s="81">
        <v>-1532</v>
      </c>
      <c r="U22" s="81">
        <v>3756</v>
      </c>
    </row>
    <row r="23" spans="2:21">
      <c r="B23" s="78" t="s">
        <v>52</v>
      </c>
      <c r="C23" s="79">
        <v>1.5716E-3</v>
      </c>
      <c r="D23" s="79">
        <v>1.6087E-3</v>
      </c>
      <c r="E23" s="7">
        <v>1283.895</v>
      </c>
      <c r="F23" s="7">
        <v>-37280.013800000001</v>
      </c>
      <c r="G23" s="7">
        <v>-29383</v>
      </c>
      <c r="H23" s="192"/>
      <c r="I23" s="80">
        <v>31</v>
      </c>
      <c r="J23" s="80">
        <v>1460</v>
      </c>
      <c r="K23" s="80">
        <v>7828</v>
      </c>
      <c r="L23" s="7">
        <v>987</v>
      </c>
      <c r="M23" s="7"/>
      <c r="N23" s="80">
        <v>380</v>
      </c>
      <c r="O23" s="80">
        <v>1410</v>
      </c>
      <c r="P23" s="80">
        <v>0</v>
      </c>
      <c r="Q23" s="7">
        <v>128</v>
      </c>
      <c r="R23" s="7"/>
      <c r="S23" s="80">
        <v>2174</v>
      </c>
      <c r="T23" s="81">
        <v>-76</v>
      </c>
      <c r="U23" s="81">
        <v>2098</v>
      </c>
    </row>
    <row r="24" spans="2:21">
      <c r="B24" s="78" t="s">
        <v>53</v>
      </c>
      <c r="C24" s="79">
        <v>1.5135000000000001E-3</v>
      </c>
      <c r="D24" s="79">
        <v>1.588E-3</v>
      </c>
      <c r="E24" s="7">
        <v>1236.4362500000002</v>
      </c>
      <c r="F24" s="7">
        <v>-36800.311999999998</v>
      </c>
      <c r="G24" s="7">
        <v>-28296</v>
      </c>
      <c r="H24" s="192"/>
      <c r="I24" s="80">
        <v>30</v>
      </c>
      <c r="J24" s="80">
        <v>1406</v>
      </c>
      <c r="K24" s="80">
        <v>7539</v>
      </c>
      <c r="L24" s="7">
        <v>2566</v>
      </c>
      <c r="M24" s="7"/>
      <c r="N24" s="80">
        <v>366</v>
      </c>
      <c r="O24" s="80">
        <v>1358</v>
      </c>
      <c r="P24" s="80">
        <v>0</v>
      </c>
      <c r="Q24" s="7">
        <v>81</v>
      </c>
      <c r="R24" s="7"/>
      <c r="S24" s="80">
        <v>2093</v>
      </c>
      <c r="T24" s="81">
        <v>1215</v>
      </c>
      <c r="U24" s="81">
        <v>3308</v>
      </c>
    </row>
    <row r="25" spans="2:21">
      <c r="B25" s="78" t="s">
        <v>54</v>
      </c>
      <c r="C25" s="79">
        <v>6.5862000000000004E-3</v>
      </c>
      <c r="D25" s="79">
        <v>6.7035999999999997E-3</v>
      </c>
      <c r="E25" s="7">
        <v>5380.4966999999997</v>
      </c>
      <c r="F25" s="7">
        <v>-155349.22639999999</v>
      </c>
      <c r="G25" s="7">
        <v>-123136</v>
      </c>
      <c r="H25" s="192"/>
      <c r="I25" s="80">
        <v>132</v>
      </c>
      <c r="J25" s="80">
        <v>6119</v>
      </c>
      <c r="K25" s="80">
        <v>32806</v>
      </c>
      <c r="L25" s="7">
        <v>1986</v>
      </c>
      <c r="M25" s="7"/>
      <c r="N25" s="80">
        <v>1594</v>
      </c>
      <c r="O25" s="80">
        <v>5908</v>
      </c>
      <c r="P25" s="80">
        <v>0</v>
      </c>
      <c r="Q25" s="7">
        <v>3022</v>
      </c>
      <c r="R25" s="7"/>
      <c r="S25" s="80">
        <v>9109</v>
      </c>
      <c r="T25" s="81">
        <v>-3336</v>
      </c>
      <c r="U25" s="81">
        <v>5773</v>
      </c>
    </row>
    <row r="26" spans="2:21">
      <c r="B26" s="78" t="s">
        <v>55</v>
      </c>
      <c r="C26" s="79">
        <v>4.1635999999999999E-3</v>
      </c>
      <c r="D26" s="79">
        <v>4.5163E-3</v>
      </c>
      <c r="E26" s="7">
        <v>3401.4212499999999</v>
      </c>
      <c r="F26" s="7">
        <v>-104660.7362</v>
      </c>
      <c r="G26" s="7">
        <v>-77843</v>
      </c>
      <c r="H26" s="192"/>
      <c r="I26" s="80">
        <v>83</v>
      </c>
      <c r="J26" s="80">
        <v>3868</v>
      </c>
      <c r="K26" s="80">
        <v>20739</v>
      </c>
      <c r="L26" s="7">
        <v>6561</v>
      </c>
      <c r="M26" s="7"/>
      <c r="N26" s="80">
        <v>1008</v>
      </c>
      <c r="O26" s="80">
        <v>3735</v>
      </c>
      <c r="P26" s="80">
        <v>0</v>
      </c>
      <c r="Q26" s="7">
        <v>1735</v>
      </c>
      <c r="R26" s="7"/>
      <c r="S26" s="80">
        <v>5758</v>
      </c>
      <c r="T26" s="81">
        <v>-5660</v>
      </c>
      <c r="U26" s="81">
        <v>98</v>
      </c>
    </row>
    <row r="27" spans="2:21">
      <c r="B27" s="78" t="s">
        <v>56</v>
      </c>
      <c r="C27" s="79">
        <v>1.21683E-2</v>
      </c>
      <c r="D27" s="79">
        <v>1.1118100000000001E-2</v>
      </c>
      <c r="E27" s="7">
        <v>9940.6991500000004</v>
      </c>
      <c r="F27" s="7">
        <v>-257650.84940000001</v>
      </c>
      <c r="G27" s="7">
        <v>-227499</v>
      </c>
      <c r="H27" s="192"/>
      <c r="I27" s="80">
        <v>243</v>
      </c>
      <c r="J27" s="80">
        <v>11304</v>
      </c>
      <c r="K27" s="80">
        <v>60610</v>
      </c>
      <c r="L27" s="7">
        <v>193</v>
      </c>
      <c r="M27" s="7"/>
      <c r="N27" s="80">
        <v>2945</v>
      </c>
      <c r="O27" s="80">
        <v>10915</v>
      </c>
      <c r="P27" s="80">
        <v>0</v>
      </c>
      <c r="Q27" s="7">
        <v>18066</v>
      </c>
      <c r="R27" s="7"/>
      <c r="S27" s="80">
        <v>16829</v>
      </c>
      <c r="T27" s="81">
        <v>-6784</v>
      </c>
      <c r="U27" s="81">
        <v>10045</v>
      </c>
    </row>
    <row r="28" spans="2:21">
      <c r="B28" s="78" t="s">
        <v>57</v>
      </c>
      <c r="C28" s="79">
        <v>3.3197299999999999E-2</v>
      </c>
      <c r="D28" s="79">
        <v>3.4555299999999997E-2</v>
      </c>
      <c r="E28" s="7">
        <v>27120.052200000002</v>
      </c>
      <c r="F28" s="7">
        <v>-800784.52220000012</v>
      </c>
      <c r="G28" s="7">
        <v>-620657</v>
      </c>
      <c r="H28" s="192"/>
      <c r="I28" s="80">
        <v>664</v>
      </c>
      <c r="J28" s="80">
        <v>30840</v>
      </c>
      <c r="K28" s="80">
        <v>165356</v>
      </c>
      <c r="L28" s="7">
        <v>27988</v>
      </c>
      <c r="M28" s="7"/>
      <c r="N28" s="80">
        <v>8034</v>
      </c>
      <c r="O28" s="80">
        <v>29778</v>
      </c>
      <c r="P28" s="80">
        <v>0</v>
      </c>
      <c r="Q28" s="7">
        <v>189</v>
      </c>
      <c r="R28" s="7"/>
      <c r="S28" s="80">
        <v>45912</v>
      </c>
      <c r="T28" s="81">
        <v>12930</v>
      </c>
      <c r="U28" s="81">
        <v>58842</v>
      </c>
    </row>
    <row r="29" spans="2:21">
      <c r="B29" s="78" t="s">
        <v>58</v>
      </c>
      <c r="C29" s="79">
        <v>4.1034000000000001E-3</v>
      </c>
      <c r="D29" s="79">
        <v>4.2293000000000001E-3</v>
      </c>
      <c r="E29" s="7">
        <v>3352.2248999999997</v>
      </c>
      <c r="F29" s="7">
        <v>-98009.798200000005</v>
      </c>
      <c r="G29" s="7">
        <v>-76717</v>
      </c>
      <c r="H29" s="192"/>
      <c r="I29" s="80">
        <v>82</v>
      </c>
      <c r="J29" s="80">
        <v>3812</v>
      </c>
      <c r="K29" s="80">
        <v>20439</v>
      </c>
      <c r="L29" s="7">
        <v>2902</v>
      </c>
      <c r="M29" s="7"/>
      <c r="N29" s="80">
        <v>993</v>
      </c>
      <c r="O29" s="80">
        <v>3681</v>
      </c>
      <c r="P29" s="80">
        <v>0</v>
      </c>
      <c r="Q29" s="7">
        <v>0</v>
      </c>
      <c r="R29" s="7"/>
      <c r="S29" s="80">
        <v>5675</v>
      </c>
      <c r="T29" s="81">
        <v>3084</v>
      </c>
      <c r="U29" s="81">
        <v>8759</v>
      </c>
    </row>
    <row r="30" spans="2:21">
      <c r="B30" s="78" t="s">
        <v>59</v>
      </c>
      <c r="C30" s="79">
        <v>9.5162000000000007E-3</v>
      </c>
      <c r="D30" s="79">
        <v>9.1173000000000001E-3</v>
      </c>
      <c r="E30" s="7">
        <v>7774.1212499999992</v>
      </c>
      <c r="F30" s="7">
        <v>-211284.31020000001</v>
      </c>
      <c r="G30" s="7">
        <v>-177915</v>
      </c>
      <c r="H30" s="192"/>
      <c r="I30" s="80">
        <v>190</v>
      </c>
      <c r="J30" s="80">
        <v>8841</v>
      </c>
      <c r="K30" s="80">
        <v>47400</v>
      </c>
      <c r="L30" s="7">
        <v>2644</v>
      </c>
      <c r="M30" s="7"/>
      <c r="N30" s="80">
        <v>2303</v>
      </c>
      <c r="O30" s="80">
        <v>8536</v>
      </c>
      <c r="P30" s="80">
        <v>0</v>
      </c>
      <c r="Q30" s="7">
        <v>6748</v>
      </c>
      <c r="R30" s="7"/>
      <c r="S30" s="80">
        <v>13161</v>
      </c>
      <c r="T30" s="81">
        <v>505</v>
      </c>
      <c r="U30" s="81">
        <v>13666</v>
      </c>
    </row>
    <row r="31" spans="2:21">
      <c r="B31" s="78" t="s">
        <v>60</v>
      </c>
      <c r="C31" s="79">
        <v>1.08719E-2</v>
      </c>
      <c r="D31" s="79">
        <v>1.2908599999999999E-2</v>
      </c>
      <c r="E31" s="7">
        <v>8881.637999999999</v>
      </c>
      <c r="F31" s="7">
        <v>-299143.89639999997</v>
      </c>
      <c r="G31" s="7">
        <v>-203261</v>
      </c>
      <c r="H31" s="192"/>
      <c r="I31" s="80">
        <v>217</v>
      </c>
      <c r="J31" s="80">
        <v>10100</v>
      </c>
      <c r="K31" s="80">
        <v>54153</v>
      </c>
      <c r="L31" s="7">
        <v>41077</v>
      </c>
      <c r="M31" s="7"/>
      <c r="N31" s="80">
        <v>2631</v>
      </c>
      <c r="O31" s="80">
        <v>9752</v>
      </c>
      <c r="P31" s="80">
        <v>0</v>
      </c>
      <c r="Q31" s="7">
        <v>0</v>
      </c>
      <c r="R31" s="7"/>
      <c r="S31" s="80">
        <v>15036</v>
      </c>
      <c r="T31" s="81">
        <v>42387</v>
      </c>
      <c r="U31" s="81">
        <v>57423</v>
      </c>
    </row>
    <row r="32" spans="2:21">
      <c r="B32" s="78" t="s">
        <v>61</v>
      </c>
      <c r="C32" s="79">
        <v>4.0918999999999999E-3</v>
      </c>
      <c r="D32" s="79">
        <v>4.2021000000000003E-3</v>
      </c>
      <c r="E32" s="7">
        <v>3342.8268499999995</v>
      </c>
      <c r="F32" s="7">
        <v>-97379.465400000001</v>
      </c>
      <c r="G32" s="7">
        <v>-76502</v>
      </c>
      <c r="H32" s="192"/>
      <c r="I32" s="80">
        <v>82</v>
      </c>
      <c r="J32" s="80">
        <v>3801</v>
      </c>
      <c r="K32" s="80">
        <v>20382</v>
      </c>
      <c r="L32" s="7">
        <v>1864</v>
      </c>
      <c r="M32" s="7"/>
      <c r="N32" s="80">
        <v>990</v>
      </c>
      <c r="O32" s="80">
        <v>3670</v>
      </c>
      <c r="P32" s="80">
        <v>0</v>
      </c>
      <c r="Q32" s="7">
        <v>1863</v>
      </c>
      <c r="R32" s="7"/>
      <c r="S32" s="80">
        <v>5659</v>
      </c>
      <c r="T32" s="81">
        <v>-1331</v>
      </c>
      <c r="U32" s="81">
        <v>4328</v>
      </c>
    </row>
    <row r="33" spans="2:21">
      <c r="B33" s="78" t="s">
        <v>62</v>
      </c>
      <c r="C33" s="79">
        <v>4.2513000000000004E-3</v>
      </c>
      <c r="D33" s="79">
        <v>4.1583999999999996E-3</v>
      </c>
      <c r="E33" s="7">
        <v>3473.01125</v>
      </c>
      <c r="F33" s="7">
        <v>-96366.761599999983</v>
      </c>
      <c r="G33" s="7">
        <v>-79482</v>
      </c>
      <c r="H33" s="192"/>
      <c r="I33" s="80">
        <v>85</v>
      </c>
      <c r="J33" s="80">
        <v>3949</v>
      </c>
      <c r="K33" s="80">
        <v>21176</v>
      </c>
      <c r="L33" s="7">
        <v>0</v>
      </c>
      <c r="M33" s="7"/>
      <c r="N33" s="80">
        <v>1029</v>
      </c>
      <c r="O33" s="80">
        <v>3813</v>
      </c>
      <c r="P33" s="80">
        <v>0</v>
      </c>
      <c r="Q33" s="7">
        <v>2037</v>
      </c>
      <c r="R33" s="7"/>
      <c r="S33" s="80">
        <v>5880</v>
      </c>
      <c r="T33" s="81">
        <v>-2586</v>
      </c>
      <c r="U33" s="81">
        <v>3293</v>
      </c>
    </row>
    <row r="34" spans="2:21">
      <c r="B34" s="78" t="s">
        <v>63</v>
      </c>
      <c r="C34" s="79">
        <v>3.1125E-2</v>
      </c>
      <c r="D34" s="79">
        <v>3.0139099999999999E-2</v>
      </c>
      <c r="E34" s="7">
        <v>25427.11795</v>
      </c>
      <c r="F34" s="7">
        <v>-698443.50339999993</v>
      </c>
      <c r="G34" s="7">
        <v>-581913</v>
      </c>
      <c r="H34" s="192"/>
      <c r="I34" s="80">
        <v>622.5</v>
      </c>
      <c r="J34" s="80">
        <v>28915.125</v>
      </c>
      <c r="K34" s="80">
        <v>155034</v>
      </c>
      <c r="L34" s="7">
        <v>0</v>
      </c>
      <c r="M34" s="7"/>
      <c r="N34" s="80">
        <v>7532.25</v>
      </c>
      <c r="O34" s="80">
        <v>27919.125</v>
      </c>
      <c r="P34" s="80">
        <v>0</v>
      </c>
      <c r="Q34" s="7">
        <v>28285</v>
      </c>
      <c r="R34" s="7"/>
      <c r="S34" s="80">
        <v>43045.875</v>
      </c>
      <c r="T34" s="81">
        <v>-23643</v>
      </c>
      <c r="U34" s="81">
        <v>19402</v>
      </c>
    </row>
    <row r="35" spans="2:21">
      <c r="B35" s="78" t="s">
        <v>64</v>
      </c>
      <c r="C35" s="79">
        <v>3.4244000000000002E-3</v>
      </c>
      <c r="D35" s="79">
        <v>3.5536000000000001E-3</v>
      </c>
      <c r="E35" s="7">
        <v>2797.5074999999997</v>
      </c>
      <c r="F35" s="7">
        <v>-82351.126400000008</v>
      </c>
      <c r="G35" s="7">
        <v>-64023</v>
      </c>
      <c r="H35" s="192"/>
      <c r="I35" s="80">
        <v>68</v>
      </c>
      <c r="J35" s="80">
        <v>3181</v>
      </c>
      <c r="K35" s="80">
        <v>17057</v>
      </c>
      <c r="L35" s="7">
        <v>2185</v>
      </c>
      <c r="M35" s="7"/>
      <c r="N35" s="80">
        <v>829</v>
      </c>
      <c r="O35" s="80">
        <v>3072</v>
      </c>
      <c r="P35" s="80">
        <v>0</v>
      </c>
      <c r="Q35" s="7">
        <v>785</v>
      </c>
      <c r="R35" s="7"/>
      <c r="S35" s="80">
        <v>4736</v>
      </c>
      <c r="T35" s="81">
        <v>-517</v>
      </c>
      <c r="U35" s="81">
        <v>4219</v>
      </c>
    </row>
    <row r="36" spans="2:21">
      <c r="B36" s="78" t="s">
        <v>65</v>
      </c>
      <c r="C36" s="79">
        <v>3.9605899999999999E-2</v>
      </c>
      <c r="D36" s="79">
        <v>3.9285199999999999E-2</v>
      </c>
      <c r="E36" s="7">
        <v>32355.51525</v>
      </c>
      <c r="F36" s="7">
        <v>-910395.2248000002</v>
      </c>
      <c r="G36" s="7">
        <v>-740472</v>
      </c>
      <c r="H36" s="192"/>
      <c r="I36" s="80">
        <v>792</v>
      </c>
      <c r="J36" s="80">
        <v>36794</v>
      </c>
      <c r="K36" s="80">
        <v>197277</v>
      </c>
      <c r="L36" s="7">
        <v>0</v>
      </c>
      <c r="M36" s="7"/>
      <c r="N36" s="80">
        <v>9585</v>
      </c>
      <c r="O36" s="80">
        <v>35526</v>
      </c>
      <c r="P36" s="80">
        <v>0</v>
      </c>
      <c r="Q36" s="7">
        <v>11427</v>
      </c>
      <c r="R36" s="7"/>
      <c r="S36" s="80">
        <v>54775</v>
      </c>
      <c r="T36" s="81">
        <v>-11290</v>
      </c>
      <c r="U36" s="81">
        <v>43485</v>
      </c>
    </row>
    <row r="37" spans="2:21">
      <c r="B37" s="78" t="s">
        <v>66</v>
      </c>
      <c r="C37" s="79">
        <v>5.6988999999999998E-3</v>
      </c>
      <c r="D37" s="79">
        <v>5.2674999999999996E-3</v>
      </c>
      <c r="E37" s="7">
        <v>4655.6634999999997</v>
      </c>
      <c r="F37" s="7">
        <v>-122069.045</v>
      </c>
      <c r="G37" s="7">
        <v>-106547</v>
      </c>
      <c r="H37" s="192"/>
      <c r="I37" s="80">
        <v>114</v>
      </c>
      <c r="J37" s="80">
        <v>5294</v>
      </c>
      <c r="K37" s="80">
        <v>28386</v>
      </c>
      <c r="L37" s="7">
        <v>0</v>
      </c>
      <c r="M37" s="7"/>
      <c r="N37" s="80">
        <v>1379</v>
      </c>
      <c r="O37" s="80">
        <v>5112</v>
      </c>
      <c r="P37" s="80">
        <v>0</v>
      </c>
      <c r="Q37" s="7">
        <v>7956</v>
      </c>
      <c r="R37" s="7"/>
      <c r="S37" s="80">
        <v>7882</v>
      </c>
      <c r="T37" s="81">
        <v>-4779</v>
      </c>
      <c r="U37" s="81">
        <v>3103</v>
      </c>
    </row>
    <row r="38" spans="2:21">
      <c r="B38" s="78" t="s">
        <v>67</v>
      </c>
      <c r="C38" s="79">
        <v>1.13299E-2</v>
      </c>
      <c r="D38" s="79">
        <v>1.34155E-2</v>
      </c>
      <c r="E38" s="7">
        <v>9255.8369999999995</v>
      </c>
      <c r="F38" s="7">
        <v>-310890.79700000002</v>
      </c>
      <c r="G38" s="7">
        <v>-211824</v>
      </c>
      <c r="H38" s="192"/>
      <c r="I38" s="80">
        <v>227</v>
      </c>
      <c r="J38" s="80">
        <v>10525</v>
      </c>
      <c r="K38" s="80">
        <v>56434</v>
      </c>
      <c r="L38" s="7">
        <v>42086</v>
      </c>
      <c r="M38" s="7"/>
      <c r="N38" s="80">
        <v>2742</v>
      </c>
      <c r="O38" s="80">
        <v>10163</v>
      </c>
      <c r="P38" s="80">
        <v>0</v>
      </c>
      <c r="Q38" s="7">
        <v>299</v>
      </c>
      <c r="R38" s="7"/>
      <c r="S38" s="80">
        <v>15669</v>
      </c>
      <c r="T38" s="81">
        <v>19065</v>
      </c>
      <c r="U38" s="81">
        <v>34734</v>
      </c>
    </row>
    <row r="39" spans="2:21">
      <c r="B39" s="78" t="s">
        <v>68</v>
      </c>
      <c r="C39" s="79">
        <v>9.5730000000000001E-4</v>
      </c>
      <c r="D39" s="79">
        <v>9.4289999999999999E-4</v>
      </c>
      <c r="E39" s="7">
        <v>782.0474999999999</v>
      </c>
      <c r="F39" s="7">
        <v>-21850.764599999999</v>
      </c>
      <c r="G39" s="7">
        <v>-17898</v>
      </c>
      <c r="H39" s="192"/>
      <c r="I39" s="80">
        <v>19</v>
      </c>
      <c r="J39" s="80">
        <v>889</v>
      </c>
      <c r="K39" s="80">
        <v>4768</v>
      </c>
      <c r="L39" s="7">
        <v>468</v>
      </c>
      <c r="M39" s="7"/>
      <c r="N39" s="80">
        <v>232</v>
      </c>
      <c r="O39" s="80">
        <v>859</v>
      </c>
      <c r="P39" s="80">
        <v>0</v>
      </c>
      <c r="Q39" s="7">
        <v>305</v>
      </c>
      <c r="R39" s="7"/>
      <c r="S39" s="80">
        <v>1324</v>
      </c>
      <c r="T39" s="81">
        <v>-20</v>
      </c>
      <c r="U39" s="81">
        <v>1304</v>
      </c>
    </row>
    <row r="40" spans="2:21">
      <c r="B40" s="78" t="s">
        <v>69</v>
      </c>
      <c r="C40" s="79">
        <v>6.8349999999999997E-4</v>
      </c>
      <c r="D40" s="79">
        <v>6.3060000000000004E-4</v>
      </c>
      <c r="E40" s="7">
        <v>558.35294999999996</v>
      </c>
      <c r="F40" s="7">
        <v>-14613.5244</v>
      </c>
      <c r="G40" s="7">
        <v>-12779</v>
      </c>
      <c r="H40" s="192"/>
      <c r="I40" s="80">
        <v>13.67</v>
      </c>
      <c r="J40" s="80">
        <v>635</v>
      </c>
      <c r="K40" s="80">
        <v>3405</v>
      </c>
      <c r="L40" s="7">
        <v>355</v>
      </c>
      <c r="M40" s="7"/>
      <c r="N40" s="80">
        <v>165</v>
      </c>
      <c r="O40" s="80">
        <v>613</v>
      </c>
      <c r="P40" s="80">
        <v>0</v>
      </c>
      <c r="Q40" s="7">
        <v>899</v>
      </c>
      <c r="R40" s="7"/>
      <c r="S40" s="80">
        <v>945</v>
      </c>
      <c r="T40" s="81">
        <v>-104</v>
      </c>
      <c r="U40" s="81">
        <v>841</v>
      </c>
    </row>
    <row r="41" spans="2:21">
      <c r="B41" s="78" t="s">
        <v>70</v>
      </c>
      <c r="C41" s="79">
        <v>4.3911999999999996E-3</v>
      </c>
      <c r="D41" s="79">
        <v>4.5859000000000004E-3</v>
      </c>
      <c r="E41" s="7">
        <v>3587.31</v>
      </c>
      <c r="F41" s="7">
        <v>-106273.64660000001</v>
      </c>
      <c r="G41" s="7">
        <v>-82098</v>
      </c>
      <c r="H41" s="192"/>
      <c r="I41" s="80">
        <v>88</v>
      </c>
      <c r="J41" s="80">
        <v>4079</v>
      </c>
      <c r="K41" s="80">
        <v>21873</v>
      </c>
      <c r="L41" s="7">
        <v>3293</v>
      </c>
      <c r="M41" s="7"/>
      <c r="N41" s="80">
        <v>1063</v>
      </c>
      <c r="O41" s="80">
        <v>3939</v>
      </c>
      <c r="P41" s="80">
        <v>0</v>
      </c>
      <c r="Q41" s="7">
        <v>513</v>
      </c>
      <c r="R41" s="7"/>
      <c r="S41" s="80">
        <v>6073</v>
      </c>
      <c r="T41" s="81">
        <v>-725</v>
      </c>
      <c r="U41" s="81">
        <v>5348</v>
      </c>
    </row>
    <row r="42" spans="2:21">
      <c r="B42" s="78" t="s">
        <v>71</v>
      </c>
      <c r="C42" s="79">
        <v>1.2329000000000001E-3</v>
      </c>
      <c r="D42" s="79">
        <v>1.1410999999999999E-3</v>
      </c>
      <c r="E42" s="7">
        <v>1007.2350000000001</v>
      </c>
      <c r="F42" s="7">
        <v>-26443.8514</v>
      </c>
      <c r="G42" s="7">
        <v>-23050</v>
      </c>
      <c r="H42" s="192"/>
      <c r="I42" s="80">
        <v>25</v>
      </c>
      <c r="J42" s="80">
        <v>1145</v>
      </c>
      <c r="K42" s="80">
        <v>6141</v>
      </c>
      <c r="L42" s="7">
        <v>457</v>
      </c>
      <c r="M42" s="7"/>
      <c r="N42" s="80">
        <v>298</v>
      </c>
      <c r="O42" s="80">
        <v>1106</v>
      </c>
      <c r="P42" s="80">
        <v>0</v>
      </c>
      <c r="Q42" s="7">
        <v>1846</v>
      </c>
      <c r="R42" s="7"/>
      <c r="S42" s="80">
        <v>1705</v>
      </c>
      <c r="T42" s="81">
        <v>-1740</v>
      </c>
      <c r="U42" s="81">
        <v>-35</v>
      </c>
    </row>
    <row r="43" spans="2:21">
      <c r="B43" s="78" t="s">
        <v>72</v>
      </c>
      <c r="C43" s="79">
        <v>4.39733E-2</v>
      </c>
      <c r="D43" s="79">
        <v>4.36596E-2</v>
      </c>
      <c r="E43" s="7">
        <v>35923.354050000002</v>
      </c>
      <c r="F43" s="7">
        <v>-1011767.5704</v>
      </c>
      <c r="G43" s="7">
        <v>-822125</v>
      </c>
      <c r="H43" s="192"/>
      <c r="I43" s="80">
        <v>879</v>
      </c>
      <c r="J43" s="80">
        <v>40851</v>
      </c>
      <c r="K43" s="80">
        <v>219031</v>
      </c>
      <c r="L43" s="7">
        <v>0</v>
      </c>
      <c r="M43" s="7"/>
      <c r="N43" s="80">
        <v>10642</v>
      </c>
      <c r="O43" s="80">
        <v>39444</v>
      </c>
      <c r="P43" s="80">
        <v>0</v>
      </c>
      <c r="Q43" s="7">
        <v>10687</v>
      </c>
      <c r="R43" s="7"/>
      <c r="S43" s="80">
        <v>60815</v>
      </c>
      <c r="T43" s="81">
        <v>-7278</v>
      </c>
      <c r="U43" s="81">
        <v>53537</v>
      </c>
    </row>
    <row r="44" spans="2:21">
      <c r="B44" s="78" t="s">
        <v>73</v>
      </c>
      <c r="C44" s="79">
        <v>4.2215000000000004E-3</v>
      </c>
      <c r="D44" s="79">
        <v>4.3917000000000001E-3</v>
      </c>
      <c r="E44" s="7">
        <v>3448.6900500000006</v>
      </c>
      <c r="F44" s="7">
        <v>-101773.2558</v>
      </c>
      <c r="G44" s="7">
        <v>-78925</v>
      </c>
      <c r="H44" s="192"/>
      <c r="I44" s="80">
        <v>84.43</v>
      </c>
      <c r="J44" s="80">
        <v>3922</v>
      </c>
      <c r="K44" s="80">
        <v>21027</v>
      </c>
      <c r="L44" s="7">
        <v>2879</v>
      </c>
      <c r="M44" s="7"/>
      <c r="N44" s="80">
        <v>1022</v>
      </c>
      <c r="O44" s="80">
        <v>3787</v>
      </c>
      <c r="P44" s="80">
        <v>0</v>
      </c>
      <c r="Q44" s="7">
        <v>1256</v>
      </c>
      <c r="R44" s="7"/>
      <c r="S44" s="80">
        <v>5838</v>
      </c>
      <c r="T44" s="81">
        <v>-1320</v>
      </c>
      <c r="U44" s="81">
        <v>4518</v>
      </c>
    </row>
    <row r="45" spans="2:21">
      <c r="B45" s="78" t="s">
        <v>74</v>
      </c>
      <c r="C45" s="79">
        <v>1.2143599999999999E-2</v>
      </c>
      <c r="D45" s="79">
        <v>1.2464599999999999E-2</v>
      </c>
      <c r="E45" s="7">
        <v>9920.5729499999979</v>
      </c>
      <c r="F45" s="7">
        <v>-288854.64039999997</v>
      </c>
      <c r="G45" s="7">
        <v>-227037</v>
      </c>
      <c r="H45" s="192"/>
      <c r="I45" s="80">
        <v>243</v>
      </c>
      <c r="J45" s="80">
        <v>11281</v>
      </c>
      <c r="K45" s="80">
        <v>60487</v>
      </c>
      <c r="L45" s="7">
        <v>6235</v>
      </c>
      <c r="M45" s="7"/>
      <c r="N45" s="80">
        <v>2939</v>
      </c>
      <c r="O45" s="80">
        <v>10893</v>
      </c>
      <c r="P45" s="80">
        <v>0</v>
      </c>
      <c r="Q45" s="7">
        <v>2427</v>
      </c>
      <c r="R45" s="7"/>
      <c r="S45" s="80">
        <v>16795</v>
      </c>
      <c r="T45" s="81">
        <v>4293</v>
      </c>
      <c r="U45" s="81">
        <v>21088</v>
      </c>
    </row>
    <row r="46" spans="2:21">
      <c r="B46" s="78" t="s">
        <v>31</v>
      </c>
      <c r="C46" s="79">
        <v>7.4390999999999997E-3</v>
      </c>
      <c r="D46" s="79">
        <v>7.5659999999999998E-3</v>
      </c>
      <c r="E46" s="7">
        <v>6077.2612499999996</v>
      </c>
      <c r="F46" s="7">
        <v>-175334.484</v>
      </c>
      <c r="G46" s="7">
        <v>-139081</v>
      </c>
      <c r="H46" s="192"/>
      <c r="I46" s="80">
        <v>149</v>
      </c>
      <c r="J46" s="80">
        <v>6911</v>
      </c>
      <c r="K46" s="80">
        <v>37054</v>
      </c>
      <c r="L46" s="7">
        <v>2245</v>
      </c>
      <c r="M46" s="7"/>
      <c r="N46" s="80">
        <v>1800</v>
      </c>
      <c r="O46" s="80">
        <v>6673</v>
      </c>
      <c r="P46" s="80">
        <v>0</v>
      </c>
      <c r="Q46" s="7">
        <v>4267</v>
      </c>
      <c r="R46" s="7"/>
      <c r="S46" s="80">
        <v>10288</v>
      </c>
      <c r="T46" s="81">
        <v>-2157</v>
      </c>
      <c r="U46" s="81">
        <v>8131</v>
      </c>
    </row>
    <row r="47" spans="2:21">
      <c r="B47" s="78" t="s">
        <v>75</v>
      </c>
      <c r="C47" s="79">
        <v>1.4215500000000001E-2</v>
      </c>
      <c r="D47" s="79">
        <v>1.3649100000000001E-2</v>
      </c>
      <c r="E47" s="7">
        <v>11613.179700000001</v>
      </c>
      <c r="F47" s="7">
        <v>-316304.24340000004</v>
      </c>
      <c r="G47" s="7">
        <v>-265773</v>
      </c>
      <c r="H47" s="192"/>
      <c r="I47" s="80">
        <v>284.31</v>
      </c>
      <c r="J47" s="80">
        <v>13206</v>
      </c>
      <c r="K47" s="80">
        <v>70807</v>
      </c>
      <c r="L47" s="7">
        <v>0</v>
      </c>
      <c r="M47" s="7"/>
      <c r="N47" s="80">
        <v>3440</v>
      </c>
      <c r="O47" s="80">
        <v>12751</v>
      </c>
      <c r="P47" s="80">
        <v>0</v>
      </c>
      <c r="Q47" s="7">
        <v>14393</v>
      </c>
      <c r="R47" s="7"/>
      <c r="S47" s="80">
        <v>19660</v>
      </c>
      <c r="T47" s="81">
        <v>-11680</v>
      </c>
      <c r="U47" s="81">
        <v>7980</v>
      </c>
    </row>
    <row r="48" spans="2:21">
      <c r="B48" s="78" t="s">
        <v>76</v>
      </c>
      <c r="C48" s="79">
        <v>1.8568E-3</v>
      </c>
      <c r="D48" s="79">
        <v>1.8614E-3</v>
      </c>
      <c r="E48" s="7">
        <v>1516.8702499999997</v>
      </c>
      <c r="F48" s="7">
        <v>-43136.083599999998</v>
      </c>
      <c r="G48" s="7">
        <v>-34715</v>
      </c>
      <c r="H48" s="192"/>
      <c r="I48" s="80">
        <v>37</v>
      </c>
      <c r="J48" s="80">
        <v>1725</v>
      </c>
      <c r="K48" s="80">
        <v>9249</v>
      </c>
      <c r="L48" s="7">
        <v>594</v>
      </c>
      <c r="M48" s="7"/>
      <c r="N48" s="80">
        <v>449</v>
      </c>
      <c r="O48" s="80">
        <v>1666</v>
      </c>
      <c r="P48" s="80">
        <v>0</v>
      </c>
      <c r="Q48" s="7">
        <v>115</v>
      </c>
      <c r="R48" s="7"/>
      <c r="S48" s="80">
        <v>2568</v>
      </c>
      <c r="T48" s="81">
        <v>-112</v>
      </c>
      <c r="U48" s="81">
        <v>2456</v>
      </c>
    </row>
    <row r="49" spans="2:21">
      <c r="B49" s="78" t="s">
        <v>77</v>
      </c>
      <c r="C49" s="79">
        <v>5.0083999999999997E-3</v>
      </c>
      <c r="D49" s="79">
        <v>4.7543999999999998E-3</v>
      </c>
      <c r="E49" s="7">
        <v>4091.5599999999995</v>
      </c>
      <c r="F49" s="7">
        <v>-110178.4656</v>
      </c>
      <c r="G49" s="7">
        <v>-93637</v>
      </c>
      <c r="H49" s="192"/>
      <c r="I49" s="80">
        <v>100</v>
      </c>
      <c r="J49" s="80">
        <v>4653</v>
      </c>
      <c r="K49" s="80">
        <v>24947</v>
      </c>
      <c r="L49" s="7">
        <v>2539</v>
      </c>
      <c r="M49" s="7"/>
      <c r="N49" s="80">
        <v>1212</v>
      </c>
      <c r="O49" s="80">
        <v>4493</v>
      </c>
      <c r="P49" s="80">
        <v>0</v>
      </c>
      <c r="Q49" s="7">
        <v>4297</v>
      </c>
      <c r="R49" s="7"/>
      <c r="S49" s="80">
        <v>6927</v>
      </c>
      <c r="T49" s="81">
        <v>881</v>
      </c>
      <c r="U49" s="81">
        <v>7808</v>
      </c>
    </row>
    <row r="50" spans="2:21">
      <c r="B50" s="78" t="s">
        <v>78</v>
      </c>
      <c r="C50" s="79">
        <v>4.6650000000000001E-4</v>
      </c>
      <c r="D50" s="79">
        <v>4.6450000000000001E-4</v>
      </c>
      <c r="E50" s="7">
        <v>381.07780000000002</v>
      </c>
      <c r="F50" s="7">
        <v>-10764.323</v>
      </c>
      <c r="G50" s="7">
        <v>-8722</v>
      </c>
      <c r="H50" s="192"/>
      <c r="I50" s="80">
        <v>9.33</v>
      </c>
      <c r="J50" s="80">
        <v>433</v>
      </c>
      <c r="K50" s="80">
        <v>2324</v>
      </c>
      <c r="L50" s="7">
        <v>52</v>
      </c>
      <c r="M50" s="7"/>
      <c r="N50" s="80">
        <v>113</v>
      </c>
      <c r="O50" s="80">
        <v>418</v>
      </c>
      <c r="P50" s="80">
        <v>0</v>
      </c>
      <c r="Q50" s="7">
        <v>602</v>
      </c>
      <c r="R50" s="7"/>
      <c r="S50" s="80">
        <v>645</v>
      </c>
      <c r="T50" s="81">
        <v>-228</v>
      </c>
      <c r="U50" s="81">
        <v>417</v>
      </c>
    </row>
    <row r="51" spans="2:21">
      <c r="B51" s="78" t="s">
        <v>79</v>
      </c>
      <c r="C51" s="79">
        <v>2.0577100000000001E-2</v>
      </c>
      <c r="D51" s="79">
        <v>1.9471499999999999E-2</v>
      </c>
      <c r="E51" s="7">
        <v>16810.196250000001</v>
      </c>
      <c r="F51" s="7">
        <v>-451232.54099999997</v>
      </c>
      <c r="G51" s="7">
        <v>-384709</v>
      </c>
      <c r="H51" s="192"/>
      <c r="I51" s="80">
        <v>412</v>
      </c>
      <c r="J51" s="80">
        <v>19116</v>
      </c>
      <c r="K51" s="80">
        <v>102495</v>
      </c>
      <c r="L51" s="7">
        <v>329</v>
      </c>
      <c r="M51" s="7"/>
      <c r="N51" s="80">
        <v>4980</v>
      </c>
      <c r="O51" s="80">
        <v>18458</v>
      </c>
      <c r="P51" s="80">
        <v>0</v>
      </c>
      <c r="Q51" s="7">
        <v>25182</v>
      </c>
      <c r="R51" s="7"/>
      <c r="S51" s="80">
        <v>28458</v>
      </c>
      <c r="T51" s="81">
        <v>-11646</v>
      </c>
      <c r="U51" s="81">
        <v>16812</v>
      </c>
    </row>
    <row r="52" spans="2:21">
      <c r="B52" s="78" t="s">
        <v>80</v>
      </c>
      <c r="C52" s="79">
        <v>6.6058000000000002E-3</v>
      </c>
      <c r="D52" s="79">
        <v>4.7653000000000001E-3</v>
      </c>
      <c r="E52" s="7">
        <v>5396.4840000000004</v>
      </c>
      <c r="F52" s="7">
        <v>-110431.0622</v>
      </c>
      <c r="G52" s="7">
        <v>-123502</v>
      </c>
      <c r="H52" s="192"/>
      <c r="I52" s="80">
        <v>132</v>
      </c>
      <c r="J52" s="80">
        <v>6137</v>
      </c>
      <c r="K52" s="80">
        <v>32903</v>
      </c>
      <c r="L52" s="7">
        <v>0</v>
      </c>
      <c r="M52" s="7"/>
      <c r="N52" s="80">
        <v>1599</v>
      </c>
      <c r="O52" s="80">
        <v>5925</v>
      </c>
      <c r="P52" s="80">
        <v>0</v>
      </c>
      <c r="Q52" s="7">
        <v>32496</v>
      </c>
      <c r="R52" s="7"/>
      <c r="S52" s="80">
        <v>9136</v>
      </c>
      <c r="T52" s="81">
        <v>-14442</v>
      </c>
      <c r="U52" s="81">
        <v>-5307</v>
      </c>
    </row>
    <row r="53" spans="2:21">
      <c r="B53" s="78" t="s">
        <v>81</v>
      </c>
      <c r="C53" s="79">
        <v>1.98465E-2</v>
      </c>
      <c r="D53" s="79">
        <v>1.8983E-2</v>
      </c>
      <c r="E53" s="7">
        <v>16213.324999999999</v>
      </c>
      <c r="F53" s="7">
        <v>-439912.04200000002</v>
      </c>
      <c r="G53" s="7">
        <v>-371050</v>
      </c>
      <c r="H53" s="192"/>
      <c r="I53" s="80">
        <v>396.93</v>
      </c>
      <c r="J53" s="80">
        <v>18437</v>
      </c>
      <c r="K53" s="80">
        <v>98855</v>
      </c>
      <c r="L53" s="7">
        <v>2465</v>
      </c>
      <c r="M53" s="7"/>
      <c r="N53" s="80">
        <v>4803</v>
      </c>
      <c r="O53" s="80">
        <v>17802</v>
      </c>
      <c r="P53" s="80">
        <v>0</v>
      </c>
      <c r="Q53" s="7">
        <v>15881</v>
      </c>
      <c r="R53" s="7"/>
      <c r="S53" s="80">
        <v>27448</v>
      </c>
      <c r="T53" s="81">
        <v>-10480</v>
      </c>
      <c r="U53" s="81">
        <v>16968</v>
      </c>
    </row>
    <row r="54" spans="2:21">
      <c r="B54" s="78" t="s">
        <v>82</v>
      </c>
      <c r="C54" s="79">
        <v>8.3480000000000002E-4</v>
      </c>
      <c r="D54" s="79">
        <v>1.0701E-3</v>
      </c>
      <c r="E54" s="7">
        <v>681.96749999999997</v>
      </c>
      <c r="F54" s="7">
        <v>-24798.4974</v>
      </c>
      <c r="G54" s="7">
        <v>-15607</v>
      </c>
      <c r="H54" s="192"/>
      <c r="I54" s="80">
        <v>17</v>
      </c>
      <c r="J54" s="80">
        <v>776</v>
      </c>
      <c r="K54" s="80">
        <v>4158</v>
      </c>
      <c r="L54" s="7">
        <v>3980</v>
      </c>
      <c r="M54" s="7"/>
      <c r="N54" s="80">
        <v>202</v>
      </c>
      <c r="O54" s="80">
        <v>749</v>
      </c>
      <c r="P54" s="80">
        <v>0</v>
      </c>
      <c r="Q54" s="7">
        <v>897</v>
      </c>
      <c r="R54" s="7"/>
      <c r="S54" s="80">
        <v>1155</v>
      </c>
      <c r="T54" s="81">
        <v>371</v>
      </c>
      <c r="U54" s="81">
        <v>1525</v>
      </c>
    </row>
    <row r="55" spans="2:21">
      <c r="B55" s="78" t="s">
        <v>83</v>
      </c>
      <c r="C55" s="79">
        <v>5.7454000000000003E-3</v>
      </c>
      <c r="D55" s="79">
        <v>5.6010000000000001E-3</v>
      </c>
      <c r="E55" s="7">
        <v>4693.6549999999997</v>
      </c>
      <c r="F55" s="7">
        <v>-129797.57400000001</v>
      </c>
      <c r="G55" s="7">
        <v>-107416</v>
      </c>
      <c r="H55" s="192"/>
      <c r="I55" s="80">
        <v>115</v>
      </c>
      <c r="J55" s="80">
        <v>5337</v>
      </c>
      <c r="K55" s="80">
        <v>28618</v>
      </c>
      <c r="L55" s="7">
        <v>0</v>
      </c>
      <c r="M55" s="7"/>
      <c r="N55" s="80">
        <v>1390</v>
      </c>
      <c r="O55" s="80">
        <v>5154</v>
      </c>
      <c r="P55" s="80">
        <v>0</v>
      </c>
      <c r="Q55" s="7">
        <v>2991</v>
      </c>
      <c r="R55" s="7"/>
      <c r="S55" s="80">
        <v>7946</v>
      </c>
      <c r="T55" s="81">
        <v>-2889</v>
      </c>
      <c r="U55" s="81">
        <v>5057</v>
      </c>
    </row>
    <row r="56" spans="2:21">
      <c r="B56" s="78" t="s">
        <v>84</v>
      </c>
      <c r="C56" s="79">
        <v>3.5750000000000001E-3</v>
      </c>
      <c r="D56" s="79">
        <v>3.4470999999999998E-3</v>
      </c>
      <c r="E56" s="7">
        <v>2920.53</v>
      </c>
      <c r="F56" s="7">
        <v>-79883.095399999991</v>
      </c>
      <c r="G56" s="7">
        <v>-66838.2</v>
      </c>
      <c r="H56" s="192"/>
      <c r="I56" s="80">
        <v>71.5</v>
      </c>
      <c r="J56" s="80">
        <v>3321</v>
      </c>
      <c r="K56" s="80">
        <v>17807</v>
      </c>
      <c r="L56" s="7">
        <v>2436</v>
      </c>
      <c r="M56" s="7"/>
      <c r="N56" s="80">
        <v>865.15</v>
      </c>
      <c r="O56" s="80">
        <v>3207</v>
      </c>
      <c r="P56" s="80">
        <v>0</v>
      </c>
      <c r="Q56" s="7">
        <v>2650</v>
      </c>
      <c r="R56" s="7"/>
      <c r="S56" s="80">
        <v>4944</v>
      </c>
      <c r="T56" s="81">
        <v>-1315</v>
      </c>
      <c r="U56" s="81">
        <v>3629</v>
      </c>
    </row>
    <row r="57" spans="2:21">
      <c r="B57" s="78" t="s">
        <v>85</v>
      </c>
      <c r="C57" s="79">
        <v>8.9589999999999999E-3</v>
      </c>
      <c r="D57" s="79">
        <v>8.4183000000000001E-3</v>
      </c>
      <c r="E57" s="7">
        <v>7318.9193999999989</v>
      </c>
      <c r="F57" s="7">
        <v>-195085.68419999999</v>
      </c>
      <c r="G57" s="7">
        <v>-167497</v>
      </c>
      <c r="H57" s="192"/>
      <c r="I57" s="80">
        <v>179.18</v>
      </c>
      <c r="J57" s="80">
        <v>8323</v>
      </c>
      <c r="K57" s="80">
        <v>44625</v>
      </c>
      <c r="L57" s="7">
        <v>0</v>
      </c>
      <c r="M57" s="7"/>
      <c r="N57" s="80">
        <v>2168</v>
      </c>
      <c r="O57" s="80">
        <v>8036</v>
      </c>
      <c r="P57" s="80">
        <v>0</v>
      </c>
      <c r="Q57" s="7">
        <v>12119</v>
      </c>
      <c r="R57" s="7"/>
      <c r="S57" s="80">
        <v>12390</v>
      </c>
      <c r="T57" s="81">
        <v>-6850</v>
      </c>
      <c r="U57" s="81">
        <v>5540</v>
      </c>
    </row>
    <row r="58" spans="2:21">
      <c r="B58" s="78" t="s">
        <v>86</v>
      </c>
      <c r="C58" s="79">
        <v>4.2973000000000004E-3</v>
      </c>
      <c r="D58" s="79">
        <v>4.2405000000000003E-3</v>
      </c>
      <c r="E58" s="7">
        <v>3510.6058499999999</v>
      </c>
      <c r="F58" s="7">
        <v>-98269.347000000009</v>
      </c>
      <c r="G58" s="7">
        <v>-80342</v>
      </c>
      <c r="H58" s="192"/>
      <c r="I58" s="80">
        <v>86</v>
      </c>
      <c r="J58" s="80">
        <v>3992</v>
      </c>
      <c r="K58" s="80">
        <v>21405</v>
      </c>
      <c r="L58" s="7">
        <v>679</v>
      </c>
      <c r="M58" s="7"/>
      <c r="N58" s="80">
        <v>1040</v>
      </c>
      <c r="O58" s="80">
        <v>3855</v>
      </c>
      <c r="P58" s="80">
        <v>0</v>
      </c>
      <c r="Q58" s="7">
        <v>4113</v>
      </c>
      <c r="R58" s="7"/>
      <c r="S58" s="80">
        <v>5943</v>
      </c>
      <c r="T58" s="81">
        <v>364</v>
      </c>
      <c r="U58" s="81">
        <v>6307</v>
      </c>
    </row>
    <row r="59" spans="2:21">
      <c r="B59" s="78" t="s">
        <v>87</v>
      </c>
      <c r="C59" s="79">
        <v>5.1720000000000004E-3</v>
      </c>
      <c r="D59" s="79">
        <v>4.8856000000000004E-3</v>
      </c>
      <c r="E59" s="7">
        <v>4225.16</v>
      </c>
      <c r="F59" s="7">
        <v>-113218.8944</v>
      </c>
      <c r="G59" s="7">
        <v>-96696</v>
      </c>
      <c r="H59" s="192"/>
      <c r="I59" s="80">
        <v>103</v>
      </c>
      <c r="J59" s="80">
        <v>4805</v>
      </c>
      <c r="K59" s="80">
        <v>25762</v>
      </c>
      <c r="L59" s="7">
        <v>0</v>
      </c>
      <c r="M59" s="7"/>
      <c r="N59" s="80">
        <v>1252</v>
      </c>
      <c r="O59" s="80">
        <v>4639</v>
      </c>
      <c r="P59" s="80">
        <v>0</v>
      </c>
      <c r="Q59" s="7">
        <v>7363</v>
      </c>
      <c r="R59" s="7"/>
      <c r="S59" s="80">
        <v>7153</v>
      </c>
      <c r="T59" s="81">
        <v>-9331</v>
      </c>
      <c r="U59" s="81">
        <v>-2178</v>
      </c>
    </row>
    <row r="60" spans="2:21">
      <c r="B60" s="78" t="s">
        <v>88</v>
      </c>
      <c r="C60" s="79">
        <v>1.8517E-3</v>
      </c>
      <c r="D60" s="79">
        <v>1.8458000000000001E-3</v>
      </c>
      <c r="E60" s="7">
        <v>1512.7562499999999</v>
      </c>
      <c r="F60" s="7">
        <v>-42774.569200000005</v>
      </c>
      <c r="G60" s="7">
        <v>-34619</v>
      </c>
      <c r="H60" s="192"/>
      <c r="I60" s="80">
        <v>37</v>
      </c>
      <c r="J60" s="80">
        <v>1720</v>
      </c>
      <c r="K60" s="80">
        <v>9223</v>
      </c>
      <c r="L60" s="7">
        <v>270</v>
      </c>
      <c r="M60" s="7"/>
      <c r="N60" s="80">
        <v>448</v>
      </c>
      <c r="O60" s="80">
        <v>1661</v>
      </c>
      <c r="P60" s="80">
        <v>0</v>
      </c>
      <c r="Q60" s="7">
        <v>344</v>
      </c>
      <c r="R60" s="7"/>
      <c r="S60" s="80">
        <v>2561</v>
      </c>
      <c r="T60" s="81">
        <v>-1039</v>
      </c>
      <c r="U60" s="81">
        <v>1522</v>
      </c>
    </row>
    <row r="61" spans="2:21">
      <c r="B61" s="78" t="s">
        <v>89</v>
      </c>
      <c r="C61" s="79">
        <v>4.0070000000000001E-3</v>
      </c>
      <c r="D61" s="79">
        <v>3.7981999999999998E-3</v>
      </c>
      <c r="E61" s="7">
        <v>3273.5002500000001</v>
      </c>
      <c r="F61" s="7">
        <v>-88019.486799999999</v>
      </c>
      <c r="G61" s="7">
        <v>-74915</v>
      </c>
      <c r="H61" s="192"/>
      <c r="I61" s="80">
        <v>80.14</v>
      </c>
      <c r="J61" s="80">
        <v>3723</v>
      </c>
      <c r="K61" s="80">
        <v>19959</v>
      </c>
      <c r="L61" s="7">
        <v>395</v>
      </c>
      <c r="M61" s="7"/>
      <c r="N61" s="80">
        <v>970</v>
      </c>
      <c r="O61" s="80">
        <v>3594</v>
      </c>
      <c r="P61" s="80">
        <v>0</v>
      </c>
      <c r="Q61" s="7">
        <v>3665</v>
      </c>
      <c r="R61" s="7"/>
      <c r="S61" s="80">
        <v>5542</v>
      </c>
      <c r="T61" s="81">
        <v>-1828</v>
      </c>
      <c r="U61" s="81">
        <v>3714</v>
      </c>
    </row>
    <row r="62" spans="2:21">
      <c r="B62" s="78" t="s">
        <v>90</v>
      </c>
      <c r="C62" s="79">
        <v>7.9832E-2</v>
      </c>
      <c r="D62" s="79">
        <v>8.8390399999999994E-2</v>
      </c>
      <c r="E62" s="7">
        <v>65217.69049999999</v>
      </c>
      <c r="F62" s="7">
        <v>-2048359.1296000001</v>
      </c>
      <c r="G62" s="7">
        <v>-1492539</v>
      </c>
      <c r="H62" s="192"/>
      <c r="I62" s="80">
        <v>1596.64</v>
      </c>
      <c r="J62" s="80">
        <v>74164</v>
      </c>
      <c r="K62" s="80">
        <v>397643</v>
      </c>
      <c r="L62" s="7">
        <v>155634</v>
      </c>
      <c r="M62" s="7"/>
      <c r="N62" s="80">
        <v>19319</v>
      </c>
      <c r="O62" s="80">
        <v>71609</v>
      </c>
      <c r="P62" s="80">
        <v>0</v>
      </c>
      <c r="Q62" s="7">
        <v>10056</v>
      </c>
      <c r="R62" s="7"/>
      <c r="S62" s="80">
        <v>110408</v>
      </c>
      <c r="T62" s="81">
        <v>107021</v>
      </c>
      <c r="U62" s="81">
        <v>217428</v>
      </c>
    </row>
    <row r="63" spans="2:21">
      <c r="B63" s="78" t="s">
        <v>91</v>
      </c>
      <c r="C63" s="79">
        <v>1.5782999999999999E-3</v>
      </c>
      <c r="D63" s="79">
        <v>1.5759000000000001E-3</v>
      </c>
      <c r="E63" s="7">
        <v>1289.3441</v>
      </c>
      <c r="F63" s="7">
        <v>-36519.906600000002</v>
      </c>
      <c r="G63" s="7">
        <v>-29508</v>
      </c>
      <c r="H63" s="192"/>
      <c r="I63" s="80">
        <v>32</v>
      </c>
      <c r="J63" s="80">
        <v>1466</v>
      </c>
      <c r="K63" s="80">
        <v>7862</v>
      </c>
      <c r="L63" s="7">
        <v>659</v>
      </c>
      <c r="M63" s="7"/>
      <c r="N63" s="80">
        <v>382</v>
      </c>
      <c r="O63" s="80">
        <v>1416</v>
      </c>
      <c r="P63" s="80">
        <v>0</v>
      </c>
      <c r="Q63" s="7">
        <v>41</v>
      </c>
      <c r="R63" s="7"/>
      <c r="S63" s="80">
        <v>2183</v>
      </c>
      <c r="T63" s="81">
        <v>805</v>
      </c>
      <c r="U63" s="81">
        <v>2988</v>
      </c>
    </row>
    <row r="64" spans="2:21">
      <c r="B64" s="78" t="s">
        <v>92</v>
      </c>
      <c r="C64" s="79">
        <v>2.4842000000000002E-3</v>
      </c>
      <c r="D64" s="79">
        <v>2.4891000000000002E-3</v>
      </c>
      <c r="E64" s="7">
        <v>2029.41</v>
      </c>
      <c r="F64" s="7">
        <v>-57682.403400000003</v>
      </c>
      <c r="G64" s="7">
        <v>-46445</v>
      </c>
      <c r="H64" s="192"/>
      <c r="I64" s="80">
        <v>50</v>
      </c>
      <c r="J64" s="80">
        <v>2308</v>
      </c>
      <c r="K64" s="80">
        <v>12374</v>
      </c>
      <c r="L64" s="7">
        <v>83</v>
      </c>
      <c r="M64" s="7"/>
      <c r="N64" s="80">
        <v>601</v>
      </c>
      <c r="O64" s="80">
        <v>2228</v>
      </c>
      <c r="P64" s="80">
        <v>0</v>
      </c>
      <c r="Q64" s="7">
        <v>524</v>
      </c>
      <c r="R64" s="7"/>
      <c r="S64" s="80">
        <v>3436</v>
      </c>
      <c r="T64" s="81">
        <v>-1144</v>
      </c>
      <c r="U64" s="81">
        <v>2292</v>
      </c>
    </row>
    <row r="65" spans="2:21">
      <c r="B65" s="78" t="s">
        <v>93</v>
      </c>
      <c r="C65" s="79">
        <v>2.2974999999999999E-2</v>
      </c>
      <c r="D65" s="79">
        <v>1.29915E-2</v>
      </c>
      <c r="E65" s="7">
        <v>18769.080249999999</v>
      </c>
      <c r="F65" s="7">
        <v>-301065.02100000001</v>
      </c>
      <c r="G65" s="7">
        <v>-429540.6</v>
      </c>
      <c r="H65" s="192"/>
      <c r="I65" s="80">
        <v>459.5</v>
      </c>
      <c r="J65" s="80">
        <v>21344</v>
      </c>
      <c r="K65" s="80">
        <v>114438</v>
      </c>
      <c r="L65" s="7">
        <v>0</v>
      </c>
      <c r="M65" s="7"/>
      <c r="N65" s="80">
        <v>5559.95</v>
      </c>
      <c r="O65" s="80">
        <v>20609</v>
      </c>
      <c r="P65" s="80">
        <v>0</v>
      </c>
      <c r="Q65" s="7">
        <v>171966</v>
      </c>
      <c r="R65" s="7"/>
      <c r="S65" s="80">
        <v>31774</v>
      </c>
      <c r="T65" s="81">
        <v>-74669</v>
      </c>
      <c r="U65" s="81">
        <v>-42895</v>
      </c>
    </row>
    <row r="66" spans="2:21">
      <c r="B66" s="78" t="s">
        <v>94</v>
      </c>
      <c r="C66" s="79">
        <v>8.3230999999999999E-3</v>
      </c>
      <c r="D66" s="79">
        <v>8.3500999999999992E-3</v>
      </c>
      <c r="E66" s="7">
        <v>6799.4759999999997</v>
      </c>
      <c r="F66" s="7">
        <v>-193505.21739999999</v>
      </c>
      <c r="G66" s="7">
        <v>-155609</v>
      </c>
      <c r="H66" s="192"/>
      <c r="I66" s="80">
        <v>166</v>
      </c>
      <c r="J66" s="80">
        <v>7732</v>
      </c>
      <c r="K66" s="80">
        <v>41457</v>
      </c>
      <c r="L66" s="7">
        <v>1192</v>
      </c>
      <c r="M66" s="7"/>
      <c r="N66" s="80">
        <v>2014</v>
      </c>
      <c r="O66" s="80">
        <v>7466</v>
      </c>
      <c r="P66" s="80">
        <v>0</v>
      </c>
      <c r="Q66" s="7">
        <v>0</v>
      </c>
      <c r="R66" s="7"/>
      <c r="S66" s="80">
        <v>11511</v>
      </c>
      <c r="T66" s="81">
        <v>1699</v>
      </c>
      <c r="U66" s="81">
        <v>13210</v>
      </c>
    </row>
    <row r="67" spans="2:21">
      <c r="B67" s="78" t="s">
        <v>95</v>
      </c>
      <c r="C67" s="79">
        <v>2.7473600000000001E-2</v>
      </c>
      <c r="D67" s="79">
        <v>2.5998500000000001E-2</v>
      </c>
      <c r="E67" s="7">
        <v>22444.21875</v>
      </c>
      <c r="F67" s="7">
        <v>-602489.23900000006</v>
      </c>
      <c r="G67" s="7">
        <v>-513646</v>
      </c>
      <c r="H67" s="192"/>
      <c r="I67" s="80">
        <v>549</v>
      </c>
      <c r="J67" s="80">
        <v>25523</v>
      </c>
      <c r="K67" s="80">
        <v>136846</v>
      </c>
      <c r="L67" s="7">
        <v>1251</v>
      </c>
      <c r="M67" s="7"/>
      <c r="N67" s="80">
        <v>6649</v>
      </c>
      <c r="O67" s="80">
        <v>24644</v>
      </c>
      <c r="P67" s="80">
        <v>0</v>
      </c>
      <c r="Q67" s="7">
        <v>33771</v>
      </c>
      <c r="R67" s="7"/>
      <c r="S67" s="80">
        <v>37996</v>
      </c>
      <c r="T67" s="81">
        <v>-11623</v>
      </c>
      <c r="U67" s="81">
        <v>26373</v>
      </c>
    </row>
    <row r="68" spans="2:21">
      <c r="B68" s="78" t="s">
        <v>96</v>
      </c>
      <c r="C68" s="79">
        <v>1.7821E-3</v>
      </c>
      <c r="D68" s="79">
        <v>1.7045000000000001E-3</v>
      </c>
      <c r="E68" s="7">
        <v>1455.8775000000001</v>
      </c>
      <c r="F68" s="7">
        <v>-39500.082999999999</v>
      </c>
      <c r="G68" s="7">
        <v>-33318</v>
      </c>
      <c r="H68" s="192"/>
      <c r="I68" s="80">
        <v>36</v>
      </c>
      <c r="J68" s="80">
        <v>1656</v>
      </c>
      <c r="K68" s="80">
        <v>8877</v>
      </c>
      <c r="L68" s="7">
        <v>0</v>
      </c>
      <c r="M68" s="7"/>
      <c r="N68" s="80">
        <v>431</v>
      </c>
      <c r="O68" s="80">
        <v>1599</v>
      </c>
      <c r="P68" s="80">
        <v>0</v>
      </c>
      <c r="Q68" s="7">
        <v>1815</v>
      </c>
      <c r="R68" s="7"/>
      <c r="S68" s="80">
        <v>2465</v>
      </c>
      <c r="T68" s="81">
        <v>-1400</v>
      </c>
      <c r="U68" s="81">
        <v>1064</v>
      </c>
    </row>
    <row r="69" spans="2:21">
      <c r="B69" s="78" t="s">
        <v>97</v>
      </c>
      <c r="C69" s="79">
        <v>2.22189E-2</v>
      </c>
      <c r="D69" s="79">
        <v>2.28341E-2</v>
      </c>
      <c r="E69" s="7">
        <v>18151.389899999998</v>
      </c>
      <c r="F69" s="7">
        <v>-529157.43339999998</v>
      </c>
      <c r="G69" s="7">
        <v>-415405</v>
      </c>
      <c r="H69" s="192"/>
      <c r="I69" s="80">
        <v>444</v>
      </c>
      <c r="J69" s="80">
        <v>20641</v>
      </c>
      <c r="K69" s="80">
        <v>110672</v>
      </c>
      <c r="L69" s="7">
        <v>12760</v>
      </c>
      <c r="M69" s="7"/>
      <c r="N69" s="80">
        <v>5377</v>
      </c>
      <c r="O69" s="80">
        <v>19930</v>
      </c>
      <c r="P69" s="80">
        <v>0</v>
      </c>
      <c r="Q69" s="7">
        <v>446</v>
      </c>
      <c r="R69" s="7"/>
      <c r="S69" s="80">
        <v>30729</v>
      </c>
      <c r="T69" s="81">
        <v>15786</v>
      </c>
      <c r="U69" s="81">
        <v>46515</v>
      </c>
    </row>
    <row r="70" spans="2:21">
      <c r="B70" s="78" t="s">
        <v>98</v>
      </c>
      <c r="C70" s="79">
        <v>1.15307E-2</v>
      </c>
      <c r="D70" s="79">
        <v>1.09301E-2</v>
      </c>
      <c r="E70" s="7">
        <v>9419.8424500000019</v>
      </c>
      <c r="F70" s="7">
        <v>-253294.13740000001</v>
      </c>
      <c r="G70" s="7">
        <v>-215578</v>
      </c>
      <c r="H70" s="192"/>
      <c r="I70" s="80">
        <v>231</v>
      </c>
      <c r="J70" s="80">
        <v>10712</v>
      </c>
      <c r="K70" s="80">
        <v>57434</v>
      </c>
      <c r="L70" s="7">
        <v>710</v>
      </c>
      <c r="M70" s="7"/>
      <c r="N70" s="80">
        <v>2790</v>
      </c>
      <c r="O70" s="80">
        <v>10343</v>
      </c>
      <c r="P70" s="80">
        <v>0</v>
      </c>
      <c r="Q70" s="7">
        <v>13287</v>
      </c>
      <c r="R70" s="7"/>
      <c r="S70" s="80">
        <v>15947</v>
      </c>
      <c r="T70" s="81">
        <v>-3345</v>
      </c>
      <c r="U70" s="81">
        <v>12602</v>
      </c>
    </row>
    <row r="71" spans="2:21">
      <c r="B71" s="78" t="s">
        <v>99</v>
      </c>
      <c r="C71" s="79">
        <v>1.5663999999999999E-3</v>
      </c>
      <c r="D71" s="79">
        <v>1.3946E-3</v>
      </c>
      <c r="E71" s="7">
        <v>1279.6237499999997</v>
      </c>
      <c r="F71" s="7">
        <v>-32318.4604</v>
      </c>
      <c r="G71" s="7">
        <v>-29285</v>
      </c>
      <c r="H71" s="192"/>
      <c r="I71" s="80">
        <v>31</v>
      </c>
      <c r="J71" s="80">
        <v>1455</v>
      </c>
      <c r="K71" s="80">
        <v>7802</v>
      </c>
      <c r="L71" s="7">
        <v>718</v>
      </c>
      <c r="M71" s="7"/>
      <c r="N71" s="80">
        <v>379</v>
      </c>
      <c r="O71" s="80">
        <v>1405</v>
      </c>
      <c r="P71" s="80">
        <v>0</v>
      </c>
      <c r="Q71" s="7">
        <v>3068</v>
      </c>
      <c r="R71" s="7"/>
      <c r="S71" s="80">
        <v>2166</v>
      </c>
      <c r="T71" s="81">
        <v>-1436</v>
      </c>
      <c r="U71" s="81">
        <v>730</v>
      </c>
    </row>
    <row r="72" spans="2:21">
      <c r="B72" s="78" t="s">
        <v>100</v>
      </c>
      <c r="C72" s="79">
        <v>4.2376999999999996E-3</v>
      </c>
      <c r="D72" s="79">
        <v>4.1191999999999999E-3</v>
      </c>
      <c r="E72" s="7">
        <v>3461.8942499999994</v>
      </c>
      <c r="F72" s="7">
        <v>-95458.340800000005</v>
      </c>
      <c r="G72" s="7">
        <v>-79228</v>
      </c>
      <c r="H72" s="192"/>
      <c r="I72" s="80">
        <v>85</v>
      </c>
      <c r="J72" s="80">
        <v>3937</v>
      </c>
      <c r="K72" s="80">
        <v>21108</v>
      </c>
      <c r="L72" s="7">
        <v>956</v>
      </c>
      <c r="M72" s="7"/>
      <c r="N72" s="80">
        <v>1026</v>
      </c>
      <c r="O72" s="80">
        <v>3801</v>
      </c>
      <c r="P72" s="80">
        <v>0</v>
      </c>
      <c r="Q72" s="7">
        <v>2025</v>
      </c>
      <c r="R72" s="7"/>
      <c r="S72" s="80">
        <v>5861</v>
      </c>
      <c r="T72" s="81">
        <v>-153</v>
      </c>
      <c r="U72" s="81">
        <v>5708</v>
      </c>
    </row>
    <row r="73" spans="2:21">
      <c r="B73" s="78" t="s">
        <v>101</v>
      </c>
      <c r="C73" s="79">
        <v>7.2559E-3</v>
      </c>
      <c r="D73" s="79">
        <v>7.0577000000000001E-3</v>
      </c>
      <c r="E73" s="7">
        <v>5927.6201500000006</v>
      </c>
      <c r="F73" s="7">
        <v>-163555.1398</v>
      </c>
      <c r="G73" s="7">
        <v>-135656</v>
      </c>
      <c r="H73" s="192"/>
      <c r="I73" s="80">
        <v>145</v>
      </c>
      <c r="J73" s="80">
        <v>6741</v>
      </c>
      <c r="K73" s="80">
        <v>36142</v>
      </c>
      <c r="L73" s="7">
        <v>0</v>
      </c>
      <c r="M73" s="7"/>
      <c r="N73" s="80">
        <v>1756</v>
      </c>
      <c r="O73" s="80">
        <v>6509</v>
      </c>
      <c r="P73" s="80">
        <v>0</v>
      </c>
      <c r="Q73" s="7">
        <v>6422</v>
      </c>
      <c r="R73" s="7"/>
      <c r="S73" s="80">
        <v>10035</v>
      </c>
      <c r="T73" s="81">
        <v>-4648</v>
      </c>
      <c r="U73" s="81">
        <v>5387</v>
      </c>
    </row>
    <row r="74" spans="2:21">
      <c r="B74" s="78" t="s">
        <v>102</v>
      </c>
      <c r="C74" s="79">
        <v>1.4243000000000001E-3</v>
      </c>
      <c r="D74" s="79">
        <v>1.3423E-3</v>
      </c>
      <c r="E74" s="7">
        <v>1163.5722499999999</v>
      </c>
      <c r="F74" s="7">
        <v>-31106.460200000001</v>
      </c>
      <c r="G74" s="7">
        <v>-26629</v>
      </c>
      <c r="H74" s="192"/>
      <c r="I74" s="80">
        <v>28</v>
      </c>
      <c r="J74" s="80">
        <v>1323</v>
      </c>
      <c r="K74" s="80">
        <v>7094</v>
      </c>
      <c r="L74" s="7">
        <v>401</v>
      </c>
      <c r="M74" s="7"/>
      <c r="N74" s="80">
        <v>345</v>
      </c>
      <c r="O74" s="80">
        <v>1278</v>
      </c>
      <c r="P74" s="80">
        <v>0</v>
      </c>
      <c r="Q74" s="7">
        <v>1387</v>
      </c>
      <c r="R74" s="7"/>
      <c r="S74" s="80">
        <v>1970</v>
      </c>
      <c r="T74" s="81">
        <v>-110</v>
      </c>
      <c r="U74" s="81">
        <v>1860</v>
      </c>
    </row>
    <row r="75" spans="2:21">
      <c r="B75" s="78" t="s">
        <v>103</v>
      </c>
      <c r="C75" s="79">
        <v>3.5128999999999998E-3</v>
      </c>
      <c r="D75" s="79">
        <v>3.5444999999999999E-3</v>
      </c>
      <c r="E75" s="7">
        <v>2869.8204000000001</v>
      </c>
      <c r="F75" s="7">
        <v>-82140.243000000002</v>
      </c>
      <c r="G75" s="7">
        <v>-65677</v>
      </c>
      <c r="H75" s="192"/>
      <c r="I75" s="80">
        <v>70</v>
      </c>
      <c r="J75" s="80">
        <v>3263</v>
      </c>
      <c r="K75" s="80">
        <v>17498</v>
      </c>
      <c r="L75" s="7">
        <v>2153</v>
      </c>
      <c r="M75" s="7"/>
      <c r="N75" s="80">
        <v>850</v>
      </c>
      <c r="O75" s="80">
        <v>3151</v>
      </c>
      <c r="P75" s="80">
        <v>0</v>
      </c>
      <c r="Q75" s="7">
        <v>288</v>
      </c>
      <c r="R75" s="7"/>
      <c r="S75" s="80">
        <v>4858</v>
      </c>
      <c r="T75" s="81">
        <v>136</v>
      </c>
      <c r="U75" s="81">
        <v>4995</v>
      </c>
    </row>
    <row r="76" spans="2:21">
      <c r="B76" s="78" t="s">
        <v>104</v>
      </c>
      <c r="C76" s="79">
        <v>1.42188E-2</v>
      </c>
      <c r="D76" s="79">
        <v>1.45868E-2</v>
      </c>
      <c r="E76" s="7">
        <v>11615.87595</v>
      </c>
      <c r="F76" s="7">
        <v>-338034.50320000004</v>
      </c>
      <c r="G76" s="7">
        <v>-265835</v>
      </c>
      <c r="H76" s="192"/>
      <c r="I76" s="80">
        <v>284</v>
      </c>
      <c r="J76" s="80">
        <v>13209</v>
      </c>
      <c r="K76" s="80">
        <v>70824</v>
      </c>
      <c r="L76" s="7">
        <v>7900</v>
      </c>
      <c r="M76" s="7"/>
      <c r="N76" s="80">
        <v>3441</v>
      </c>
      <c r="O76" s="80">
        <v>12754</v>
      </c>
      <c r="P76" s="80">
        <v>0</v>
      </c>
      <c r="Q76" s="7">
        <v>736</v>
      </c>
      <c r="R76" s="7"/>
      <c r="S76" s="80">
        <v>19665</v>
      </c>
      <c r="T76" s="81">
        <v>342</v>
      </c>
      <c r="U76" s="81">
        <v>20007</v>
      </c>
    </row>
    <row r="77" spans="2:21">
      <c r="B77" s="78" t="s">
        <v>105</v>
      </c>
      <c r="C77" s="79">
        <v>2.2653999999999999E-3</v>
      </c>
      <c r="D77" s="79">
        <v>2.4053999999999998E-3</v>
      </c>
      <c r="E77" s="7">
        <v>1850.7225000000003</v>
      </c>
      <c r="F77" s="7">
        <v>-55742.739599999994</v>
      </c>
      <c r="G77" s="7">
        <v>-42354</v>
      </c>
      <c r="H77" s="192"/>
      <c r="I77" s="80">
        <v>45</v>
      </c>
      <c r="J77" s="80">
        <v>2105</v>
      </c>
      <c r="K77" s="80">
        <v>11284</v>
      </c>
      <c r="L77" s="7">
        <v>2368</v>
      </c>
      <c r="M77" s="7"/>
      <c r="N77" s="80">
        <v>548</v>
      </c>
      <c r="O77" s="80">
        <v>2032</v>
      </c>
      <c r="P77" s="80">
        <v>0</v>
      </c>
      <c r="Q77" s="7">
        <v>1853</v>
      </c>
      <c r="R77" s="7"/>
      <c r="S77" s="80">
        <v>3133</v>
      </c>
      <c r="T77" s="81">
        <v>-1312</v>
      </c>
      <c r="U77" s="81">
        <v>1821</v>
      </c>
    </row>
    <row r="78" spans="2:21">
      <c r="B78" s="78" t="s">
        <v>106</v>
      </c>
      <c r="C78" s="79">
        <v>1.1860799999999999E-2</v>
      </c>
      <c r="D78" s="79">
        <v>1.32129E-2</v>
      </c>
      <c r="E78" s="7">
        <v>9689.5300500000012</v>
      </c>
      <c r="F78" s="7">
        <v>-306195.74459999998</v>
      </c>
      <c r="G78" s="7">
        <v>-221750</v>
      </c>
      <c r="H78" s="192"/>
      <c r="I78" s="80">
        <v>237</v>
      </c>
      <c r="J78" s="80">
        <v>11019</v>
      </c>
      <c r="K78" s="80">
        <v>59079</v>
      </c>
      <c r="L78" s="7">
        <v>22872</v>
      </c>
      <c r="M78" s="7"/>
      <c r="N78" s="80">
        <v>2870</v>
      </c>
      <c r="O78" s="80">
        <v>10639</v>
      </c>
      <c r="P78" s="80">
        <v>0</v>
      </c>
      <c r="Q78" s="7">
        <v>12807</v>
      </c>
      <c r="R78" s="7"/>
      <c r="S78" s="80">
        <v>16403</v>
      </c>
      <c r="T78" s="81">
        <v>-3660</v>
      </c>
      <c r="U78" s="81">
        <v>12744</v>
      </c>
    </row>
    <row r="79" spans="2:21">
      <c r="B79" s="78" t="s">
        <v>107</v>
      </c>
      <c r="C79" s="79">
        <v>2.9551E-3</v>
      </c>
      <c r="D79" s="79">
        <v>2.8926999999999998E-3</v>
      </c>
      <c r="E79" s="7">
        <v>2414.1688500000005</v>
      </c>
      <c r="F79" s="7">
        <v>-67035.429799999998</v>
      </c>
      <c r="G79" s="7">
        <v>-55249</v>
      </c>
      <c r="H79" s="192"/>
      <c r="I79" s="80">
        <v>59</v>
      </c>
      <c r="J79" s="80">
        <v>2745</v>
      </c>
      <c r="K79" s="80">
        <v>14719</v>
      </c>
      <c r="L79" s="7">
        <v>0</v>
      </c>
      <c r="M79" s="7"/>
      <c r="N79" s="80">
        <v>715</v>
      </c>
      <c r="O79" s="80">
        <v>2651</v>
      </c>
      <c r="P79" s="80">
        <v>0</v>
      </c>
      <c r="Q79" s="7">
        <v>2107</v>
      </c>
      <c r="R79" s="7"/>
      <c r="S79" s="80">
        <v>4087</v>
      </c>
      <c r="T79" s="81">
        <v>-2369</v>
      </c>
      <c r="U79" s="81">
        <v>1718</v>
      </c>
    </row>
    <row r="80" spans="2:21">
      <c r="B80" s="78" t="s">
        <v>108</v>
      </c>
      <c r="C80" s="79">
        <v>8.4644000000000004E-3</v>
      </c>
      <c r="D80" s="79">
        <v>7.7958000000000003E-3</v>
      </c>
      <c r="E80" s="7">
        <v>6914.8409499999998</v>
      </c>
      <c r="F80" s="7">
        <v>-180659.86920000002</v>
      </c>
      <c r="G80" s="7">
        <v>-158250</v>
      </c>
      <c r="H80" s="192"/>
      <c r="I80" s="80">
        <v>169</v>
      </c>
      <c r="J80" s="80">
        <v>7863</v>
      </c>
      <c r="K80" s="80">
        <v>42161</v>
      </c>
      <c r="L80" s="7">
        <v>1363</v>
      </c>
      <c r="M80" s="7"/>
      <c r="N80" s="80">
        <v>2048</v>
      </c>
      <c r="O80" s="80">
        <v>7593</v>
      </c>
      <c r="P80" s="80">
        <v>0</v>
      </c>
      <c r="Q80" s="7">
        <v>12201</v>
      </c>
      <c r="R80" s="7"/>
      <c r="S80" s="80">
        <v>11706</v>
      </c>
      <c r="T80" s="81">
        <v>-8092</v>
      </c>
      <c r="U80" s="81">
        <v>3615</v>
      </c>
    </row>
    <row r="81" spans="2:21">
      <c r="B81" s="78" t="s">
        <v>109</v>
      </c>
      <c r="C81" s="79">
        <v>7.9863E-3</v>
      </c>
      <c r="D81" s="79">
        <v>8.1589999999999996E-3</v>
      </c>
      <c r="E81" s="7">
        <v>6524.3349500000013</v>
      </c>
      <c r="F81" s="7">
        <v>-189076.666</v>
      </c>
      <c r="G81" s="7">
        <v>-149312</v>
      </c>
      <c r="H81" s="192"/>
      <c r="I81" s="80">
        <v>160</v>
      </c>
      <c r="J81" s="80">
        <v>7419</v>
      </c>
      <c r="K81" s="80">
        <v>39780</v>
      </c>
      <c r="L81" s="7">
        <v>2921</v>
      </c>
      <c r="M81" s="7"/>
      <c r="N81" s="80">
        <v>1933</v>
      </c>
      <c r="O81" s="80">
        <v>7164</v>
      </c>
      <c r="P81" s="80">
        <v>0</v>
      </c>
      <c r="Q81" s="7">
        <v>1354</v>
      </c>
      <c r="R81" s="7"/>
      <c r="S81" s="80">
        <v>11045</v>
      </c>
      <c r="T81" s="81">
        <v>-2223</v>
      </c>
      <c r="U81" s="81">
        <v>8822</v>
      </c>
    </row>
    <row r="82" spans="2:21">
      <c r="B82" s="78" t="s">
        <v>110</v>
      </c>
      <c r="C82" s="79">
        <v>1.2933699999999999E-2</v>
      </c>
      <c r="D82" s="79">
        <v>1.2605999999999999E-2</v>
      </c>
      <c r="E82" s="7">
        <v>10566.008400000001</v>
      </c>
      <c r="F82" s="7">
        <v>-292131.44399999996</v>
      </c>
      <c r="G82" s="7">
        <v>-241808</v>
      </c>
      <c r="H82" s="192"/>
      <c r="I82" s="80">
        <v>259</v>
      </c>
      <c r="J82" s="80">
        <v>12015</v>
      </c>
      <c r="K82" s="80">
        <v>64423</v>
      </c>
      <c r="L82" s="7">
        <v>326</v>
      </c>
      <c r="M82" s="7"/>
      <c r="N82" s="80">
        <v>3130</v>
      </c>
      <c r="O82" s="80">
        <v>11602</v>
      </c>
      <c r="P82" s="80">
        <v>0</v>
      </c>
      <c r="Q82" s="7">
        <v>6321</v>
      </c>
      <c r="R82" s="7"/>
      <c r="S82" s="80">
        <v>17887</v>
      </c>
      <c r="T82" s="81">
        <v>-5955</v>
      </c>
      <c r="U82" s="81">
        <v>11932</v>
      </c>
    </row>
    <row r="83" spans="2:21">
      <c r="B83" s="78" t="s">
        <v>111</v>
      </c>
      <c r="C83" s="79">
        <v>6.5884000000000003E-3</v>
      </c>
      <c r="D83" s="79">
        <v>6.5573999999999997E-3</v>
      </c>
      <c r="E83" s="7">
        <v>5382.3012500000004</v>
      </c>
      <c r="F83" s="7">
        <v>-151961.1876</v>
      </c>
      <c r="G83" s="7">
        <v>-123177</v>
      </c>
      <c r="H83" s="192"/>
      <c r="I83" s="80">
        <v>132</v>
      </c>
      <c r="J83" s="80">
        <v>6121</v>
      </c>
      <c r="K83" s="80">
        <v>32817</v>
      </c>
      <c r="L83" s="7">
        <v>0</v>
      </c>
      <c r="M83" s="7"/>
      <c r="N83" s="80">
        <v>1594</v>
      </c>
      <c r="O83" s="80">
        <v>5910</v>
      </c>
      <c r="P83" s="80">
        <v>0</v>
      </c>
      <c r="Q83" s="7">
        <v>2570</v>
      </c>
      <c r="R83" s="7"/>
      <c r="S83" s="80">
        <v>9112</v>
      </c>
      <c r="T83" s="81">
        <v>-2528</v>
      </c>
      <c r="U83" s="81">
        <v>6583</v>
      </c>
    </row>
    <row r="84" spans="2:21">
      <c r="B84" s="78" t="s">
        <v>112</v>
      </c>
      <c r="C84" s="79">
        <v>5.0077999999999998E-3</v>
      </c>
      <c r="D84" s="79">
        <v>4.8568999999999999E-3</v>
      </c>
      <c r="E84" s="7">
        <v>4091.0224999999991</v>
      </c>
      <c r="F84" s="7">
        <v>-112553.8006</v>
      </c>
      <c r="G84" s="7">
        <v>-93626</v>
      </c>
      <c r="H84" s="192"/>
      <c r="I84" s="80">
        <v>100</v>
      </c>
      <c r="J84" s="80">
        <v>4652</v>
      </c>
      <c r="K84" s="80">
        <v>24944</v>
      </c>
      <c r="L84" s="7">
        <v>232</v>
      </c>
      <c r="M84" s="7"/>
      <c r="N84" s="80">
        <v>1212</v>
      </c>
      <c r="O84" s="80">
        <v>4492</v>
      </c>
      <c r="P84" s="80">
        <v>0</v>
      </c>
      <c r="Q84" s="7">
        <v>2961</v>
      </c>
      <c r="R84" s="7"/>
      <c r="S84" s="80">
        <v>6926</v>
      </c>
      <c r="T84" s="81">
        <v>-2925</v>
      </c>
      <c r="U84" s="81">
        <v>4001</v>
      </c>
    </row>
    <row r="85" spans="2:21">
      <c r="B85" s="78" t="s">
        <v>113</v>
      </c>
      <c r="C85" s="79">
        <v>3.0856999999999998E-3</v>
      </c>
      <c r="D85" s="79">
        <v>2.8443000000000001E-3</v>
      </c>
      <c r="E85" s="7">
        <v>2520.8401999999996</v>
      </c>
      <c r="F85" s="7">
        <v>-65913.808199999999</v>
      </c>
      <c r="G85" s="7">
        <v>-57690</v>
      </c>
      <c r="H85" s="192"/>
      <c r="I85" s="80">
        <v>62</v>
      </c>
      <c r="J85" s="80">
        <v>2867</v>
      </c>
      <c r="K85" s="80">
        <v>15370</v>
      </c>
      <c r="L85" s="7">
        <v>0</v>
      </c>
      <c r="M85" s="7"/>
      <c r="N85" s="80">
        <v>747</v>
      </c>
      <c r="O85" s="80">
        <v>2768</v>
      </c>
      <c r="P85" s="80">
        <v>0</v>
      </c>
      <c r="Q85" s="7">
        <v>4425</v>
      </c>
      <c r="R85" s="7"/>
      <c r="S85" s="80">
        <v>4268</v>
      </c>
      <c r="T85" s="81">
        <v>-2836</v>
      </c>
      <c r="U85" s="81">
        <v>1432</v>
      </c>
    </row>
    <row r="86" spans="2:21">
      <c r="B86" s="78" t="s">
        <v>114</v>
      </c>
      <c r="C86" s="79">
        <v>6.2223000000000001E-3</v>
      </c>
      <c r="D86" s="79">
        <v>5.8481000000000002E-3</v>
      </c>
      <c r="E86" s="7">
        <v>5083.1900999999998</v>
      </c>
      <c r="F86" s="7">
        <v>-135523.8694</v>
      </c>
      <c r="G86" s="7">
        <v>-116332</v>
      </c>
      <c r="H86" s="192"/>
      <c r="I86" s="80">
        <v>124</v>
      </c>
      <c r="J86" s="80">
        <v>5781</v>
      </c>
      <c r="K86" s="80">
        <v>30993</v>
      </c>
      <c r="L86" s="7">
        <v>0</v>
      </c>
      <c r="M86" s="7"/>
      <c r="N86" s="80">
        <v>1506</v>
      </c>
      <c r="O86" s="80">
        <v>5581</v>
      </c>
      <c r="P86" s="80">
        <v>0</v>
      </c>
      <c r="Q86" s="7">
        <v>9399</v>
      </c>
      <c r="R86" s="7"/>
      <c r="S86" s="80">
        <v>8605</v>
      </c>
      <c r="T86" s="81">
        <v>-6382</v>
      </c>
      <c r="U86" s="81">
        <v>2224</v>
      </c>
    </row>
    <row r="87" spans="2:21">
      <c r="B87" s="78" t="s">
        <v>115</v>
      </c>
      <c r="C87" s="79">
        <v>3.6819000000000001E-3</v>
      </c>
      <c r="D87" s="79">
        <v>3.8609E-3</v>
      </c>
      <c r="E87" s="7">
        <v>3007.9012499999999</v>
      </c>
      <c r="F87" s="7">
        <v>-89472.496599999999</v>
      </c>
      <c r="G87" s="7">
        <v>-68837</v>
      </c>
      <c r="H87" s="192"/>
      <c r="I87" s="80">
        <v>74</v>
      </c>
      <c r="J87" s="80">
        <v>3420</v>
      </c>
      <c r="K87" s="80">
        <v>18340</v>
      </c>
      <c r="L87" s="7">
        <v>3028</v>
      </c>
      <c r="M87" s="7"/>
      <c r="N87" s="80">
        <v>891</v>
      </c>
      <c r="O87" s="80">
        <v>3303</v>
      </c>
      <c r="P87" s="80">
        <v>0</v>
      </c>
      <c r="Q87" s="7">
        <v>2019</v>
      </c>
      <c r="R87" s="7"/>
      <c r="S87" s="80">
        <v>5092</v>
      </c>
      <c r="T87" s="81">
        <v>-930</v>
      </c>
      <c r="U87" s="81">
        <v>4162</v>
      </c>
    </row>
    <row r="88" spans="2:21">
      <c r="B88" s="78" t="s">
        <v>116</v>
      </c>
      <c r="C88" s="79">
        <v>7.1685999999999998E-3</v>
      </c>
      <c r="D88" s="79">
        <v>7.0705000000000004E-3</v>
      </c>
      <c r="E88" s="7">
        <v>5856.3202499999998</v>
      </c>
      <c r="F88" s="7">
        <v>-163851.76700000002</v>
      </c>
      <c r="G88" s="7">
        <v>-134024</v>
      </c>
      <c r="H88" s="192"/>
      <c r="I88" s="80">
        <v>143</v>
      </c>
      <c r="J88" s="80">
        <v>6660</v>
      </c>
      <c r="K88" s="80">
        <v>35707</v>
      </c>
      <c r="L88" s="7">
        <v>0</v>
      </c>
      <c r="M88" s="7"/>
      <c r="N88" s="80">
        <v>1735</v>
      </c>
      <c r="O88" s="80">
        <v>6430</v>
      </c>
      <c r="P88" s="80">
        <v>0</v>
      </c>
      <c r="Q88" s="7">
        <v>2170</v>
      </c>
      <c r="R88" s="7"/>
      <c r="S88" s="80">
        <v>9914</v>
      </c>
      <c r="T88" s="81">
        <v>-3015</v>
      </c>
      <c r="U88" s="81">
        <v>6899</v>
      </c>
    </row>
    <row r="89" spans="2:21">
      <c r="B89" s="78" t="s">
        <v>117</v>
      </c>
      <c r="C89" s="79">
        <v>3.0403000000000001E-3</v>
      </c>
      <c r="D89" s="79">
        <v>2.8243000000000001E-3</v>
      </c>
      <c r="E89" s="7">
        <v>2483.6921999999995</v>
      </c>
      <c r="F89" s="7">
        <v>-65450.328200000004</v>
      </c>
      <c r="G89" s="7">
        <v>-56841</v>
      </c>
      <c r="H89" s="192"/>
      <c r="I89" s="80">
        <v>61</v>
      </c>
      <c r="J89" s="80">
        <v>2824</v>
      </c>
      <c r="K89" s="80">
        <v>15144</v>
      </c>
      <c r="L89" s="7">
        <v>2419</v>
      </c>
      <c r="M89" s="7"/>
      <c r="N89" s="80">
        <v>736</v>
      </c>
      <c r="O89" s="80">
        <v>2727</v>
      </c>
      <c r="P89" s="80">
        <v>0</v>
      </c>
      <c r="Q89" s="7">
        <v>3673</v>
      </c>
      <c r="R89" s="7"/>
      <c r="S89" s="80">
        <v>4205</v>
      </c>
      <c r="T89" s="81">
        <v>10539</v>
      </c>
      <c r="U89" s="81">
        <v>14743</v>
      </c>
    </row>
    <row r="90" spans="2:21">
      <c r="B90" s="78" t="s">
        <v>118</v>
      </c>
      <c r="C90" s="79">
        <v>4.2072000000000003E-3</v>
      </c>
      <c r="D90" s="79">
        <v>4.1405000000000001E-3</v>
      </c>
      <c r="E90" s="7">
        <v>3437.0425</v>
      </c>
      <c r="F90" s="7">
        <v>-95951.947</v>
      </c>
      <c r="G90" s="7">
        <v>-78658</v>
      </c>
      <c r="H90" s="192"/>
      <c r="I90" s="80">
        <v>84</v>
      </c>
      <c r="J90" s="80">
        <v>3908</v>
      </c>
      <c r="K90" s="80">
        <v>20956</v>
      </c>
      <c r="L90" s="7">
        <v>0</v>
      </c>
      <c r="M90" s="7"/>
      <c r="N90" s="80">
        <v>1018</v>
      </c>
      <c r="O90" s="80">
        <v>3774</v>
      </c>
      <c r="P90" s="80">
        <v>0</v>
      </c>
      <c r="Q90" s="7">
        <v>1770</v>
      </c>
      <c r="R90" s="7"/>
      <c r="S90" s="80">
        <v>5819</v>
      </c>
      <c r="T90" s="81">
        <v>-1123</v>
      </c>
      <c r="U90" s="81">
        <v>4696</v>
      </c>
    </row>
    <row r="91" spans="2:21">
      <c r="B91" s="78" t="s">
        <v>119</v>
      </c>
      <c r="C91" s="79">
        <v>3.724E-4</v>
      </c>
      <c r="D91" s="79">
        <v>3.3819999999999998E-4</v>
      </c>
      <c r="E91" s="7">
        <v>304.23874999999998</v>
      </c>
      <c r="F91" s="7">
        <v>-7837.4467999999997</v>
      </c>
      <c r="G91" s="7">
        <v>-6962</v>
      </c>
      <c r="H91" s="192"/>
      <c r="I91" s="80">
        <v>7</v>
      </c>
      <c r="J91" s="80">
        <v>346</v>
      </c>
      <c r="K91" s="80">
        <v>1855</v>
      </c>
      <c r="L91" s="7">
        <v>719</v>
      </c>
      <c r="M91" s="7"/>
      <c r="N91" s="80">
        <v>90</v>
      </c>
      <c r="O91" s="80">
        <v>334</v>
      </c>
      <c r="P91" s="80">
        <v>0</v>
      </c>
      <c r="Q91" s="7">
        <v>658</v>
      </c>
      <c r="R91" s="7"/>
      <c r="S91" s="80">
        <v>515</v>
      </c>
      <c r="T91" s="81">
        <v>-40</v>
      </c>
      <c r="U91" s="81">
        <v>475</v>
      </c>
    </row>
    <row r="92" spans="2:21">
      <c r="B92" s="78" t="s">
        <v>120</v>
      </c>
      <c r="C92" s="79">
        <v>2.6073599999999999E-2</v>
      </c>
      <c r="D92" s="79">
        <v>2.6178099999999999E-2</v>
      </c>
      <c r="E92" s="7">
        <v>21300.441249999996</v>
      </c>
      <c r="F92" s="7">
        <v>-606651.28940000001</v>
      </c>
      <c r="G92" s="7">
        <v>-487472</v>
      </c>
      <c r="H92" s="192"/>
      <c r="I92" s="80">
        <v>521</v>
      </c>
      <c r="J92" s="80">
        <v>24222</v>
      </c>
      <c r="K92" s="80">
        <v>129873</v>
      </c>
      <c r="L92" s="7">
        <v>2731</v>
      </c>
      <c r="M92" s="7"/>
      <c r="N92" s="80">
        <v>6310</v>
      </c>
      <c r="O92" s="80">
        <v>23388</v>
      </c>
      <c r="P92" s="80">
        <v>0</v>
      </c>
      <c r="Q92" s="7">
        <v>9407</v>
      </c>
      <c r="R92" s="7"/>
      <c r="S92" s="80">
        <v>36060</v>
      </c>
      <c r="T92" s="81">
        <v>-2277</v>
      </c>
      <c r="U92" s="81">
        <v>33783</v>
      </c>
    </row>
    <row r="93" spans="2:21">
      <c r="B93" s="78" t="s">
        <v>121</v>
      </c>
      <c r="C93" s="79">
        <v>3.6116999999999998E-3</v>
      </c>
      <c r="D93" s="79">
        <v>3.7046000000000002E-3</v>
      </c>
      <c r="E93" s="7">
        <v>2950.4949999999999</v>
      </c>
      <c r="F93" s="7">
        <v>-85850.400399999999</v>
      </c>
      <c r="G93" s="7">
        <v>-67524</v>
      </c>
      <c r="H93" s="192"/>
      <c r="I93" s="80">
        <v>72</v>
      </c>
      <c r="J93" s="80">
        <v>3355</v>
      </c>
      <c r="K93" s="80">
        <v>17990</v>
      </c>
      <c r="L93" s="7">
        <v>2470</v>
      </c>
      <c r="M93" s="7"/>
      <c r="N93" s="80">
        <v>874</v>
      </c>
      <c r="O93" s="80">
        <v>3240</v>
      </c>
      <c r="P93" s="80">
        <v>0</v>
      </c>
      <c r="Q93" s="7">
        <v>408</v>
      </c>
      <c r="R93" s="7"/>
      <c r="S93" s="80">
        <v>4995</v>
      </c>
      <c r="T93" s="81">
        <v>-629</v>
      </c>
      <c r="U93" s="81">
        <v>4366</v>
      </c>
    </row>
    <row r="94" spans="2:21">
      <c r="B94" s="78" t="s">
        <v>122</v>
      </c>
      <c r="C94" s="79">
        <v>9.9709900000000004E-2</v>
      </c>
      <c r="D94" s="79">
        <v>0.1114588</v>
      </c>
      <c r="E94" s="7">
        <v>81456.690350000004</v>
      </c>
      <c r="F94" s="7">
        <v>-2582946.2311999998</v>
      </c>
      <c r="G94" s="7">
        <v>-1864176</v>
      </c>
      <c r="H94" s="192"/>
      <c r="I94" s="80">
        <v>1994</v>
      </c>
      <c r="J94" s="80">
        <v>92630</v>
      </c>
      <c r="K94" s="80">
        <v>496655</v>
      </c>
      <c r="L94" s="7">
        <v>207682</v>
      </c>
      <c r="M94" s="7"/>
      <c r="N94" s="80">
        <v>24130</v>
      </c>
      <c r="O94" s="80">
        <v>89440</v>
      </c>
      <c r="P94" s="80">
        <v>0</v>
      </c>
      <c r="Q94" s="7">
        <v>53956</v>
      </c>
      <c r="R94" s="7"/>
      <c r="S94" s="80">
        <v>137899</v>
      </c>
      <c r="T94" s="81">
        <v>83603</v>
      </c>
      <c r="U94" s="81">
        <v>221502</v>
      </c>
    </row>
    <row r="95" spans="2:21">
      <c r="B95" s="78" t="s">
        <v>123</v>
      </c>
      <c r="C95" s="79">
        <v>1.6083E-3</v>
      </c>
      <c r="D95" s="79">
        <v>1.408E-3</v>
      </c>
      <c r="E95" s="7">
        <v>1313.8489999999999</v>
      </c>
      <c r="F95" s="7">
        <v>-32628.991999999998</v>
      </c>
      <c r="G95" s="7">
        <v>-30069</v>
      </c>
      <c r="H95" s="192"/>
      <c r="I95" s="80">
        <v>32</v>
      </c>
      <c r="J95" s="80">
        <v>1494</v>
      </c>
      <c r="K95" s="80">
        <v>8011</v>
      </c>
      <c r="L95" s="7">
        <v>1219</v>
      </c>
      <c r="M95" s="7"/>
      <c r="N95" s="80">
        <v>389</v>
      </c>
      <c r="O95" s="80">
        <v>1443</v>
      </c>
      <c r="P95" s="80">
        <v>0</v>
      </c>
      <c r="Q95" s="7">
        <v>3388</v>
      </c>
      <c r="R95" s="7"/>
      <c r="S95" s="80">
        <v>2224</v>
      </c>
      <c r="T95" s="81">
        <v>-157</v>
      </c>
      <c r="U95" s="81">
        <v>2067</v>
      </c>
    </row>
    <row r="96" spans="2:21">
      <c r="B96" s="78" t="s">
        <v>124</v>
      </c>
      <c r="C96" s="79">
        <v>1.2009E-3</v>
      </c>
      <c r="D96" s="79">
        <v>1.2325000000000001E-3</v>
      </c>
      <c r="E96" s="7">
        <v>981.09375</v>
      </c>
      <c r="F96" s="7">
        <v>-28561.955000000002</v>
      </c>
      <c r="G96" s="7">
        <v>-22452</v>
      </c>
      <c r="H96" s="192"/>
      <c r="I96" s="80">
        <v>24</v>
      </c>
      <c r="J96" s="80">
        <v>1116</v>
      </c>
      <c r="K96" s="80">
        <v>5982</v>
      </c>
      <c r="L96" s="7">
        <v>535</v>
      </c>
      <c r="M96" s="7"/>
      <c r="N96" s="80">
        <v>291</v>
      </c>
      <c r="O96" s="80">
        <v>1077</v>
      </c>
      <c r="P96" s="80">
        <v>0</v>
      </c>
      <c r="Q96" s="7">
        <v>2476</v>
      </c>
      <c r="R96" s="7"/>
      <c r="S96" s="80">
        <v>1661</v>
      </c>
      <c r="T96" s="81">
        <v>-3145</v>
      </c>
      <c r="U96" s="81">
        <v>-1484</v>
      </c>
    </row>
    <row r="97" spans="2:21">
      <c r="B97" s="78" t="s">
        <v>125</v>
      </c>
      <c r="C97" s="79">
        <v>6.6734000000000003E-3</v>
      </c>
      <c r="D97" s="79">
        <v>6.5928999999999996E-3</v>
      </c>
      <c r="E97" s="7">
        <v>5451.7303499999998</v>
      </c>
      <c r="F97" s="7">
        <v>-152783.8646</v>
      </c>
      <c r="G97" s="7">
        <v>-124766</v>
      </c>
      <c r="H97" s="192"/>
      <c r="I97" s="80">
        <v>133</v>
      </c>
      <c r="J97" s="80">
        <v>6200</v>
      </c>
      <c r="K97" s="80">
        <v>33240</v>
      </c>
      <c r="L97" s="7">
        <v>415</v>
      </c>
      <c r="M97" s="7"/>
      <c r="N97" s="80">
        <v>1615</v>
      </c>
      <c r="O97" s="80">
        <v>5986</v>
      </c>
      <c r="P97" s="80">
        <v>0</v>
      </c>
      <c r="Q97" s="7">
        <v>3883</v>
      </c>
      <c r="R97" s="7"/>
      <c r="S97" s="80">
        <v>9229</v>
      </c>
      <c r="T97" s="81">
        <v>-601</v>
      </c>
      <c r="U97" s="81">
        <v>8629</v>
      </c>
    </row>
    <row r="98" spans="2:21">
      <c r="B98" s="78" t="s">
        <v>126</v>
      </c>
      <c r="C98" s="79">
        <v>9.8042000000000008E-3</v>
      </c>
      <c r="D98" s="79">
        <v>9.5604000000000001E-3</v>
      </c>
      <c r="E98" s="7">
        <v>8009.4172500000004</v>
      </c>
      <c r="F98" s="7">
        <v>-221552.7096</v>
      </c>
      <c r="G98" s="7">
        <v>-183299</v>
      </c>
      <c r="H98" s="192"/>
      <c r="I98" s="80">
        <v>196</v>
      </c>
      <c r="J98" s="80">
        <v>9108</v>
      </c>
      <c r="K98" s="80">
        <v>48835</v>
      </c>
      <c r="L98" s="7">
        <v>514</v>
      </c>
      <c r="M98" s="7"/>
      <c r="N98" s="80">
        <v>2373</v>
      </c>
      <c r="O98" s="80">
        <v>8794</v>
      </c>
      <c r="P98" s="80">
        <v>0</v>
      </c>
      <c r="Q98" s="7">
        <v>4616</v>
      </c>
      <c r="R98" s="7"/>
      <c r="S98" s="80">
        <v>13559</v>
      </c>
      <c r="T98" s="81">
        <v>-3771</v>
      </c>
      <c r="U98" s="81">
        <v>9788</v>
      </c>
    </row>
    <row r="99" spans="2:21">
      <c r="B99" s="78" t="s">
        <v>127</v>
      </c>
      <c r="C99" s="79">
        <v>6.1932000000000003E-3</v>
      </c>
      <c r="D99" s="79">
        <v>6.3542E-3</v>
      </c>
      <c r="E99" s="7">
        <v>5059.4672499999997</v>
      </c>
      <c r="F99" s="7">
        <v>-147252.23079999999</v>
      </c>
      <c r="G99" s="7">
        <v>-115788</v>
      </c>
      <c r="H99" s="192"/>
      <c r="I99" s="80">
        <v>124</v>
      </c>
      <c r="J99" s="80">
        <v>5753</v>
      </c>
      <c r="K99" s="80">
        <v>30848</v>
      </c>
      <c r="L99" s="7">
        <v>2723</v>
      </c>
      <c r="M99" s="7"/>
      <c r="N99" s="80">
        <v>1499</v>
      </c>
      <c r="O99" s="80">
        <v>5555</v>
      </c>
      <c r="P99" s="80">
        <v>0</v>
      </c>
      <c r="Q99" s="7">
        <v>1322</v>
      </c>
      <c r="R99" s="7"/>
      <c r="S99" s="80">
        <v>8565</v>
      </c>
      <c r="T99" s="81">
        <v>-2466</v>
      </c>
      <c r="U99" s="81">
        <v>6099</v>
      </c>
    </row>
    <row r="100" spans="2:21">
      <c r="B100" s="78" t="s">
        <v>128</v>
      </c>
      <c r="C100" s="79">
        <v>4.7648999999999999E-3</v>
      </c>
      <c r="D100" s="79">
        <v>4.7707000000000001E-3</v>
      </c>
      <c r="E100" s="7">
        <v>3892.6499999999996</v>
      </c>
      <c r="F100" s="7">
        <v>-110556.20180000001</v>
      </c>
      <c r="G100" s="7">
        <v>-89085</v>
      </c>
      <c r="H100" s="192"/>
      <c r="I100" s="80">
        <v>95</v>
      </c>
      <c r="J100" s="80">
        <v>4427</v>
      </c>
      <c r="K100" s="80">
        <v>23734</v>
      </c>
      <c r="L100" s="7">
        <v>1206</v>
      </c>
      <c r="M100" s="7"/>
      <c r="N100" s="80">
        <v>1153</v>
      </c>
      <c r="O100" s="80">
        <v>4274</v>
      </c>
      <c r="P100" s="80">
        <v>0</v>
      </c>
      <c r="Q100" s="7">
        <v>212</v>
      </c>
      <c r="R100" s="7"/>
      <c r="S100" s="80">
        <v>6590</v>
      </c>
      <c r="T100" s="81">
        <v>-94</v>
      </c>
      <c r="U100" s="81">
        <v>6496</v>
      </c>
    </row>
    <row r="101" spans="2:21">
      <c r="B101" s="78" t="s">
        <v>129</v>
      </c>
      <c r="C101" s="79">
        <v>3.2017E-3</v>
      </c>
      <c r="D101" s="79">
        <v>3.0948999999999998E-3</v>
      </c>
      <c r="E101" s="7">
        <v>2615.5949999999998</v>
      </c>
      <c r="F101" s="7">
        <v>-71721.212599999999</v>
      </c>
      <c r="G101" s="7">
        <v>-59859</v>
      </c>
      <c r="H101" s="192"/>
      <c r="I101" s="80">
        <v>64</v>
      </c>
      <c r="J101" s="80">
        <v>2974</v>
      </c>
      <c r="K101" s="80">
        <v>15948</v>
      </c>
      <c r="L101" s="7">
        <v>484</v>
      </c>
      <c r="M101" s="7"/>
      <c r="N101" s="80">
        <v>775</v>
      </c>
      <c r="O101" s="80">
        <v>2872</v>
      </c>
      <c r="P101" s="80">
        <v>0</v>
      </c>
      <c r="Q101" s="7">
        <v>2095</v>
      </c>
      <c r="R101" s="7"/>
      <c r="S101" s="80">
        <v>4428</v>
      </c>
      <c r="T101" s="81">
        <v>-1803</v>
      </c>
      <c r="U101" s="81">
        <v>2625</v>
      </c>
    </row>
    <row r="102" spans="2:21">
      <c r="B102" s="78" t="s">
        <v>130</v>
      </c>
      <c r="C102" s="79">
        <v>1.7052E-3</v>
      </c>
      <c r="D102" s="79">
        <v>1.7247E-3</v>
      </c>
      <c r="E102" s="7">
        <v>1393.0699500000001</v>
      </c>
      <c r="F102" s="7">
        <v>-39968.197800000002</v>
      </c>
      <c r="G102" s="7">
        <v>-31880</v>
      </c>
      <c r="H102" s="192"/>
      <c r="I102" s="80">
        <v>34</v>
      </c>
      <c r="J102" s="80">
        <v>1584</v>
      </c>
      <c r="K102" s="80">
        <v>8494</v>
      </c>
      <c r="L102" s="7">
        <v>1134</v>
      </c>
      <c r="M102" s="7"/>
      <c r="N102" s="80">
        <v>413</v>
      </c>
      <c r="O102" s="80">
        <v>1530</v>
      </c>
      <c r="P102" s="80">
        <v>0</v>
      </c>
      <c r="Q102" s="7">
        <v>274</v>
      </c>
      <c r="R102" s="7"/>
      <c r="S102" s="80">
        <v>2358</v>
      </c>
      <c r="T102" s="81">
        <v>-559</v>
      </c>
      <c r="U102" s="81">
        <v>1799</v>
      </c>
    </row>
    <row r="104" spans="2:21" s="82" customFormat="1">
      <c r="B104" s="82" t="s">
        <v>2</v>
      </c>
      <c r="E104" s="83">
        <f t="shared" ref="E104:F104" si="0">SUM(E3:E102)</f>
        <v>816936.21424999996</v>
      </c>
      <c r="F104" s="83">
        <f t="shared" si="0"/>
        <v>-23173999.999999996</v>
      </c>
      <c r="G104" s="83">
        <f>SUM(G3:G102)</f>
        <v>-18696000.799999997</v>
      </c>
      <c r="H104" s="84"/>
      <c r="I104" s="83">
        <f>SUM(I3:I102)</f>
        <v>19995.089999999997</v>
      </c>
      <c r="J104" s="83">
        <f>SUM(J3:J102)</f>
        <v>928994.125</v>
      </c>
      <c r="K104" s="83">
        <f>SUM(K3:K102)</f>
        <v>4981002</v>
      </c>
      <c r="L104" s="83">
        <f>SUM(L3:L102)</f>
        <v>823259</v>
      </c>
      <c r="M104" s="84"/>
      <c r="N104" s="83">
        <f>SUM(N3:N102)</f>
        <v>242003.35</v>
      </c>
      <c r="O104" s="83">
        <f>SUM(O3:O102)</f>
        <v>897004.125</v>
      </c>
      <c r="P104" s="83">
        <f>SUM(P3:P102)</f>
        <v>0</v>
      </c>
      <c r="Q104" s="83">
        <f>SUM(Q3:Q102)</f>
        <v>823263</v>
      </c>
      <c r="R104" s="84"/>
      <c r="S104" s="83">
        <f>SUM(S3:S102)</f>
        <v>1383003.875</v>
      </c>
      <c r="T104" s="83">
        <f>SUM(T3:T102)</f>
        <v>-6</v>
      </c>
      <c r="U104" s="83">
        <f>SUM(U3:U102)</f>
        <v>1382995</v>
      </c>
    </row>
    <row r="105" spans="2:21">
      <c r="C105" s="66"/>
      <c r="D105" s="66"/>
      <c r="E105" s="66"/>
      <c r="F105" s="66"/>
      <c r="G105" s="66"/>
      <c r="H105" s="66"/>
      <c r="I105" s="191"/>
      <c r="J105" s="191"/>
      <c r="K105" s="191"/>
      <c r="L105" s="191"/>
      <c r="M105" s="191"/>
      <c r="N105" s="191"/>
      <c r="O105" s="191"/>
      <c r="P105" s="191"/>
      <c r="Q105" s="191"/>
      <c r="R105" s="191"/>
      <c r="S105" s="191"/>
      <c r="T105" s="191"/>
      <c r="U105" s="191"/>
    </row>
    <row r="106" spans="2:21">
      <c r="C106" s="66"/>
      <c r="D106" s="66"/>
      <c r="E106" s="66"/>
      <c r="F106" s="66"/>
      <c r="G106" s="66"/>
      <c r="H106" s="66"/>
      <c r="I106" s="191"/>
      <c r="J106" s="191"/>
      <c r="K106" s="191"/>
      <c r="L106" s="191"/>
      <c r="M106" s="191"/>
      <c r="N106" s="191"/>
      <c r="O106" s="191"/>
      <c r="P106" s="191"/>
      <c r="Q106" s="191"/>
      <c r="R106" s="191"/>
      <c r="S106" s="191"/>
      <c r="T106" s="191"/>
      <c r="U106" s="191"/>
    </row>
  </sheetData>
  <pageMargins left="0.25" right="0.25" top="0.75" bottom="0.75" header="0.3" footer="0.3"/>
  <pageSetup paperSize="5" scale="57"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07"/>
  <sheetViews>
    <sheetView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9.140625" defaultRowHeight="15"/>
  <cols>
    <col min="1" max="1" width="3.42578125" style="5" customWidth="1"/>
    <col min="2" max="2" width="18.7109375" style="5" bestFit="1" customWidth="1"/>
    <col min="3" max="5" width="13.85546875" style="5" customWidth="1"/>
    <col min="6" max="6" width="14.5703125" style="5" customWidth="1"/>
    <col min="7" max="7" width="18.28515625" style="5" customWidth="1"/>
    <col min="8" max="8" width="3.85546875" style="5" customWidth="1"/>
    <col min="9" max="9" width="18.28515625" style="5" customWidth="1"/>
    <col min="10" max="10" width="20" style="5" customWidth="1"/>
    <col min="11" max="11" width="14.42578125" style="5" customWidth="1"/>
    <col min="12" max="12" width="19.42578125" style="5" customWidth="1"/>
    <col min="13" max="13" width="3.85546875" style="5" customWidth="1"/>
    <col min="14" max="14" width="18.28515625" style="5" customWidth="1"/>
    <col min="15" max="15" width="20" style="5" customWidth="1"/>
    <col min="16" max="16" width="14.42578125" style="5" customWidth="1"/>
    <col min="17" max="17" width="19.42578125" style="5" customWidth="1"/>
    <col min="18" max="18" width="3.85546875" style="5" customWidth="1"/>
    <col min="19" max="19" width="13.85546875" style="5" customWidth="1"/>
    <col min="20" max="20" width="22.42578125" style="5" customWidth="1"/>
    <col min="21" max="21" width="12.42578125" style="5" customWidth="1"/>
    <col min="22" max="16384" width="9.140625" style="5"/>
  </cols>
  <sheetData>
    <row r="1" spans="2:21">
      <c r="I1" s="77" t="s">
        <v>3</v>
      </c>
      <c r="J1" s="77"/>
      <c r="K1" s="77"/>
      <c r="L1" s="77"/>
      <c r="N1" s="77" t="s">
        <v>4</v>
      </c>
      <c r="O1" s="77"/>
      <c r="P1" s="77"/>
      <c r="Q1" s="77"/>
      <c r="S1" s="77" t="s">
        <v>5</v>
      </c>
      <c r="T1" s="77"/>
      <c r="U1" s="77"/>
    </row>
    <row r="2" spans="2:21" ht="120">
      <c r="B2" s="9" t="s">
        <v>161</v>
      </c>
      <c r="C2" s="9" t="s">
        <v>162</v>
      </c>
      <c r="D2" s="9" t="s">
        <v>163</v>
      </c>
      <c r="E2" s="9" t="s">
        <v>216</v>
      </c>
      <c r="F2" s="9" t="s">
        <v>168</v>
      </c>
      <c r="G2" s="9" t="s">
        <v>169</v>
      </c>
      <c r="H2" s="9"/>
      <c r="I2" s="9" t="s">
        <v>6</v>
      </c>
      <c r="J2" s="9" t="s">
        <v>7</v>
      </c>
      <c r="K2" s="9" t="s">
        <v>8</v>
      </c>
      <c r="L2" s="9" t="s">
        <v>9</v>
      </c>
      <c r="M2" s="9"/>
      <c r="N2" s="9" t="s">
        <v>6</v>
      </c>
      <c r="O2" s="9" t="s">
        <v>7</v>
      </c>
      <c r="P2" s="9" t="s">
        <v>8</v>
      </c>
      <c r="Q2" s="9" t="s">
        <v>9</v>
      </c>
      <c r="R2" s="9"/>
      <c r="S2" s="9" t="s">
        <v>10</v>
      </c>
      <c r="T2" s="9" t="s">
        <v>11</v>
      </c>
      <c r="U2" s="9" t="s">
        <v>12</v>
      </c>
    </row>
    <row r="3" spans="2:21">
      <c r="B3" s="78" t="s">
        <v>32</v>
      </c>
      <c r="C3" s="79">
        <v>1.57255E-2</v>
      </c>
      <c r="D3" s="146">
        <v>3.6038100000000003E-2</v>
      </c>
      <c r="E3" s="7">
        <v>12583.399449999994</v>
      </c>
      <c r="F3" s="7">
        <v>-816851</v>
      </c>
      <c r="G3" s="7">
        <v>-364422.73700000002</v>
      </c>
      <c r="H3" s="7"/>
      <c r="I3" s="80">
        <v>1792.7069999999999</v>
      </c>
      <c r="J3" s="80">
        <v>19499.62</v>
      </c>
      <c r="K3" s="80">
        <v>0</v>
      </c>
      <c r="L3" s="7">
        <v>317737.51019999996</v>
      </c>
      <c r="M3" s="7"/>
      <c r="N3" s="80">
        <v>6038.5919999999996</v>
      </c>
      <c r="O3" s="80">
        <v>1431.0205000000001</v>
      </c>
      <c r="P3" s="80">
        <v>0</v>
      </c>
      <c r="Q3" s="7">
        <v>51986.400000000009</v>
      </c>
      <c r="R3" s="7"/>
      <c r="S3" s="80">
        <v>-7878.4754999999996</v>
      </c>
      <c r="T3" s="81">
        <v>101104.14099999997</v>
      </c>
      <c r="U3" s="81">
        <v>93225.665499999974</v>
      </c>
    </row>
    <row r="4" spans="2:21">
      <c r="B4" s="78" t="s">
        <v>33</v>
      </c>
      <c r="C4" s="79">
        <v>2.8473999999999999E-3</v>
      </c>
      <c r="D4" s="146">
        <v>2.9199E-3</v>
      </c>
      <c r="E4" s="7">
        <v>2278.4737499999997</v>
      </c>
      <c r="F4" s="7">
        <v>-66171</v>
      </c>
      <c r="G4" s="7">
        <v>-65985.647599999997</v>
      </c>
      <c r="H4" s="7"/>
      <c r="I4" s="80">
        <v>324.60359999999997</v>
      </c>
      <c r="J4" s="80">
        <v>3530.7759999999998</v>
      </c>
      <c r="K4" s="80">
        <v>0</v>
      </c>
      <c r="L4" s="7">
        <v>1126.2240000000033</v>
      </c>
      <c r="M4" s="7"/>
      <c r="N4" s="80">
        <v>1093.4015999999999</v>
      </c>
      <c r="O4" s="80">
        <v>259.11340000000001</v>
      </c>
      <c r="P4" s="80">
        <v>0</v>
      </c>
      <c r="Q4" s="7">
        <v>2470.8000000000002</v>
      </c>
      <c r="R4" s="7"/>
      <c r="S4" s="80">
        <v>-1426.5473999999999</v>
      </c>
      <c r="T4" s="81">
        <v>-1547.0799999999986</v>
      </c>
      <c r="U4" s="81">
        <v>-2973.6273999999985</v>
      </c>
    </row>
    <row r="5" spans="2:21">
      <c r="B5" s="78" t="s">
        <v>34</v>
      </c>
      <c r="C5" s="79">
        <v>1.5223999999999999E-3</v>
      </c>
      <c r="D5" s="146">
        <v>1.5187E-3</v>
      </c>
      <c r="E5" s="7">
        <v>1218.2446499999999</v>
      </c>
      <c r="F5" s="7">
        <v>-34434</v>
      </c>
      <c r="G5" s="7">
        <v>-35280.097600000001</v>
      </c>
      <c r="H5" s="7"/>
      <c r="I5" s="80">
        <v>173.55359999999999</v>
      </c>
      <c r="J5" s="80">
        <v>1887.7759999999998</v>
      </c>
      <c r="K5" s="80">
        <v>0</v>
      </c>
      <c r="L5" s="7">
        <v>0</v>
      </c>
      <c r="M5" s="7"/>
      <c r="N5" s="80">
        <v>584.60159999999996</v>
      </c>
      <c r="O5" s="80">
        <v>138.5384</v>
      </c>
      <c r="P5" s="80">
        <v>0</v>
      </c>
      <c r="Q5" s="7">
        <v>500.0543999999984</v>
      </c>
      <c r="R5" s="7"/>
      <c r="S5" s="80">
        <v>-762.72239999999999</v>
      </c>
      <c r="T5" s="81">
        <v>-397.75199999999927</v>
      </c>
      <c r="U5" s="81">
        <v>-1160.4743999999992</v>
      </c>
    </row>
    <row r="6" spans="2:21">
      <c r="B6" s="78" t="s">
        <v>35</v>
      </c>
      <c r="C6" s="79">
        <v>1.7566999999999999E-3</v>
      </c>
      <c r="D6" s="146">
        <v>1.7796000000000001E-3</v>
      </c>
      <c r="E6" s="7">
        <v>1405.6987499999998</v>
      </c>
      <c r="F6" s="7">
        <v>-40339</v>
      </c>
      <c r="G6" s="7">
        <v>-40709.765800000001</v>
      </c>
      <c r="H6" s="7"/>
      <c r="I6" s="80">
        <v>200.2638</v>
      </c>
      <c r="J6" s="80">
        <v>2178.308</v>
      </c>
      <c r="K6" s="80">
        <v>0</v>
      </c>
      <c r="L6" s="7">
        <v>359.76599999999945</v>
      </c>
      <c r="M6" s="7"/>
      <c r="N6" s="80">
        <v>674.57279999999992</v>
      </c>
      <c r="O6" s="80">
        <v>159.8597</v>
      </c>
      <c r="P6" s="80">
        <v>0</v>
      </c>
      <c r="Q6" s="7">
        <v>702.00000000000011</v>
      </c>
      <c r="R6" s="7"/>
      <c r="S6" s="80">
        <v>-880.10669999999993</v>
      </c>
      <c r="T6" s="81">
        <v>-421.47000000000025</v>
      </c>
      <c r="U6" s="81">
        <v>-1301.5767000000001</v>
      </c>
    </row>
    <row r="7" spans="2:21">
      <c r="B7" s="78" t="s">
        <v>36</v>
      </c>
      <c r="C7" s="79">
        <v>3.5098999999999998E-3</v>
      </c>
      <c r="D7" s="146">
        <v>3.3547E-3</v>
      </c>
      <c r="E7" s="7">
        <v>2808.6210000000001</v>
      </c>
      <c r="F7" s="7">
        <v>-76038</v>
      </c>
      <c r="G7" s="7">
        <v>-81338.422599999991</v>
      </c>
      <c r="H7" s="7"/>
      <c r="I7" s="80">
        <v>400.12860000000001</v>
      </c>
      <c r="J7" s="80">
        <v>4352.2759999999998</v>
      </c>
      <c r="K7" s="80">
        <v>0</v>
      </c>
      <c r="L7" s="7">
        <v>0</v>
      </c>
      <c r="M7" s="7"/>
      <c r="N7" s="80">
        <v>1347.8016</v>
      </c>
      <c r="O7" s="80">
        <v>319.40089999999998</v>
      </c>
      <c r="P7" s="80">
        <v>0</v>
      </c>
      <c r="Q7" s="7">
        <v>2659.2384000000006</v>
      </c>
      <c r="R7" s="7"/>
      <c r="S7" s="80">
        <v>-1758.4598999999998</v>
      </c>
      <c r="T7" s="81">
        <v>-1296.4720000000002</v>
      </c>
      <c r="U7" s="81">
        <v>-3054.9319</v>
      </c>
    </row>
    <row r="8" spans="2:21">
      <c r="B8" s="78" t="s">
        <v>37</v>
      </c>
      <c r="C8" s="79">
        <v>2.6254E-3</v>
      </c>
      <c r="D8" s="146">
        <v>2.8855999999999999E-3</v>
      </c>
      <c r="E8" s="7">
        <v>2100.7804999999994</v>
      </c>
      <c r="F8" s="7">
        <v>-65403</v>
      </c>
      <c r="G8" s="7">
        <v>-60841.0196</v>
      </c>
      <c r="H8" s="7"/>
      <c r="I8" s="80">
        <v>299.29559999999998</v>
      </c>
      <c r="J8" s="80">
        <v>3255.4960000000001</v>
      </c>
      <c r="K8" s="80">
        <v>0</v>
      </c>
      <c r="L8" s="7">
        <v>4068.484200000004</v>
      </c>
      <c r="M8" s="7"/>
      <c r="N8" s="80">
        <v>1008.1536</v>
      </c>
      <c r="O8" s="80">
        <v>238.91139999999999</v>
      </c>
      <c r="P8" s="80">
        <v>0</v>
      </c>
      <c r="Q8" s="7">
        <v>388.80000000000007</v>
      </c>
      <c r="R8" s="7"/>
      <c r="S8" s="80">
        <v>-1315.3253999999999</v>
      </c>
      <c r="T8" s="81">
        <v>1525.3110000000017</v>
      </c>
      <c r="U8" s="81">
        <v>209.9856000000018</v>
      </c>
    </row>
    <row r="9" spans="2:21">
      <c r="B9" s="78" t="s">
        <v>38</v>
      </c>
      <c r="C9" s="79">
        <v>4.2408999999999997E-3</v>
      </c>
      <c r="D9" s="146">
        <v>4.5132999999999996E-3</v>
      </c>
      <c r="E9" s="7">
        <v>3393.5587500000001</v>
      </c>
      <c r="F9" s="7">
        <v>-102287</v>
      </c>
      <c r="G9" s="7">
        <v>-98278.616599999994</v>
      </c>
      <c r="H9" s="7"/>
      <c r="I9" s="80">
        <v>483.46259999999995</v>
      </c>
      <c r="J9" s="80">
        <v>5258.7159999999994</v>
      </c>
      <c r="K9" s="80">
        <v>0</v>
      </c>
      <c r="L9" s="7">
        <v>4880.6598000000095</v>
      </c>
      <c r="M9" s="7"/>
      <c r="N9" s="80">
        <v>1628.5056</v>
      </c>
      <c r="O9" s="80">
        <v>385.92189999999999</v>
      </c>
      <c r="P9" s="80">
        <v>0</v>
      </c>
      <c r="Q9" s="7">
        <v>0</v>
      </c>
      <c r="R9" s="7"/>
      <c r="S9" s="80">
        <v>-2124.6909000000001</v>
      </c>
      <c r="T9" s="81">
        <v>2456.2090000000044</v>
      </c>
      <c r="U9" s="81">
        <v>331.51810000000432</v>
      </c>
    </row>
    <row r="10" spans="2:21">
      <c r="B10" s="78" t="s">
        <v>39</v>
      </c>
      <c r="C10" s="79">
        <v>1.1998E-3</v>
      </c>
      <c r="D10" s="146">
        <v>1.2285E-3</v>
      </c>
      <c r="E10" s="7">
        <v>960.0501999999999</v>
      </c>
      <c r="F10" s="7">
        <v>-27841</v>
      </c>
      <c r="G10" s="7">
        <v>-27804.165199999999</v>
      </c>
      <c r="H10" s="7"/>
      <c r="I10" s="80">
        <v>136.77719999999999</v>
      </c>
      <c r="J10" s="80">
        <v>1487.752</v>
      </c>
      <c r="K10" s="80">
        <v>0</v>
      </c>
      <c r="L10" s="7">
        <v>445.79700000000224</v>
      </c>
      <c r="M10" s="7"/>
      <c r="N10" s="80">
        <v>460.72320000000002</v>
      </c>
      <c r="O10" s="80">
        <v>109.1818</v>
      </c>
      <c r="P10" s="80">
        <v>0</v>
      </c>
      <c r="Q10" s="7">
        <v>324.00000000000006</v>
      </c>
      <c r="R10" s="7"/>
      <c r="S10" s="80">
        <v>-601.09979999999996</v>
      </c>
      <c r="T10" s="81">
        <v>-67.364999999998986</v>
      </c>
      <c r="U10" s="81">
        <v>-668.46479999999895</v>
      </c>
    </row>
    <row r="11" spans="2:21">
      <c r="B11" s="78" t="s">
        <v>40</v>
      </c>
      <c r="C11" s="79">
        <v>2.5879000000000002E-3</v>
      </c>
      <c r="D11" s="146">
        <v>2.5866999999999999E-3</v>
      </c>
      <c r="E11" s="7">
        <v>2070.7919999999999</v>
      </c>
      <c r="F11" s="7">
        <v>-58641</v>
      </c>
      <c r="G11" s="7">
        <v>-59971.994600000005</v>
      </c>
      <c r="H11" s="7"/>
      <c r="I11" s="80">
        <v>295.0206</v>
      </c>
      <c r="J11" s="80">
        <v>3208.9960000000001</v>
      </c>
      <c r="K11" s="80">
        <v>0</v>
      </c>
      <c r="L11" s="7">
        <v>0</v>
      </c>
      <c r="M11" s="7"/>
      <c r="N11" s="80">
        <v>993.75360000000012</v>
      </c>
      <c r="O11" s="80">
        <v>235.49890000000002</v>
      </c>
      <c r="P11" s="80">
        <v>0</v>
      </c>
      <c r="Q11" s="7">
        <v>2608.9494000000032</v>
      </c>
      <c r="R11" s="7"/>
      <c r="S11" s="80">
        <v>-1296.5379</v>
      </c>
      <c r="T11" s="81">
        <v>-2169.9770000000012</v>
      </c>
      <c r="U11" s="81">
        <v>-3466.514900000001</v>
      </c>
    </row>
    <row r="12" spans="2:21">
      <c r="B12" s="78" t="s">
        <v>41</v>
      </c>
      <c r="C12" s="79">
        <v>2.1004100000000001E-2</v>
      </c>
      <c r="D12" s="146">
        <v>2.0997700000000001E-2</v>
      </c>
      <c r="E12" s="7">
        <v>16807.225499999997</v>
      </c>
      <c r="F12" s="7">
        <v>-475927</v>
      </c>
      <c r="G12" s="7">
        <v>-486749.01340000005</v>
      </c>
      <c r="H12" s="7"/>
      <c r="I12" s="80">
        <v>2394.4674</v>
      </c>
      <c r="J12" s="80">
        <v>26045.084000000003</v>
      </c>
      <c r="K12" s="80">
        <v>0</v>
      </c>
      <c r="L12" s="7">
        <v>0</v>
      </c>
      <c r="M12" s="7"/>
      <c r="N12" s="80">
        <v>8065.5744000000004</v>
      </c>
      <c r="O12" s="80">
        <v>1911.3731</v>
      </c>
      <c r="P12" s="80">
        <v>0</v>
      </c>
      <c r="Q12" s="7">
        <v>8246.8014000000239</v>
      </c>
      <c r="R12" s="7"/>
      <c r="S12" s="80">
        <v>-10523.054100000001</v>
      </c>
      <c r="T12" s="81">
        <v>-6832.6370000000106</v>
      </c>
      <c r="U12" s="81">
        <v>-17355.691100000011</v>
      </c>
    </row>
    <row r="13" spans="2:21">
      <c r="B13" s="78" t="s">
        <v>42</v>
      </c>
      <c r="C13" s="79">
        <v>3.4609600000000004E-2</v>
      </c>
      <c r="D13" s="146">
        <v>3.14831E-2</v>
      </c>
      <c r="E13" s="7">
        <v>27694.156100000007</v>
      </c>
      <c r="F13" s="7">
        <v>-713594</v>
      </c>
      <c r="G13" s="7">
        <v>-802042.87040000013</v>
      </c>
      <c r="H13" s="7"/>
      <c r="I13" s="80">
        <v>3945.4944000000005</v>
      </c>
      <c r="J13" s="80">
        <v>42915.904000000002</v>
      </c>
      <c r="K13" s="80">
        <v>0</v>
      </c>
      <c r="L13" s="7">
        <v>0</v>
      </c>
      <c r="M13" s="7"/>
      <c r="N13" s="80">
        <v>13290.086400000002</v>
      </c>
      <c r="O13" s="80">
        <v>3149.4736000000003</v>
      </c>
      <c r="P13" s="80">
        <v>0</v>
      </c>
      <c r="Q13" s="7">
        <v>55982.677200000129</v>
      </c>
      <c r="R13" s="7"/>
      <c r="S13" s="80">
        <v>-17339.409600000003</v>
      </c>
      <c r="T13" s="81">
        <v>-28127.126000000055</v>
      </c>
      <c r="U13" s="81">
        <v>-45466.535600000061</v>
      </c>
    </row>
    <row r="14" spans="2:21">
      <c r="B14" s="78" t="s">
        <v>43</v>
      </c>
      <c r="C14" s="79">
        <v>8.3555000000000001E-3</v>
      </c>
      <c r="D14" s="146">
        <v>7.6769999999999998E-3</v>
      </c>
      <c r="E14" s="7">
        <v>6686.0005500000007</v>
      </c>
      <c r="F14" s="7">
        <v>-174018</v>
      </c>
      <c r="G14" s="7">
        <v>-193630.35699999999</v>
      </c>
      <c r="H14" s="7"/>
      <c r="I14" s="80">
        <v>952.52700000000004</v>
      </c>
      <c r="J14" s="80">
        <v>10360.82</v>
      </c>
      <c r="K14" s="80">
        <v>0</v>
      </c>
      <c r="L14" s="7">
        <v>0</v>
      </c>
      <c r="M14" s="7"/>
      <c r="N14" s="80">
        <v>3208.5120000000002</v>
      </c>
      <c r="O14" s="80">
        <v>760.35050000000001</v>
      </c>
      <c r="P14" s="80">
        <v>0</v>
      </c>
      <c r="Q14" s="7">
        <v>16359.276000000009</v>
      </c>
      <c r="R14" s="7"/>
      <c r="S14" s="80">
        <v>-4186.1054999999997</v>
      </c>
      <c r="T14" s="81">
        <v>-9615.5800000000017</v>
      </c>
      <c r="U14" s="81">
        <v>-13801.685500000001</v>
      </c>
    </row>
    <row r="15" spans="2:21">
      <c r="B15" s="78" t="s">
        <v>44</v>
      </c>
      <c r="C15" s="79">
        <v>2.2662600000000001E-2</v>
      </c>
      <c r="D15" s="146">
        <v>2.1427600000000002E-2</v>
      </c>
      <c r="E15" s="7">
        <v>18134.377500000002</v>
      </c>
      <c r="F15" s="7">
        <v>-485676</v>
      </c>
      <c r="G15" s="7">
        <v>-525183.09240000008</v>
      </c>
      <c r="H15" s="7"/>
      <c r="I15" s="80">
        <v>2583.5364</v>
      </c>
      <c r="J15" s="80">
        <v>28101.624000000003</v>
      </c>
      <c r="K15" s="80">
        <v>0</v>
      </c>
      <c r="L15" s="7">
        <v>1653.6000000000001</v>
      </c>
      <c r="M15" s="7"/>
      <c r="N15" s="80">
        <v>8702.4384000000009</v>
      </c>
      <c r="O15" s="80">
        <v>2062.2966000000001</v>
      </c>
      <c r="P15" s="80">
        <v>0</v>
      </c>
      <c r="Q15" s="7">
        <v>19319.434200000025</v>
      </c>
      <c r="R15" s="7"/>
      <c r="S15" s="80">
        <v>-11353.962600000001</v>
      </c>
      <c r="T15" s="81">
        <v>-7403.5610000000106</v>
      </c>
      <c r="U15" s="81">
        <v>-18757.523600000011</v>
      </c>
    </row>
    <row r="16" spans="2:21">
      <c r="B16" s="78" t="s">
        <v>45</v>
      </c>
      <c r="C16" s="79">
        <v>7.2118E-3</v>
      </c>
      <c r="D16" s="146">
        <v>7.6574E-3</v>
      </c>
      <c r="E16" s="7">
        <v>5770.7865000000002</v>
      </c>
      <c r="F16" s="7">
        <v>-173558</v>
      </c>
      <c r="G16" s="7">
        <v>-167126.25320000001</v>
      </c>
      <c r="H16" s="7"/>
      <c r="I16" s="80">
        <v>822.14520000000005</v>
      </c>
      <c r="J16" s="80">
        <v>8942.6319999999996</v>
      </c>
      <c r="K16" s="80">
        <v>0</v>
      </c>
      <c r="L16" s="7">
        <v>6966.9468000000033</v>
      </c>
      <c r="M16" s="7"/>
      <c r="N16" s="80">
        <v>2769.3312000000001</v>
      </c>
      <c r="O16" s="80">
        <v>656.27380000000005</v>
      </c>
      <c r="P16" s="80">
        <v>0</v>
      </c>
      <c r="Q16" s="7">
        <v>6775.2000000000007</v>
      </c>
      <c r="R16" s="7"/>
      <c r="S16" s="80">
        <v>-3613.1118000000001</v>
      </c>
      <c r="T16" s="81">
        <v>-2479.2059999999988</v>
      </c>
      <c r="U16" s="81">
        <v>-6092.3177999999989</v>
      </c>
    </row>
    <row r="17" spans="2:21">
      <c r="B17" s="78" t="s">
        <v>46</v>
      </c>
      <c r="C17" s="79">
        <v>9.5220000000000005E-4</v>
      </c>
      <c r="D17" s="146">
        <v>1.0104000000000001E-3</v>
      </c>
      <c r="E17" s="7">
        <v>761.97045000000003</v>
      </c>
      <c r="F17" s="7">
        <v>-22909</v>
      </c>
      <c r="G17" s="7">
        <v>-22066.282800000001</v>
      </c>
      <c r="H17" s="7"/>
      <c r="I17" s="80">
        <v>108.55080000000001</v>
      </c>
      <c r="J17" s="80">
        <v>1180.7280000000001</v>
      </c>
      <c r="K17" s="80">
        <v>0</v>
      </c>
      <c r="L17" s="7">
        <v>1877.4569999999997</v>
      </c>
      <c r="M17" s="7"/>
      <c r="N17" s="80">
        <v>365.64480000000003</v>
      </c>
      <c r="O17" s="80">
        <v>86.650199999999998</v>
      </c>
      <c r="P17" s="80">
        <v>0</v>
      </c>
      <c r="Q17" s="7">
        <v>0</v>
      </c>
      <c r="R17" s="7"/>
      <c r="S17" s="80">
        <v>-477.05220000000003</v>
      </c>
      <c r="T17" s="81">
        <v>1217.9349999999997</v>
      </c>
      <c r="U17" s="81">
        <v>740.88279999999963</v>
      </c>
    </row>
    <row r="18" spans="2:21">
      <c r="B18" s="78" t="s">
        <v>47</v>
      </c>
      <c r="C18" s="79">
        <v>1.09128E-2</v>
      </c>
      <c r="D18" s="146">
        <v>1.1007100000000001E-2</v>
      </c>
      <c r="E18" s="7">
        <v>8732.2717499999999</v>
      </c>
      <c r="F18" s="7">
        <v>-249489</v>
      </c>
      <c r="G18" s="7">
        <v>-252893.22719999999</v>
      </c>
      <c r="H18" s="7"/>
      <c r="I18" s="80">
        <v>1244.0591999999999</v>
      </c>
      <c r="J18" s="80">
        <v>13531.872000000001</v>
      </c>
      <c r="K18" s="80">
        <v>0</v>
      </c>
      <c r="L18" s="7">
        <v>3708.6047999999828</v>
      </c>
      <c r="M18" s="7"/>
      <c r="N18" s="80">
        <v>4190.5151999999998</v>
      </c>
      <c r="O18" s="80">
        <v>993.06479999999999</v>
      </c>
      <c r="P18" s="80">
        <v>0</v>
      </c>
      <c r="Q18" s="7">
        <v>0</v>
      </c>
      <c r="R18" s="7"/>
      <c r="S18" s="80">
        <v>-5467.3127999999997</v>
      </c>
      <c r="T18" s="81">
        <v>2531.183999999992</v>
      </c>
      <c r="U18" s="81">
        <v>-2936.1288000000077</v>
      </c>
    </row>
    <row r="19" spans="2:21">
      <c r="B19" s="78" t="s">
        <v>48</v>
      </c>
      <c r="C19" s="79">
        <v>1.6876E-3</v>
      </c>
      <c r="D19" s="146">
        <v>1.6976000000000001E-3</v>
      </c>
      <c r="E19" s="7">
        <v>1350.3630000000001</v>
      </c>
      <c r="F19" s="7">
        <v>-38487</v>
      </c>
      <c r="G19" s="7">
        <v>-39108.4424</v>
      </c>
      <c r="H19" s="7"/>
      <c r="I19" s="80">
        <v>192.38640000000001</v>
      </c>
      <c r="J19" s="80">
        <v>2092.6240000000003</v>
      </c>
      <c r="K19" s="80">
        <v>0</v>
      </c>
      <c r="L19" s="7">
        <v>162.6767999999997</v>
      </c>
      <c r="M19" s="7"/>
      <c r="N19" s="80">
        <v>648.03840000000002</v>
      </c>
      <c r="O19" s="80">
        <v>153.57159999999999</v>
      </c>
      <c r="P19" s="80">
        <v>0</v>
      </c>
      <c r="Q19" s="7">
        <v>1593.6000000000001</v>
      </c>
      <c r="R19" s="7"/>
      <c r="S19" s="80">
        <v>-845.48760000000004</v>
      </c>
      <c r="T19" s="81">
        <v>-1254.056</v>
      </c>
      <c r="U19" s="81">
        <v>-2099.5436</v>
      </c>
    </row>
    <row r="20" spans="2:21">
      <c r="B20" s="78" t="s">
        <v>49</v>
      </c>
      <c r="C20" s="79">
        <v>1.65814E-2</v>
      </c>
      <c r="D20" s="146">
        <v>1.6143899999999999E-2</v>
      </c>
      <c r="E20" s="7">
        <v>13268.245499999999</v>
      </c>
      <c r="F20" s="7">
        <v>-365920</v>
      </c>
      <c r="G20" s="7">
        <v>-384257.36359999998</v>
      </c>
      <c r="H20" s="7"/>
      <c r="I20" s="80">
        <v>1890.2795999999998</v>
      </c>
      <c r="J20" s="80">
        <v>20560.935999999998</v>
      </c>
      <c r="K20" s="80">
        <v>0</v>
      </c>
      <c r="L20" s="7">
        <v>0</v>
      </c>
      <c r="M20" s="7"/>
      <c r="N20" s="80">
        <v>6367.2575999999999</v>
      </c>
      <c r="O20" s="80">
        <v>1508.9074000000001</v>
      </c>
      <c r="P20" s="80">
        <v>0</v>
      </c>
      <c r="Q20" s="7">
        <v>8772.6108000000186</v>
      </c>
      <c r="R20" s="7"/>
      <c r="S20" s="80">
        <v>-8307.2813999999998</v>
      </c>
      <c r="T20" s="81">
        <v>-4718.9140000000079</v>
      </c>
      <c r="U20" s="81">
        <v>-13026.195400000008</v>
      </c>
    </row>
    <row r="21" spans="2:21">
      <c r="B21" s="78" t="s">
        <v>50</v>
      </c>
      <c r="C21" s="79">
        <v>8.4030000000000007E-3</v>
      </c>
      <c r="D21" s="146">
        <v>8.2771000000000008E-3</v>
      </c>
      <c r="E21" s="7">
        <v>6723.9937500000005</v>
      </c>
      <c r="F21" s="7">
        <v>-187618</v>
      </c>
      <c r="G21" s="7">
        <v>-194731.122</v>
      </c>
      <c r="H21" s="7"/>
      <c r="I21" s="80">
        <v>957.94200000000012</v>
      </c>
      <c r="J21" s="80">
        <v>10419.720000000001</v>
      </c>
      <c r="K21" s="80">
        <v>0</v>
      </c>
      <c r="L21" s="7">
        <v>0</v>
      </c>
      <c r="M21" s="7"/>
      <c r="N21" s="80">
        <v>3226.7520000000004</v>
      </c>
      <c r="O21" s="80">
        <v>764.67300000000012</v>
      </c>
      <c r="P21" s="80">
        <v>0</v>
      </c>
      <c r="Q21" s="7">
        <v>4163.8710000000092</v>
      </c>
      <c r="R21" s="7"/>
      <c r="S21" s="80">
        <v>-4209.9030000000002</v>
      </c>
      <c r="T21" s="81">
        <v>-2726.3050000000039</v>
      </c>
      <c r="U21" s="81">
        <v>-6936.2080000000042</v>
      </c>
    </row>
    <row r="22" spans="2:21">
      <c r="B22" s="78" t="s">
        <v>51</v>
      </c>
      <c r="C22" s="79">
        <v>3.7967000000000001E-3</v>
      </c>
      <c r="D22" s="146">
        <v>3.5641000000000002E-3</v>
      </c>
      <c r="E22" s="7">
        <v>3038.0484999999999</v>
      </c>
      <c r="F22" s="7">
        <v>-80793</v>
      </c>
      <c r="G22" s="7">
        <v>-87984.7258</v>
      </c>
      <c r="H22" s="7"/>
      <c r="I22" s="80">
        <v>432.82380000000001</v>
      </c>
      <c r="J22" s="80">
        <v>4707.9080000000004</v>
      </c>
      <c r="K22" s="80">
        <v>0</v>
      </c>
      <c r="L22" s="7">
        <v>372.00000000000006</v>
      </c>
      <c r="M22" s="7"/>
      <c r="N22" s="80">
        <v>1457.9328</v>
      </c>
      <c r="O22" s="80">
        <v>345.49970000000002</v>
      </c>
      <c r="P22" s="80">
        <v>0</v>
      </c>
      <c r="Q22" s="7">
        <v>3632.0724000000055</v>
      </c>
      <c r="R22" s="7"/>
      <c r="S22" s="80">
        <v>-1902.1467</v>
      </c>
      <c r="T22" s="81">
        <v>-1340.9420000000023</v>
      </c>
      <c r="U22" s="81">
        <v>-3243.0887000000021</v>
      </c>
    </row>
    <row r="23" spans="2:21">
      <c r="B23" s="78" t="s">
        <v>52</v>
      </c>
      <c r="C23" s="79">
        <v>1.6087E-3</v>
      </c>
      <c r="D23" s="146">
        <v>1.6509999999999999E-3</v>
      </c>
      <c r="E23" s="7">
        <v>1287.2962499999999</v>
      </c>
      <c r="F23" s="7">
        <v>-37417</v>
      </c>
      <c r="G23" s="7">
        <v>-37280.013800000001</v>
      </c>
      <c r="H23" s="7"/>
      <c r="I23" s="80">
        <v>183.39179999999999</v>
      </c>
      <c r="J23" s="80">
        <v>1994.788</v>
      </c>
      <c r="K23" s="80">
        <v>0</v>
      </c>
      <c r="L23" s="7">
        <v>658.52819999999792</v>
      </c>
      <c r="M23" s="7"/>
      <c r="N23" s="80">
        <v>617.74080000000004</v>
      </c>
      <c r="O23" s="80">
        <v>146.39170000000001</v>
      </c>
      <c r="P23" s="80">
        <v>0</v>
      </c>
      <c r="Q23" s="7">
        <v>768.00000000000011</v>
      </c>
      <c r="R23" s="7"/>
      <c r="S23" s="80">
        <v>-805.95870000000002</v>
      </c>
      <c r="T23" s="81">
        <v>-340.66900000000095</v>
      </c>
      <c r="U23" s="81">
        <v>-1146.6277000000009</v>
      </c>
    </row>
    <row r="24" spans="2:21">
      <c r="B24" s="78" t="s">
        <v>53</v>
      </c>
      <c r="C24" s="79">
        <v>1.588E-3</v>
      </c>
      <c r="D24" s="146">
        <v>1.7416E-3</v>
      </c>
      <c r="E24" s="7">
        <v>1270.6787499999998</v>
      </c>
      <c r="F24" s="7">
        <v>-39464</v>
      </c>
      <c r="G24" s="7">
        <v>-36800.311999999998</v>
      </c>
      <c r="H24" s="7"/>
      <c r="I24" s="80">
        <v>181.03200000000001</v>
      </c>
      <c r="J24" s="80">
        <v>1969.12</v>
      </c>
      <c r="K24" s="80">
        <v>0</v>
      </c>
      <c r="L24" s="7">
        <v>2394.7901999999972</v>
      </c>
      <c r="M24" s="7"/>
      <c r="N24" s="80">
        <v>609.79200000000003</v>
      </c>
      <c r="O24" s="80">
        <v>144.50800000000001</v>
      </c>
      <c r="P24" s="80">
        <v>0</v>
      </c>
      <c r="Q24" s="7">
        <v>486.00000000000006</v>
      </c>
      <c r="R24" s="7"/>
      <c r="S24" s="80">
        <v>-795.58799999999997</v>
      </c>
      <c r="T24" s="81">
        <v>683.54099999999858</v>
      </c>
      <c r="U24" s="81">
        <v>-112.04700000000139</v>
      </c>
    </row>
    <row r="25" spans="2:21">
      <c r="B25" s="78" t="s">
        <v>54</v>
      </c>
      <c r="C25" s="79">
        <v>6.7035999999999997E-3</v>
      </c>
      <c r="D25" s="146">
        <v>6.3958000000000001E-3</v>
      </c>
      <c r="E25" s="7">
        <v>5364.1779000000006</v>
      </c>
      <c r="F25" s="7">
        <v>-144969</v>
      </c>
      <c r="G25" s="7">
        <v>-155349.22639999999</v>
      </c>
      <c r="H25" s="7"/>
      <c r="I25" s="80">
        <v>764.21039999999994</v>
      </c>
      <c r="J25" s="80">
        <v>8312.4639999999999</v>
      </c>
      <c r="K25" s="80">
        <v>0</v>
      </c>
      <c r="L25" s="7">
        <v>0</v>
      </c>
      <c r="M25" s="7"/>
      <c r="N25" s="80">
        <v>2574.1823999999997</v>
      </c>
      <c r="O25" s="80">
        <v>610.02760000000001</v>
      </c>
      <c r="P25" s="80">
        <v>0</v>
      </c>
      <c r="Q25" s="7">
        <v>7196.2433999999921</v>
      </c>
      <c r="R25" s="7"/>
      <c r="S25" s="80">
        <v>-3358.5036</v>
      </c>
      <c r="T25" s="81">
        <v>-4173.7469999999958</v>
      </c>
      <c r="U25" s="81">
        <v>-7532.2505999999958</v>
      </c>
    </row>
    <row r="26" spans="2:21">
      <c r="B26" s="78" t="s">
        <v>55</v>
      </c>
      <c r="C26" s="79">
        <v>4.5163E-3</v>
      </c>
      <c r="D26" s="146">
        <v>4.5855999999999996E-3</v>
      </c>
      <c r="E26" s="7">
        <v>3613.8869500000001</v>
      </c>
      <c r="F26" s="7">
        <v>-103946</v>
      </c>
      <c r="G26" s="7">
        <v>-104660.7362</v>
      </c>
      <c r="H26" s="7"/>
      <c r="I26" s="80">
        <v>514.85820000000001</v>
      </c>
      <c r="J26" s="80">
        <v>5600.2120000000004</v>
      </c>
      <c r="K26" s="80">
        <v>0</v>
      </c>
      <c r="L26" s="7">
        <v>1090.2474000000016</v>
      </c>
      <c r="M26" s="7"/>
      <c r="N26" s="80">
        <v>1734.2592</v>
      </c>
      <c r="O26" s="80">
        <v>410.98329999999999</v>
      </c>
      <c r="P26" s="80">
        <v>0</v>
      </c>
      <c r="Q26" s="7">
        <v>10407.600000000002</v>
      </c>
      <c r="R26" s="7"/>
      <c r="S26" s="80">
        <v>-2262.6662999999999</v>
      </c>
      <c r="T26" s="81">
        <v>-8177.4329999999991</v>
      </c>
      <c r="U26" s="81">
        <v>-10440.099299999998</v>
      </c>
    </row>
    <row r="27" spans="2:21">
      <c r="B27" s="78" t="s">
        <v>56</v>
      </c>
      <c r="C27" s="79">
        <v>1.1118100000000001E-2</v>
      </c>
      <c r="D27" s="146">
        <v>1.10831E-2</v>
      </c>
      <c r="E27" s="7">
        <v>8896.6112499999999</v>
      </c>
      <c r="F27" s="7">
        <v>-251203</v>
      </c>
      <c r="G27" s="7">
        <v>-257650.84940000001</v>
      </c>
      <c r="H27" s="7"/>
      <c r="I27" s="80">
        <v>1267.4634000000001</v>
      </c>
      <c r="J27" s="80">
        <v>13786.444000000001</v>
      </c>
      <c r="K27" s="80">
        <v>0</v>
      </c>
      <c r="L27" s="7">
        <v>1155.6000000000001</v>
      </c>
      <c r="M27" s="7"/>
      <c r="N27" s="80">
        <v>4269.3504000000003</v>
      </c>
      <c r="O27" s="80">
        <v>1011.7471</v>
      </c>
      <c r="P27" s="80">
        <v>0</v>
      </c>
      <c r="Q27" s="7">
        <v>552.16260000000375</v>
      </c>
      <c r="R27" s="7"/>
      <c r="S27" s="80">
        <v>-5570.1680999999999</v>
      </c>
      <c r="T27" s="81">
        <v>712.01699999999823</v>
      </c>
      <c r="U27" s="81">
        <v>-4858.1511000000019</v>
      </c>
    </row>
    <row r="28" spans="2:21">
      <c r="B28" s="78" t="s">
        <v>57</v>
      </c>
      <c r="C28" s="79">
        <v>3.4555300000000004E-2</v>
      </c>
      <c r="D28" s="146">
        <v>3.5142699999999999E-2</v>
      </c>
      <c r="E28" s="7">
        <v>27650.716649999998</v>
      </c>
      <c r="F28" s="7">
        <v>-796558</v>
      </c>
      <c r="G28" s="7">
        <v>-800784.52220000012</v>
      </c>
      <c r="H28" s="7"/>
      <c r="I28" s="80">
        <v>3939.3042000000005</v>
      </c>
      <c r="J28" s="80">
        <v>42848.572000000007</v>
      </c>
      <c r="K28" s="80">
        <v>0</v>
      </c>
      <c r="L28" s="7">
        <v>9197.4960000000046</v>
      </c>
      <c r="M28" s="7"/>
      <c r="N28" s="80">
        <v>13269.235200000001</v>
      </c>
      <c r="O28" s="80">
        <v>3144.5323000000003</v>
      </c>
      <c r="P28" s="80">
        <v>0</v>
      </c>
      <c r="Q28" s="7">
        <v>1131.6000000000001</v>
      </c>
      <c r="R28" s="7"/>
      <c r="S28" s="80">
        <v>-17312.205300000001</v>
      </c>
      <c r="T28" s="81">
        <v>3237.6800000000021</v>
      </c>
      <c r="U28" s="81">
        <v>-14074.525299999999</v>
      </c>
    </row>
    <row r="29" spans="2:21">
      <c r="B29" s="78" t="s">
        <v>58</v>
      </c>
      <c r="C29" s="79">
        <v>4.2293000000000001E-3</v>
      </c>
      <c r="D29" s="146">
        <v>4.2769000000000001E-3</v>
      </c>
      <c r="E29" s="7">
        <v>3384.2662499999992</v>
      </c>
      <c r="F29" s="7">
        <v>-96929</v>
      </c>
      <c r="G29" s="7">
        <v>-98009.798200000005</v>
      </c>
      <c r="H29" s="7"/>
      <c r="I29" s="80">
        <v>482.14019999999999</v>
      </c>
      <c r="J29" s="80">
        <v>5244.3320000000003</v>
      </c>
      <c r="K29" s="80">
        <v>0</v>
      </c>
      <c r="L29" s="7">
        <v>2957.9381999999896</v>
      </c>
      <c r="M29" s="7"/>
      <c r="N29" s="80">
        <v>1624.0512000000001</v>
      </c>
      <c r="O29" s="80">
        <v>384.86630000000002</v>
      </c>
      <c r="P29" s="80">
        <v>0</v>
      </c>
      <c r="Q29" s="7">
        <v>0</v>
      </c>
      <c r="R29" s="7"/>
      <c r="S29" s="80">
        <v>-2118.8793000000001</v>
      </c>
      <c r="T29" s="81">
        <v>2185.8809999999949</v>
      </c>
      <c r="U29" s="81">
        <v>67.001699999994798</v>
      </c>
    </row>
    <row r="30" spans="2:21">
      <c r="B30" s="78" t="s">
        <v>59</v>
      </c>
      <c r="C30" s="79">
        <v>9.1173000000000001E-3</v>
      </c>
      <c r="D30" s="146">
        <v>9.3953000000000005E-3</v>
      </c>
      <c r="E30" s="7">
        <v>7295.6047499999986</v>
      </c>
      <c r="F30" s="7">
        <v>-212945</v>
      </c>
      <c r="G30" s="7">
        <v>-211284.31020000001</v>
      </c>
      <c r="H30" s="7"/>
      <c r="I30" s="80">
        <v>1039.3722</v>
      </c>
      <c r="J30" s="80">
        <v>11305.451999999999</v>
      </c>
      <c r="K30" s="80">
        <v>0</v>
      </c>
      <c r="L30" s="7">
        <v>5995.8191999999835</v>
      </c>
      <c r="M30" s="7"/>
      <c r="N30" s="80">
        <v>3501.0432000000001</v>
      </c>
      <c r="O30" s="80">
        <v>829.67430000000002</v>
      </c>
      <c r="P30" s="80">
        <v>0</v>
      </c>
      <c r="Q30" s="7">
        <v>0</v>
      </c>
      <c r="R30" s="7"/>
      <c r="S30" s="80">
        <v>-4567.7673000000004</v>
      </c>
      <c r="T30" s="81">
        <v>3351.7359999999921</v>
      </c>
      <c r="U30" s="81">
        <v>-1216.0313000000083</v>
      </c>
    </row>
    <row r="31" spans="2:21">
      <c r="B31" s="78" t="s">
        <v>60</v>
      </c>
      <c r="C31" s="79">
        <v>1.2908599999999999E-2</v>
      </c>
      <c r="D31" s="146">
        <v>1.30574E-2</v>
      </c>
      <c r="E31" s="7">
        <v>10329.31725</v>
      </c>
      <c r="F31" s="7">
        <v>-295948</v>
      </c>
      <c r="G31" s="7">
        <v>-299143.89639999997</v>
      </c>
      <c r="H31" s="7"/>
      <c r="I31" s="80">
        <v>1471.5803999999998</v>
      </c>
      <c r="J31" s="80">
        <v>16006.663999999999</v>
      </c>
      <c r="K31" s="80">
        <v>0</v>
      </c>
      <c r="L31" s="7">
        <v>34474.90860000001</v>
      </c>
      <c r="M31" s="7"/>
      <c r="N31" s="80">
        <v>4956.9023999999999</v>
      </c>
      <c r="O31" s="80">
        <v>1174.6825999999999</v>
      </c>
      <c r="P31" s="80">
        <v>0</v>
      </c>
      <c r="Q31" s="7">
        <v>0</v>
      </c>
      <c r="R31" s="7"/>
      <c r="S31" s="80">
        <v>-6467.2085999999999</v>
      </c>
      <c r="T31" s="81">
        <v>27850.413</v>
      </c>
      <c r="U31" s="81">
        <v>21383.204400000002</v>
      </c>
    </row>
    <row r="32" spans="2:21">
      <c r="B32" s="78" t="s">
        <v>61</v>
      </c>
      <c r="C32" s="79">
        <v>4.2021000000000003E-3</v>
      </c>
      <c r="D32" s="146">
        <v>4.0001000000000004E-3</v>
      </c>
      <c r="E32" s="7">
        <v>3362.4937500000001</v>
      </c>
      <c r="F32" s="7">
        <v>-90655</v>
      </c>
      <c r="G32" s="7">
        <v>-97379.465400000001</v>
      </c>
      <c r="H32" s="7"/>
      <c r="I32" s="80">
        <v>479.03940000000006</v>
      </c>
      <c r="J32" s="80">
        <v>5210.6040000000003</v>
      </c>
      <c r="K32" s="80">
        <v>0</v>
      </c>
      <c r="L32" s="7">
        <v>0</v>
      </c>
      <c r="M32" s="7"/>
      <c r="N32" s="80">
        <v>1613.6064000000001</v>
      </c>
      <c r="O32" s="80">
        <v>382.39110000000005</v>
      </c>
      <c r="P32" s="80">
        <v>0</v>
      </c>
      <c r="Q32" s="7">
        <v>3981.1050000000032</v>
      </c>
      <c r="R32" s="7"/>
      <c r="S32" s="80">
        <v>-2105.2521000000002</v>
      </c>
      <c r="T32" s="81">
        <v>-2117.7750000000015</v>
      </c>
      <c r="U32" s="81">
        <v>-4223.0271000000012</v>
      </c>
    </row>
    <row r="33" spans="2:21">
      <c r="B33" s="78" t="s">
        <v>62</v>
      </c>
      <c r="C33" s="79">
        <v>4.1583999999999996E-3</v>
      </c>
      <c r="D33" s="146">
        <v>4.1470999999999999E-3</v>
      </c>
      <c r="E33" s="7">
        <v>3327.5014999999994</v>
      </c>
      <c r="F33" s="7">
        <v>-93996</v>
      </c>
      <c r="G33" s="7">
        <v>-96366.761599999983</v>
      </c>
      <c r="H33" s="7"/>
      <c r="I33" s="80">
        <v>474.05759999999998</v>
      </c>
      <c r="J33" s="80">
        <v>5156.4159999999993</v>
      </c>
      <c r="K33" s="80">
        <v>0</v>
      </c>
      <c r="L33" s="7">
        <v>0</v>
      </c>
      <c r="M33" s="7"/>
      <c r="N33" s="80">
        <v>1596.8255999999999</v>
      </c>
      <c r="O33" s="80">
        <v>378.41439999999994</v>
      </c>
      <c r="P33" s="80">
        <v>0</v>
      </c>
      <c r="Q33" s="7">
        <v>2388.7187999999987</v>
      </c>
      <c r="R33" s="7"/>
      <c r="S33" s="80">
        <v>-2083.3583999999996</v>
      </c>
      <c r="T33" s="81">
        <v>-1923.0539999999992</v>
      </c>
      <c r="U33" s="81">
        <v>-4006.4123999999988</v>
      </c>
    </row>
    <row r="34" spans="2:21">
      <c r="B34" s="78" t="s">
        <v>63</v>
      </c>
      <c r="C34" s="79">
        <v>3.0139099999999999E-2</v>
      </c>
      <c r="D34" s="146">
        <v>2.8973499999999999E-2</v>
      </c>
      <c r="E34" s="7">
        <v>24116.989999999998</v>
      </c>
      <c r="F34" s="7">
        <v>-656716</v>
      </c>
      <c r="G34" s="7">
        <v>-698443.50339999993</v>
      </c>
      <c r="H34" s="7"/>
      <c r="I34" s="80">
        <v>3435.8573999999999</v>
      </c>
      <c r="J34" s="80">
        <v>37372.483999999997</v>
      </c>
      <c r="K34" s="80">
        <v>0</v>
      </c>
      <c r="L34" s="7">
        <v>0</v>
      </c>
      <c r="M34" s="7"/>
      <c r="N34" s="80">
        <v>11573.4144</v>
      </c>
      <c r="O34" s="80">
        <v>2742.6580999999996</v>
      </c>
      <c r="P34" s="80">
        <v>0</v>
      </c>
      <c r="Q34" s="7">
        <v>28214.750999999997</v>
      </c>
      <c r="R34" s="7"/>
      <c r="S34" s="80">
        <v>-15099.6891</v>
      </c>
      <c r="T34" s="81">
        <v>-16606.704999999998</v>
      </c>
      <c r="U34" s="81">
        <v>-31706.394099999998</v>
      </c>
    </row>
    <row r="35" spans="2:21">
      <c r="B35" s="78" t="s">
        <v>64</v>
      </c>
      <c r="C35" s="79">
        <v>3.5536000000000001E-3</v>
      </c>
      <c r="D35" s="146">
        <v>3.4832999999999999E-3</v>
      </c>
      <c r="E35" s="7">
        <v>2843.5775999999996</v>
      </c>
      <c r="F35" s="7">
        <v>-78959</v>
      </c>
      <c r="G35" s="7">
        <v>-82351.126400000008</v>
      </c>
      <c r="H35" s="7"/>
      <c r="I35" s="80">
        <v>405.11040000000003</v>
      </c>
      <c r="J35" s="80">
        <v>4406.4639999999999</v>
      </c>
      <c r="K35" s="80">
        <v>0</v>
      </c>
      <c r="L35" s="7">
        <v>0</v>
      </c>
      <c r="M35" s="7"/>
      <c r="N35" s="80">
        <v>1364.5824</v>
      </c>
      <c r="O35" s="80">
        <v>323.37760000000003</v>
      </c>
      <c r="P35" s="80">
        <v>0</v>
      </c>
      <c r="Q35" s="7">
        <v>2224.1399999999971</v>
      </c>
      <c r="R35" s="7"/>
      <c r="S35" s="80">
        <v>-1780.3536000000001</v>
      </c>
      <c r="T35" s="81">
        <v>-1438.6999999999985</v>
      </c>
      <c r="U35" s="81">
        <v>-3219.0535999999984</v>
      </c>
    </row>
    <row r="36" spans="2:21">
      <c r="B36" s="78" t="s">
        <v>65</v>
      </c>
      <c r="C36" s="79">
        <v>3.9285200000000006E-2</v>
      </c>
      <c r="D36" s="146">
        <v>3.8694600000000003E-2</v>
      </c>
      <c r="E36" s="7">
        <v>31435.53815</v>
      </c>
      <c r="F36" s="7">
        <v>-877043</v>
      </c>
      <c r="G36" s="7">
        <v>-910395.2248000002</v>
      </c>
      <c r="H36" s="7"/>
      <c r="I36" s="80">
        <v>4478.5128000000004</v>
      </c>
      <c r="J36" s="80">
        <v>48713.648000000008</v>
      </c>
      <c r="K36" s="80">
        <v>0</v>
      </c>
      <c r="L36" s="7">
        <v>0</v>
      </c>
      <c r="M36" s="7"/>
      <c r="N36" s="80">
        <v>15085.516800000003</v>
      </c>
      <c r="O36" s="80">
        <v>3574.9532000000004</v>
      </c>
      <c r="P36" s="80">
        <v>0</v>
      </c>
      <c r="Q36" s="7">
        <v>15003.222000000102</v>
      </c>
      <c r="R36" s="7"/>
      <c r="S36" s="80">
        <v>-19681.885200000004</v>
      </c>
      <c r="T36" s="81">
        <v>-9001.0100000000457</v>
      </c>
      <c r="U36" s="81">
        <v>-28682.89520000005</v>
      </c>
    </row>
    <row r="37" spans="2:21">
      <c r="B37" s="78" t="s">
        <v>66</v>
      </c>
      <c r="C37" s="79">
        <v>5.2674999999999996E-3</v>
      </c>
      <c r="D37" s="146">
        <v>5.2224999999999997E-3</v>
      </c>
      <c r="E37" s="7">
        <v>4214.9882500000003</v>
      </c>
      <c r="F37" s="7">
        <v>-118378</v>
      </c>
      <c r="G37" s="7">
        <v>-122069.045</v>
      </c>
      <c r="H37" s="7"/>
      <c r="I37" s="80">
        <v>600.495</v>
      </c>
      <c r="J37" s="80">
        <v>6531.7</v>
      </c>
      <c r="K37" s="80">
        <v>0</v>
      </c>
      <c r="L37" s="7">
        <v>0</v>
      </c>
      <c r="M37" s="7"/>
      <c r="N37" s="80">
        <v>2022.7199999999998</v>
      </c>
      <c r="O37" s="80">
        <v>479.34249999999997</v>
      </c>
      <c r="P37" s="80">
        <v>0</v>
      </c>
      <c r="Q37" s="7">
        <v>2357.9615999999874</v>
      </c>
      <c r="R37" s="7"/>
      <c r="S37" s="80">
        <v>-2639.0174999999999</v>
      </c>
      <c r="T37" s="81">
        <v>-1699.5279999999941</v>
      </c>
      <c r="U37" s="81">
        <v>-4338.5454999999938</v>
      </c>
    </row>
    <row r="38" spans="2:21">
      <c r="B38" s="78" t="s">
        <v>67</v>
      </c>
      <c r="C38" s="79">
        <v>1.34155E-2</v>
      </c>
      <c r="D38" s="146">
        <v>1.42136E-2</v>
      </c>
      <c r="E38" s="7">
        <v>10734.944249999999</v>
      </c>
      <c r="F38" s="7">
        <v>-322159</v>
      </c>
      <c r="G38" s="7">
        <v>-310890.79700000002</v>
      </c>
      <c r="H38" s="7"/>
      <c r="I38" s="80">
        <v>1529.367</v>
      </c>
      <c r="J38" s="80">
        <v>16635.22</v>
      </c>
      <c r="K38" s="80">
        <v>0</v>
      </c>
      <c r="L38" s="7">
        <v>12479.187599999992</v>
      </c>
      <c r="M38" s="7"/>
      <c r="N38" s="80">
        <v>5151.5519999999997</v>
      </c>
      <c r="O38" s="80">
        <v>1220.8105</v>
      </c>
      <c r="P38" s="80">
        <v>0</v>
      </c>
      <c r="Q38" s="7">
        <v>1791.6000000000004</v>
      </c>
      <c r="R38" s="7"/>
      <c r="S38" s="80">
        <v>-6721.1655000000001</v>
      </c>
      <c r="T38" s="81">
        <v>4179.3579999999956</v>
      </c>
      <c r="U38" s="81">
        <v>-2541.8075000000044</v>
      </c>
    </row>
    <row r="39" spans="2:21">
      <c r="B39" s="78" t="s">
        <v>68</v>
      </c>
      <c r="C39" s="79">
        <v>9.4289999999999999E-4</v>
      </c>
      <c r="D39" s="146">
        <v>9.9820000000000009E-4</v>
      </c>
      <c r="E39" s="7">
        <v>754.49279999999999</v>
      </c>
      <c r="F39" s="7">
        <v>-22616</v>
      </c>
      <c r="G39" s="7">
        <v>-21850.764599999999</v>
      </c>
      <c r="H39" s="7"/>
      <c r="I39" s="80">
        <v>107.4906</v>
      </c>
      <c r="J39" s="80">
        <v>1169.1959999999999</v>
      </c>
      <c r="K39" s="80">
        <v>0</v>
      </c>
      <c r="L39" s="7">
        <v>858.74580000000128</v>
      </c>
      <c r="M39" s="7"/>
      <c r="N39" s="80">
        <v>362.0736</v>
      </c>
      <c r="O39" s="80">
        <v>85.803899999999999</v>
      </c>
      <c r="P39" s="80">
        <v>0</v>
      </c>
      <c r="Q39" s="7">
        <v>369.60000000000008</v>
      </c>
      <c r="R39" s="7"/>
      <c r="S39" s="80">
        <v>-472.3929</v>
      </c>
      <c r="T39" s="81">
        <v>82.339000000000567</v>
      </c>
      <c r="U39" s="81">
        <v>-390.05389999999943</v>
      </c>
    </row>
    <row r="40" spans="2:21">
      <c r="B40" s="78" t="s">
        <v>69</v>
      </c>
      <c r="C40" s="79">
        <v>6.3060000000000004E-4</v>
      </c>
      <c r="D40" s="146">
        <v>6.7239999999999997E-4</v>
      </c>
      <c r="E40" s="7">
        <v>504.62700000000001</v>
      </c>
      <c r="F40" s="7">
        <v>-15236</v>
      </c>
      <c r="G40" s="7">
        <v>-14613.5244</v>
      </c>
      <c r="H40" s="7"/>
      <c r="I40" s="80">
        <v>71.888400000000004</v>
      </c>
      <c r="J40" s="80">
        <v>781.94400000000007</v>
      </c>
      <c r="K40" s="80">
        <v>0</v>
      </c>
      <c r="L40" s="7">
        <v>650.70719999999881</v>
      </c>
      <c r="M40" s="7"/>
      <c r="N40" s="80">
        <v>242.15040000000002</v>
      </c>
      <c r="O40" s="80">
        <v>57.384600000000006</v>
      </c>
      <c r="P40" s="80">
        <v>0</v>
      </c>
      <c r="Q40" s="7">
        <v>26.400000000000006</v>
      </c>
      <c r="R40" s="7"/>
      <c r="S40" s="80">
        <v>-315.93060000000003</v>
      </c>
      <c r="T40" s="81">
        <v>273.77599999999944</v>
      </c>
      <c r="U40" s="81">
        <v>-42.154600000000585</v>
      </c>
    </row>
    <row r="41" spans="2:21">
      <c r="B41" s="78" t="s">
        <v>70</v>
      </c>
      <c r="C41" s="79">
        <v>4.5859000000000004E-3</v>
      </c>
      <c r="D41" s="146">
        <v>4.5732999999999998E-3</v>
      </c>
      <c r="E41" s="7">
        <v>3669.6001499999998</v>
      </c>
      <c r="F41" s="7">
        <v>-103658</v>
      </c>
      <c r="G41" s="7">
        <v>-106273.64660000001</v>
      </c>
      <c r="H41" s="7"/>
      <c r="I41" s="80">
        <v>522.79259999999999</v>
      </c>
      <c r="J41" s="80">
        <v>5686.5160000000005</v>
      </c>
      <c r="K41" s="80">
        <v>0</v>
      </c>
      <c r="L41" s="7">
        <v>0</v>
      </c>
      <c r="M41" s="7"/>
      <c r="N41" s="80">
        <v>1760.9856000000002</v>
      </c>
      <c r="O41" s="80">
        <v>417.31690000000003</v>
      </c>
      <c r="P41" s="80">
        <v>0</v>
      </c>
      <c r="Q41" s="7">
        <v>2627.0892000000104</v>
      </c>
      <c r="R41" s="7"/>
      <c r="S41" s="80">
        <v>-2297.5359000000003</v>
      </c>
      <c r="T41" s="81">
        <v>-2114.5860000000043</v>
      </c>
      <c r="U41" s="81">
        <v>-4412.1219000000046</v>
      </c>
    </row>
    <row r="42" spans="2:21">
      <c r="B42" s="78" t="s">
        <v>71</v>
      </c>
      <c r="C42" s="79">
        <v>1.1410999999999999E-3</v>
      </c>
      <c r="D42" s="146">
        <v>1.1942000000000001E-3</v>
      </c>
      <c r="E42" s="7">
        <v>913.06499999999994</v>
      </c>
      <c r="F42" s="7">
        <v>-27079</v>
      </c>
      <c r="G42" s="7">
        <v>-26443.8514</v>
      </c>
      <c r="H42" s="7"/>
      <c r="I42" s="80">
        <v>130.08539999999999</v>
      </c>
      <c r="J42" s="80">
        <v>1414.9639999999999</v>
      </c>
      <c r="K42" s="80">
        <v>0</v>
      </c>
      <c r="L42" s="7">
        <v>838.41120000000012</v>
      </c>
      <c r="M42" s="7"/>
      <c r="N42" s="80">
        <v>438.18239999999997</v>
      </c>
      <c r="O42" s="80">
        <v>103.84009999999999</v>
      </c>
      <c r="P42" s="80">
        <v>0</v>
      </c>
      <c r="Q42" s="7">
        <v>1759.2000000000003</v>
      </c>
      <c r="R42" s="7"/>
      <c r="S42" s="80">
        <v>-571.69110000000001</v>
      </c>
      <c r="T42" s="81">
        <v>-1084.904</v>
      </c>
      <c r="U42" s="81">
        <v>-1656.5951</v>
      </c>
    </row>
    <row r="43" spans="2:21">
      <c r="B43" s="78" t="s">
        <v>72</v>
      </c>
      <c r="C43" s="79">
        <v>4.36596E-2</v>
      </c>
      <c r="D43" s="146">
        <v>4.3045100000000003E-2</v>
      </c>
      <c r="E43" s="7">
        <v>34935.894599999992</v>
      </c>
      <c r="F43" s="7">
        <v>-975649</v>
      </c>
      <c r="G43" s="7">
        <v>-1011767.5704</v>
      </c>
      <c r="H43" s="7"/>
      <c r="I43" s="80">
        <v>4977.1944000000003</v>
      </c>
      <c r="J43" s="80">
        <v>54137.904000000002</v>
      </c>
      <c r="K43" s="80">
        <v>0</v>
      </c>
      <c r="L43" s="7">
        <v>0</v>
      </c>
      <c r="M43" s="7"/>
      <c r="N43" s="80">
        <v>16765.286400000001</v>
      </c>
      <c r="O43" s="80">
        <v>3973.0236</v>
      </c>
      <c r="P43" s="80">
        <v>0</v>
      </c>
      <c r="Q43" s="7">
        <v>10419.029999999979</v>
      </c>
      <c r="R43" s="7"/>
      <c r="S43" s="80">
        <v>-21873.459599999998</v>
      </c>
      <c r="T43" s="81">
        <v>-5038.6499999999896</v>
      </c>
      <c r="U43" s="81">
        <v>-26912.109599999989</v>
      </c>
    </row>
    <row r="44" spans="2:21">
      <c r="B44" s="78" t="s">
        <v>73</v>
      </c>
      <c r="C44" s="79">
        <v>4.3917000000000001E-3</v>
      </c>
      <c r="D44" s="146">
        <v>4.2867000000000001E-3</v>
      </c>
      <c r="E44" s="7">
        <v>3514.2298499999997</v>
      </c>
      <c r="F44" s="7">
        <v>-97156</v>
      </c>
      <c r="G44" s="7">
        <v>-101773.2558</v>
      </c>
      <c r="H44" s="7"/>
      <c r="I44" s="80">
        <v>500.65379999999999</v>
      </c>
      <c r="J44" s="80">
        <v>5445.7080000000005</v>
      </c>
      <c r="K44" s="80">
        <v>0</v>
      </c>
      <c r="L44" s="7">
        <v>0</v>
      </c>
      <c r="M44" s="7"/>
      <c r="N44" s="80">
        <v>1686.4128000000001</v>
      </c>
      <c r="O44" s="80">
        <v>399.6447</v>
      </c>
      <c r="P44" s="80">
        <v>0</v>
      </c>
      <c r="Q44" s="7">
        <v>3790.3026000000009</v>
      </c>
      <c r="R44" s="7"/>
      <c r="S44" s="80">
        <v>-2200.2417</v>
      </c>
      <c r="T44" s="81">
        <v>-2534.683</v>
      </c>
      <c r="U44" s="81">
        <v>-4734.9246999999996</v>
      </c>
    </row>
    <row r="45" spans="2:21">
      <c r="B45" s="78" t="s">
        <v>74</v>
      </c>
      <c r="C45" s="79">
        <v>1.2464599999999999E-2</v>
      </c>
      <c r="D45" s="146">
        <v>1.21805E-2</v>
      </c>
      <c r="E45" s="7">
        <v>9974.0512500000004</v>
      </c>
      <c r="F45" s="7">
        <v>-276076</v>
      </c>
      <c r="G45" s="7">
        <v>-288854.64039999997</v>
      </c>
      <c r="H45" s="7"/>
      <c r="I45" s="80">
        <v>1420.9643999999998</v>
      </c>
      <c r="J45" s="80">
        <v>15456.103999999999</v>
      </c>
      <c r="K45" s="80">
        <v>0</v>
      </c>
      <c r="L45" s="7">
        <v>4828.8000000000011</v>
      </c>
      <c r="M45" s="7"/>
      <c r="N45" s="80">
        <v>4786.4063999999998</v>
      </c>
      <c r="O45" s="80">
        <v>1134.2785999999999</v>
      </c>
      <c r="P45" s="80">
        <v>0</v>
      </c>
      <c r="Q45" s="7">
        <v>4448.5847999999878</v>
      </c>
      <c r="R45" s="7"/>
      <c r="S45" s="80">
        <v>-6244.7645999999995</v>
      </c>
      <c r="T45" s="81">
        <v>2001.9160000000059</v>
      </c>
      <c r="U45" s="81">
        <v>-4242.8485999999939</v>
      </c>
    </row>
    <row r="46" spans="2:21">
      <c r="B46" s="78" t="s">
        <v>31</v>
      </c>
      <c r="C46" s="79">
        <v>7.5659999999999998E-3</v>
      </c>
      <c r="D46" s="146">
        <v>7.0657999999999997E-3</v>
      </c>
      <c r="E46" s="7">
        <v>6054.2367499999982</v>
      </c>
      <c r="F46" s="7">
        <v>-160156</v>
      </c>
      <c r="G46" s="7">
        <v>-175334.484</v>
      </c>
      <c r="H46" s="7"/>
      <c r="I46" s="80">
        <v>862.524</v>
      </c>
      <c r="J46" s="80">
        <v>9381.84</v>
      </c>
      <c r="K46" s="80">
        <v>0</v>
      </c>
      <c r="L46" s="7">
        <v>591.60000000000014</v>
      </c>
      <c r="M46" s="7"/>
      <c r="N46" s="80">
        <v>2905.3440000000001</v>
      </c>
      <c r="O46" s="80">
        <v>688.50599999999997</v>
      </c>
      <c r="P46" s="80">
        <v>0</v>
      </c>
      <c r="Q46" s="7">
        <v>7822.5642000000034</v>
      </c>
      <c r="R46" s="7"/>
      <c r="S46" s="80">
        <v>-3790.5659999999998</v>
      </c>
      <c r="T46" s="81">
        <v>-3062.7110000000011</v>
      </c>
      <c r="U46" s="81">
        <v>-6853.277000000001</v>
      </c>
    </row>
    <row r="47" spans="2:21">
      <c r="B47" s="78" t="s">
        <v>75</v>
      </c>
      <c r="C47" s="79">
        <v>1.3649100000000001E-2</v>
      </c>
      <c r="D47" s="146">
        <v>1.3187300000000001E-2</v>
      </c>
      <c r="E47" s="7">
        <v>10921.86</v>
      </c>
      <c r="F47" s="7">
        <v>-298899</v>
      </c>
      <c r="G47" s="7">
        <v>-316304.24340000004</v>
      </c>
      <c r="H47" s="7"/>
      <c r="I47" s="80">
        <v>1555.9974000000002</v>
      </c>
      <c r="J47" s="80">
        <v>16924.884000000002</v>
      </c>
      <c r="K47" s="80">
        <v>0</v>
      </c>
      <c r="L47" s="7">
        <v>0</v>
      </c>
      <c r="M47" s="7"/>
      <c r="N47" s="80">
        <v>5241.2544000000007</v>
      </c>
      <c r="O47" s="80">
        <v>1242.0681000000002</v>
      </c>
      <c r="P47" s="80">
        <v>0</v>
      </c>
      <c r="Q47" s="7">
        <v>12450.204000000027</v>
      </c>
      <c r="R47" s="7"/>
      <c r="S47" s="80">
        <v>-6838.1991000000007</v>
      </c>
      <c r="T47" s="81">
        <v>-7637.8200000000115</v>
      </c>
      <c r="U47" s="81">
        <v>-14476.019100000012</v>
      </c>
    </row>
    <row r="48" spans="2:21">
      <c r="B48" s="78" t="s">
        <v>76</v>
      </c>
      <c r="C48" s="79">
        <v>1.8614E-3</v>
      </c>
      <c r="D48" s="146">
        <v>1.9216999999999999E-3</v>
      </c>
      <c r="E48" s="7">
        <v>1489.4704499999998</v>
      </c>
      <c r="F48" s="7">
        <v>-43562</v>
      </c>
      <c r="G48" s="7">
        <v>-43136.083599999998</v>
      </c>
      <c r="H48" s="7"/>
      <c r="I48" s="80">
        <v>212.1996</v>
      </c>
      <c r="J48" s="80">
        <v>2308.136</v>
      </c>
      <c r="K48" s="80">
        <v>0</v>
      </c>
      <c r="L48" s="7">
        <v>946.34099999999853</v>
      </c>
      <c r="M48" s="7"/>
      <c r="N48" s="80">
        <v>714.77760000000001</v>
      </c>
      <c r="O48" s="80">
        <v>169.38740000000001</v>
      </c>
      <c r="P48" s="80">
        <v>0</v>
      </c>
      <c r="Q48" s="7">
        <v>690.00000000000011</v>
      </c>
      <c r="R48" s="7"/>
      <c r="S48" s="80">
        <v>-932.56140000000005</v>
      </c>
      <c r="T48" s="81">
        <v>-144.84500000000071</v>
      </c>
      <c r="U48" s="81">
        <v>-1077.4064000000008</v>
      </c>
    </row>
    <row r="49" spans="2:21">
      <c r="B49" s="78" t="s">
        <v>77</v>
      </c>
      <c r="C49" s="79">
        <v>4.7543999999999998E-3</v>
      </c>
      <c r="D49" s="146">
        <v>5.0350999999999998E-3</v>
      </c>
      <c r="E49" s="7">
        <v>3804.4349999999995</v>
      </c>
      <c r="F49" s="7">
        <v>-114139</v>
      </c>
      <c r="G49" s="7">
        <v>-110178.4656</v>
      </c>
      <c r="H49" s="7"/>
      <c r="I49" s="80">
        <v>542.00159999999994</v>
      </c>
      <c r="J49" s="80">
        <v>5895.4560000000001</v>
      </c>
      <c r="K49" s="80">
        <v>0</v>
      </c>
      <c r="L49" s="7">
        <v>5232.8945999999905</v>
      </c>
      <c r="M49" s="7"/>
      <c r="N49" s="80">
        <v>1825.6895999999999</v>
      </c>
      <c r="O49" s="80">
        <v>432.65039999999999</v>
      </c>
      <c r="P49" s="80">
        <v>0</v>
      </c>
      <c r="Q49" s="7">
        <v>0</v>
      </c>
      <c r="R49" s="7"/>
      <c r="S49" s="80">
        <v>-2381.9544000000001</v>
      </c>
      <c r="T49" s="81">
        <v>2694.0429999999956</v>
      </c>
      <c r="U49" s="81">
        <v>312.08859999999549</v>
      </c>
    </row>
    <row r="50" spans="2:21">
      <c r="B50" s="78" t="s">
        <v>78</v>
      </c>
      <c r="C50" s="79">
        <v>4.6450000000000001E-4</v>
      </c>
      <c r="D50" s="146">
        <v>3.9809999999999997E-4</v>
      </c>
      <c r="E50" s="7">
        <v>371.65549999999996</v>
      </c>
      <c r="F50" s="7">
        <v>-9019</v>
      </c>
      <c r="G50" s="7">
        <v>-10764.323</v>
      </c>
      <c r="H50" s="7"/>
      <c r="I50" s="80">
        <v>52.953000000000003</v>
      </c>
      <c r="J50" s="80">
        <v>575.98</v>
      </c>
      <c r="K50" s="80">
        <v>0</v>
      </c>
      <c r="L50" s="7">
        <v>312.00000000000006</v>
      </c>
      <c r="M50" s="7"/>
      <c r="N50" s="80">
        <v>178.36799999999999</v>
      </c>
      <c r="O50" s="80">
        <v>42.269500000000001</v>
      </c>
      <c r="P50" s="80">
        <v>0</v>
      </c>
      <c r="Q50" s="7">
        <v>1041.7571999999996</v>
      </c>
      <c r="R50" s="7"/>
      <c r="S50" s="80">
        <v>-232.71450000000002</v>
      </c>
      <c r="T50" s="81">
        <v>-213.52599999999978</v>
      </c>
      <c r="U50" s="81">
        <v>-446.24049999999977</v>
      </c>
    </row>
    <row r="51" spans="2:21">
      <c r="B51" s="78" t="s">
        <v>79</v>
      </c>
      <c r="C51" s="79">
        <v>1.9471499999999999E-2</v>
      </c>
      <c r="D51" s="146">
        <v>1.8712300000000001E-2</v>
      </c>
      <c r="E51" s="7">
        <v>15580.88625</v>
      </c>
      <c r="F51" s="7">
        <v>-424126</v>
      </c>
      <c r="G51" s="7">
        <v>-451232.54099999997</v>
      </c>
      <c r="H51" s="7"/>
      <c r="I51" s="80">
        <v>2219.7509999999997</v>
      </c>
      <c r="J51" s="80">
        <v>24144.66</v>
      </c>
      <c r="K51" s="80">
        <v>0</v>
      </c>
      <c r="L51" s="7">
        <v>1974.0000000000002</v>
      </c>
      <c r="M51" s="7"/>
      <c r="N51" s="80">
        <v>7477.0559999999996</v>
      </c>
      <c r="O51" s="80">
        <v>1771.9064999999998</v>
      </c>
      <c r="P51" s="80">
        <v>0</v>
      </c>
      <c r="Q51" s="7">
        <v>11880.098999999993</v>
      </c>
      <c r="R51" s="7"/>
      <c r="S51" s="80">
        <v>-9755.2214999999997</v>
      </c>
      <c r="T51" s="81">
        <v>-3755.0449999999964</v>
      </c>
      <c r="U51" s="81">
        <v>-13510.266499999996</v>
      </c>
    </row>
    <row r="52" spans="2:21">
      <c r="B52" s="78" t="s">
        <v>80</v>
      </c>
      <c r="C52" s="79">
        <v>4.7653000000000001E-3</v>
      </c>
      <c r="D52" s="146">
        <v>4.6100999999999998E-3</v>
      </c>
      <c r="E52" s="7">
        <v>3813.1372499999998</v>
      </c>
      <c r="F52" s="7">
        <v>-104497</v>
      </c>
      <c r="G52" s="7">
        <v>-110431.0622</v>
      </c>
      <c r="H52" s="7"/>
      <c r="I52" s="80">
        <v>543.24419999999998</v>
      </c>
      <c r="J52" s="80">
        <v>5908.9719999999998</v>
      </c>
      <c r="K52" s="80">
        <v>0</v>
      </c>
      <c r="L52" s="7">
        <v>0</v>
      </c>
      <c r="M52" s="7"/>
      <c r="N52" s="80">
        <v>1829.8751999999999</v>
      </c>
      <c r="O52" s="80">
        <v>433.64230000000003</v>
      </c>
      <c r="P52" s="80">
        <v>0</v>
      </c>
      <c r="Q52" s="7">
        <v>2669.3099999999972</v>
      </c>
      <c r="R52" s="7"/>
      <c r="S52" s="80">
        <v>-2387.4153000000001</v>
      </c>
      <c r="T52" s="81">
        <v>-1306.0499999999986</v>
      </c>
      <c r="U52" s="81">
        <v>-3693.4652999999989</v>
      </c>
    </row>
    <row r="53" spans="2:21">
      <c r="B53" s="78" t="s">
        <v>81</v>
      </c>
      <c r="C53" s="79">
        <v>1.8983E-2</v>
      </c>
      <c r="D53" s="146">
        <v>1.9272000000000001E-2</v>
      </c>
      <c r="E53" s="7">
        <v>15189.978499999999</v>
      </c>
      <c r="F53" s="7">
        <v>-436817</v>
      </c>
      <c r="G53" s="7">
        <v>-439912.04200000002</v>
      </c>
      <c r="H53" s="7"/>
      <c r="I53" s="80">
        <v>2164.0619999999999</v>
      </c>
      <c r="J53" s="80">
        <v>23538.92</v>
      </c>
      <c r="K53" s="80">
        <v>0</v>
      </c>
      <c r="L53" s="7">
        <v>4518.9738000000098</v>
      </c>
      <c r="M53" s="7"/>
      <c r="N53" s="80">
        <v>7289.4719999999998</v>
      </c>
      <c r="O53" s="80">
        <v>1727.453</v>
      </c>
      <c r="P53" s="80">
        <v>0</v>
      </c>
      <c r="Q53" s="7">
        <v>7645.2000000000007</v>
      </c>
      <c r="R53" s="7"/>
      <c r="S53" s="80">
        <v>-9510.4830000000002</v>
      </c>
      <c r="T53" s="81">
        <v>-4316.9209999999957</v>
      </c>
      <c r="U53" s="81">
        <v>-13827.403999999995</v>
      </c>
    </row>
    <row r="54" spans="2:21">
      <c r="B54" s="78" t="s">
        <v>82</v>
      </c>
      <c r="C54" s="79">
        <v>1.0701E-3</v>
      </c>
      <c r="D54" s="146">
        <v>9.8109999999999994E-4</v>
      </c>
      <c r="E54" s="7">
        <v>856.30875000000003</v>
      </c>
      <c r="F54" s="7">
        <v>-22231</v>
      </c>
      <c r="G54" s="7">
        <v>-24798.4974</v>
      </c>
      <c r="H54" s="7"/>
      <c r="I54" s="80">
        <v>121.9914</v>
      </c>
      <c r="J54" s="80">
        <v>1326.924</v>
      </c>
      <c r="K54" s="80">
        <v>0</v>
      </c>
      <c r="L54" s="7">
        <v>0</v>
      </c>
      <c r="M54" s="7"/>
      <c r="N54" s="80">
        <v>410.91840000000002</v>
      </c>
      <c r="O54" s="80">
        <v>97.379100000000008</v>
      </c>
      <c r="P54" s="80">
        <v>0</v>
      </c>
      <c r="Q54" s="7">
        <v>2205.6306000000013</v>
      </c>
      <c r="R54" s="7"/>
      <c r="S54" s="80">
        <v>-536.12009999999998</v>
      </c>
      <c r="T54" s="81">
        <v>-1308.9230000000007</v>
      </c>
      <c r="U54" s="81">
        <v>-1845.0431000000008</v>
      </c>
    </row>
    <row r="55" spans="2:21">
      <c r="B55" s="78" t="s">
        <v>83</v>
      </c>
      <c r="C55" s="79">
        <v>5.6010000000000001E-3</v>
      </c>
      <c r="D55" s="146">
        <v>5.5763999999999996E-3</v>
      </c>
      <c r="E55" s="7">
        <v>4481.8862499999996</v>
      </c>
      <c r="F55" s="7">
        <v>-126388</v>
      </c>
      <c r="G55" s="7">
        <v>-129797.57400000001</v>
      </c>
      <c r="H55" s="7"/>
      <c r="I55" s="80">
        <v>638.51400000000001</v>
      </c>
      <c r="J55" s="80">
        <v>6945.24</v>
      </c>
      <c r="K55" s="80">
        <v>0</v>
      </c>
      <c r="L55" s="7">
        <v>0</v>
      </c>
      <c r="M55" s="7"/>
      <c r="N55" s="80">
        <v>2150.7840000000001</v>
      </c>
      <c r="O55" s="80">
        <v>509.69100000000003</v>
      </c>
      <c r="P55" s="80">
        <v>0</v>
      </c>
      <c r="Q55" s="7">
        <v>2406.6858000000043</v>
      </c>
      <c r="R55" s="7"/>
      <c r="S55" s="80">
        <v>-2806.1010000000001</v>
      </c>
      <c r="T55" s="81">
        <v>-1858.0390000000018</v>
      </c>
      <c r="U55" s="81">
        <v>-4664.1400000000021</v>
      </c>
    </row>
    <row r="56" spans="2:21">
      <c r="B56" s="78" t="s">
        <v>84</v>
      </c>
      <c r="C56" s="79">
        <v>3.4470999999999998E-3</v>
      </c>
      <c r="D56" s="146">
        <v>3.7331E-3</v>
      </c>
      <c r="E56" s="7">
        <v>2758.3440000000001</v>
      </c>
      <c r="F56" s="7">
        <v>-84603</v>
      </c>
      <c r="G56" s="7">
        <v>-79883.095399999991</v>
      </c>
      <c r="H56" s="7"/>
      <c r="I56" s="80">
        <v>392.96940000000001</v>
      </c>
      <c r="J56" s="80">
        <v>4274.4039999999995</v>
      </c>
      <c r="K56" s="80">
        <v>0</v>
      </c>
      <c r="L56" s="7">
        <v>4465.7910000000074</v>
      </c>
      <c r="M56" s="7"/>
      <c r="N56" s="80">
        <v>1323.6863999999998</v>
      </c>
      <c r="O56" s="80">
        <v>313.68610000000001</v>
      </c>
      <c r="P56" s="80">
        <v>0</v>
      </c>
      <c r="Q56" s="7">
        <v>2918.4000000000005</v>
      </c>
      <c r="R56" s="7"/>
      <c r="S56" s="80">
        <v>-1726.9970999999998</v>
      </c>
      <c r="T56" s="81">
        <v>-402.09499999999662</v>
      </c>
      <c r="U56" s="81">
        <v>-2129.0920999999962</v>
      </c>
    </row>
    <row r="57" spans="2:21">
      <c r="B57" s="78" t="s">
        <v>85</v>
      </c>
      <c r="C57" s="79">
        <v>8.4183000000000001E-3</v>
      </c>
      <c r="D57" s="146">
        <v>8.0847999999999996E-3</v>
      </c>
      <c r="E57" s="7">
        <v>6736.2332499999993</v>
      </c>
      <c r="F57" s="7">
        <v>-183241</v>
      </c>
      <c r="G57" s="7">
        <v>-195085.68419999999</v>
      </c>
      <c r="H57" s="7"/>
      <c r="I57" s="80">
        <v>959.68619999999999</v>
      </c>
      <c r="J57" s="80">
        <v>10438.692000000001</v>
      </c>
      <c r="K57" s="80">
        <v>0</v>
      </c>
      <c r="L57" s="7">
        <v>0</v>
      </c>
      <c r="M57" s="7"/>
      <c r="N57" s="80">
        <v>3232.6271999999999</v>
      </c>
      <c r="O57" s="80">
        <v>766.06529999999998</v>
      </c>
      <c r="P57" s="80">
        <v>0</v>
      </c>
      <c r="Q57" s="7">
        <v>5963.2638000000097</v>
      </c>
      <c r="R57" s="7"/>
      <c r="S57" s="80">
        <v>-4217.5682999999999</v>
      </c>
      <c r="T57" s="81">
        <v>-2991.0290000000041</v>
      </c>
      <c r="U57" s="81">
        <v>-7208.597300000004</v>
      </c>
    </row>
    <row r="58" spans="2:21">
      <c r="B58" s="78" t="s">
        <v>86</v>
      </c>
      <c r="C58" s="79">
        <v>4.2405000000000003E-3</v>
      </c>
      <c r="D58" s="146">
        <v>3.8714999999999999E-3</v>
      </c>
      <c r="E58" s="7">
        <v>3393.1895999999997</v>
      </c>
      <c r="F58" s="7">
        <v>-87742</v>
      </c>
      <c r="G58" s="7">
        <v>-98269.347000000009</v>
      </c>
      <c r="H58" s="7"/>
      <c r="I58" s="80">
        <v>483.41700000000003</v>
      </c>
      <c r="J58" s="80">
        <v>5258.22</v>
      </c>
      <c r="K58" s="80">
        <v>0</v>
      </c>
      <c r="L58" s="7">
        <v>4075.2000000000007</v>
      </c>
      <c r="M58" s="7"/>
      <c r="N58" s="80">
        <v>1628.3520000000001</v>
      </c>
      <c r="O58" s="80">
        <v>385.88550000000004</v>
      </c>
      <c r="P58" s="80">
        <v>0</v>
      </c>
      <c r="Q58" s="7">
        <v>5778.1548000000066</v>
      </c>
      <c r="R58" s="7"/>
      <c r="S58" s="80">
        <v>-2124.4905000000003</v>
      </c>
      <c r="T58" s="81">
        <v>769.56599999999708</v>
      </c>
      <c r="U58" s="81">
        <v>-1354.9245000000033</v>
      </c>
    </row>
    <row r="59" spans="2:21">
      <c r="B59" s="78" t="s">
        <v>87</v>
      </c>
      <c r="C59" s="79">
        <v>4.8856000000000004E-3</v>
      </c>
      <c r="D59" s="146">
        <v>4.7362000000000003E-3</v>
      </c>
      <c r="E59" s="7">
        <v>3909.4342499999998</v>
      </c>
      <c r="F59" s="7">
        <v>-107355</v>
      </c>
      <c r="G59" s="7">
        <v>-113218.8944</v>
      </c>
      <c r="H59" s="7"/>
      <c r="I59" s="80">
        <v>556.9584000000001</v>
      </c>
      <c r="J59" s="80">
        <v>6058.1440000000002</v>
      </c>
      <c r="K59" s="80">
        <v>0</v>
      </c>
      <c r="L59" s="7">
        <v>0</v>
      </c>
      <c r="M59" s="7"/>
      <c r="N59" s="80">
        <v>1876.0704000000001</v>
      </c>
      <c r="O59" s="80">
        <v>444.58960000000002</v>
      </c>
      <c r="P59" s="80">
        <v>0</v>
      </c>
      <c r="Q59" s="7">
        <v>9804.9864000000016</v>
      </c>
      <c r="R59" s="7"/>
      <c r="S59" s="80">
        <v>-2447.6856000000002</v>
      </c>
      <c r="T59" s="81">
        <v>-7286.8120000000008</v>
      </c>
      <c r="U59" s="81">
        <v>-9734.4976000000006</v>
      </c>
    </row>
    <row r="60" spans="2:21">
      <c r="B60" s="78" t="s">
        <v>88</v>
      </c>
      <c r="C60" s="79">
        <v>1.8458000000000001E-3</v>
      </c>
      <c r="D60" s="146">
        <v>1.8776000000000001E-3</v>
      </c>
      <c r="E60" s="7">
        <v>1477.0124999999998</v>
      </c>
      <c r="F60" s="7">
        <v>-42555</v>
      </c>
      <c r="G60" s="7">
        <v>-42774.569200000005</v>
      </c>
      <c r="H60" s="7"/>
      <c r="I60" s="80">
        <v>210.4212</v>
      </c>
      <c r="J60" s="80">
        <v>2288.7919999999999</v>
      </c>
      <c r="K60" s="80">
        <v>0</v>
      </c>
      <c r="L60" s="7">
        <v>495.85139999999808</v>
      </c>
      <c r="M60" s="7"/>
      <c r="N60" s="80">
        <v>708.78719999999998</v>
      </c>
      <c r="O60" s="80">
        <v>167.96780000000001</v>
      </c>
      <c r="P60" s="80">
        <v>0</v>
      </c>
      <c r="Q60" s="7">
        <v>1466.4000000000003</v>
      </c>
      <c r="R60" s="7"/>
      <c r="S60" s="80">
        <v>-924.74580000000003</v>
      </c>
      <c r="T60" s="81">
        <v>-996.61300000000085</v>
      </c>
      <c r="U60" s="81">
        <v>-1921.3588000000009</v>
      </c>
    </row>
    <row r="61" spans="2:21">
      <c r="B61" s="78" t="s">
        <v>89</v>
      </c>
      <c r="C61" s="79">
        <v>3.7981999999999998E-3</v>
      </c>
      <c r="D61" s="146">
        <v>3.8446000000000001E-3</v>
      </c>
      <c r="E61" s="7">
        <v>3039.2490000000003</v>
      </c>
      <c r="F61" s="7">
        <v>-87139</v>
      </c>
      <c r="G61" s="7">
        <v>-88019.486799999999</v>
      </c>
      <c r="H61" s="7"/>
      <c r="I61" s="80">
        <v>432.9948</v>
      </c>
      <c r="J61" s="80">
        <v>4709.768</v>
      </c>
      <c r="K61" s="80">
        <v>0</v>
      </c>
      <c r="L61" s="7">
        <v>724.22459999999455</v>
      </c>
      <c r="M61" s="7"/>
      <c r="N61" s="80">
        <v>1458.5087999999998</v>
      </c>
      <c r="O61" s="80">
        <v>345.63619999999997</v>
      </c>
      <c r="P61" s="80">
        <v>0</v>
      </c>
      <c r="Q61" s="7">
        <v>800.40000000000009</v>
      </c>
      <c r="R61" s="7"/>
      <c r="S61" s="80">
        <v>-1902.8981999999999</v>
      </c>
      <c r="T61" s="81">
        <v>-337.80700000000252</v>
      </c>
      <c r="U61" s="81">
        <v>-2240.7052000000022</v>
      </c>
    </row>
    <row r="62" spans="2:21">
      <c r="B62" s="78" t="s">
        <v>90</v>
      </c>
      <c r="C62" s="79">
        <v>8.8390400000000008E-2</v>
      </c>
      <c r="D62" s="146">
        <v>8.7211999999999998E-2</v>
      </c>
      <c r="E62" s="7">
        <v>70728.998250000004</v>
      </c>
      <c r="F62" s="7">
        <v>-1976743</v>
      </c>
      <c r="G62" s="7">
        <v>-2048359.1296000001</v>
      </c>
      <c r="H62" s="7"/>
      <c r="I62" s="80">
        <v>10076.5056</v>
      </c>
      <c r="J62" s="80">
        <v>109604.09600000001</v>
      </c>
      <c r="K62" s="80">
        <v>0</v>
      </c>
      <c r="L62" s="7">
        <v>65179.200000000012</v>
      </c>
      <c r="M62" s="7"/>
      <c r="N62" s="80">
        <v>33941.9136</v>
      </c>
      <c r="O62" s="80">
        <v>8043.5264000000006</v>
      </c>
      <c r="P62" s="80">
        <v>0</v>
      </c>
      <c r="Q62" s="7">
        <v>18435.661200000017</v>
      </c>
      <c r="R62" s="7"/>
      <c r="S62" s="80">
        <v>-44283.590400000001</v>
      </c>
      <c r="T62" s="81">
        <v>45936.153999999995</v>
      </c>
      <c r="U62" s="81">
        <v>1652.563599999994</v>
      </c>
    </row>
    <row r="63" spans="2:21">
      <c r="B63" s="78" t="s">
        <v>91</v>
      </c>
      <c r="C63" s="79">
        <v>1.5759000000000001E-3</v>
      </c>
      <c r="D63" s="146">
        <v>1.6448999999999999E-3</v>
      </c>
      <c r="E63" s="7">
        <v>1261.0572500000001</v>
      </c>
      <c r="F63" s="7">
        <v>-37295</v>
      </c>
      <c r="G63" s="7">
        <v>-36519.906600000002</v>
      </c>
      <c r="H63" s="7"/>
      <c r="I63" s="80">
        <v>179.65260000000001</v>
      </c>
      <c r="J63" s="80">
        <v>1954.1160000000002</v>
      </c>
      <c r="K63" s="80">
        <v>0</v>
      </c>
      <c r="L63" s="7">
        <v>1480.7190000000028</v>
      </c>
      <c r="M63" s="7"/>
      <c r="N63" s="80">
        <v>605.14560000000006</v>
      </c>
      <c r="O63" s="80">
        <v>143.40690000000001</v>
      </c>
      <c r="P63" s="80">
        <v>0</v>
      </c>
      <c r="Q63" s="7">
        <v>0</v>
      </c>
      <c r="R63" s="7"/>
      <c r="S63" s="80">
        <v>-789.52590000000009</v>
      </c>
      <c r="T63" s="81">
        <v>822.14500000000112</v>
      </c>
      <c r="U63" s="81">
        <v>32.619100000001026</v>
      </c>
    </row>
    <row r="64" spans="2:21">
      <c r="B64" s="78" t="s">
        <v>92</v>
      </c>
      <c r="C64" s="79">
        <v>2.4891000000000002E-3</v>
      </c>
      <c r="D64" s="146">
        <v>2.4483E-3</v>
      </c>
      <c r="E64" s="7">
        <v>1991.7112499999998</v>
      </c>
      <c r="F64" s="7">
        <v>-55498</v>
      </c>
      <c r="G64" s="7">
        <v>-57682.403400000003</v>
      </c>
      <c r="H64" s="7"/>
      <c r="I64" s="80">
        <v>283.75740000000002</v>
      </c>
      <c r="J64" s="80">
        <v>3086.4840000000004</v>
      </c>
      <c r="K64" s="80">
        <v>0</v>
      </c>
      <c r="L64" s="7">
        <v>0</v>
      </c>
      <c r="M64" s="7"/>
      <c r="N64" s="80">
        <v>955.81440000000009</v>
      </c>
      <c r="O64" s="80">
        <v>226.50810000000001</v>
      </c>
      <c r="P64" s="80">
        <v>0</v>
      </c>
      <c r="Q64" s="7">
        <v>1703.0652000000009</v>
      </c>
      <c r="R64" s="7"/>
      <c r="S64" s="80">
        <v>-1247.0391000000002</v>
      </c>
      <c r="T64" s="81">
        <v>-1178.6660000000002</v>
      </c>
      <c r="U64" s="81">
        <v>-2425.7051000000001</v>
      </c>
    </row>
    <row r="65" spans="2:21">
      <c r="B65" s="78" t="s">
        <v>93</v>
      </c>
      <c r="C65" s="79">
        <v>1.29915E-2</v>
      </c>
      <c r="D65" s="146">
        <v>1.2653299999999999E-2</v>
      </c>
      <c r="E65" s="7">
        <v>10395.692500000001</v>
      </c>
      <c r="F65" s="7">
        <v>-286795</v>
      </c>
      <c r="G65" s="7">
        <v>-301065.02100000001</v>
      </c>
      <c r="H65" s="7"/>
      <c r="I65" s="80">
        <v>1481.0309999999999</v>
      </c>
      <c r="J65" s="80">
        <v>16109.46</v>
      </c>
      <c r="K65" s="80">
        <v>0</v>
      </c>
      <c r="L65" s="7">
        <v>0</v>
      </c>
      <c r="M65" s="7"/>
      <c r="N65" s="80">
        <v>4988.7359999999999</v>
      </c>
      <c r="O65" s="80">
        <v>1182.2265</v>
      </c>
      <c r="P65" s="80">
        <v>0</v>
      </c>
      <c r="Q65" s="7">
        <v>6501.6527999999726</v>
      </c>
      <c r="R65" s="7"/>
      <c r="S65" s="80">
        <v>-6508.7415000000001</v>
      </c>
      <c r="T65" s="81">
        <v>-3413.0239999999872</v>
      </c>
      <c r="U65" s="81">
        <v>-9921.7654999999868</v>
      </c>
    </row>
    <row r="66" spans="2:21">
      <c r="B66" s="78" t="s">
        <v>94</v>
      </c>
      <c r="C66" s="79">
        <v>8.3500999999999992E-3</v>
      </c>
      <c r="D66" s="146">
        <v>8.4106000000000007E-3</v>
      </c>
      <c r="E66" s="7">
        <v>6681.6660000000002</v>
      </c>
      <c r="F66" s="7">
        <v>-190646</v>
      </c>
      <c r="G66" s="7">
        <v>-193505.21739999999</v>
      </c>
      <c r="H66" s="7"/>
      <c r="I66" s="80">
        <v>951.91139999999996</v>
      </c>
      <c r="J66" s="80">
        <v>10354.124</v>
      </c>
      <c r="K66" s="80">
        <v>0</v>
      </c>
      <c r="L66" s="7">
        <v>2241.7620000000129</v>
      </c>
      <c r="M66" s="7"/>
      <c r="N66" s="80">
        <v>3206.4383999999995</v>
      </c>
      <c r="O66" s="80">
        <v>759.8590999999999</v>
      </c>
      <c r="P66" s="80">
        <v>0</v>
      </c>
      <c r="Q66" s="7">
        <v>0</v>
      </c>
      <c r="R66" s="7"/>
      <c r="S66" s="80">
        <v>-4183.4000999999998</v>
      </c>
      <c r="T66" s="81">
        <v>1506.7100000000057</v>
      </c>
      <c r="U66" s="81">
        <v>-2676.6900999999943</v>
      </c>
    </row>
    <row r="67" spans="2:21">
      <c r="B67" s="78" t="s">
        <v>95</v>
      </c>
      <c r="C67" s="79">
        <v>2.5998500000000001E-2</v>
      </c>
      <c r="D67" s="146">
        <v>2.4964799999999999E-2</v>
      </c>
      <c r="E67" s="7">
        <v>20803.714500000002</v>
      </c>
      <c r="F67" s="7">
        <v>-565854</v>
      </c>
      <c r="G67" s="7">
        <v>-602489.23900000006</v>
      </c>
      <c r="H67" s="7"/>
      <c r="I67" s="80">
        <v>2963.8290000000002</v>
      </c>
      <c r="J67" s="80">
        <v>32238.14</v>
      </c>
      <c r="K67" s="80">
        <v>0</v>
      </c>
      <c r="L67" s="7">
        <v>7504.8000000000011</v>
      </c>
      <c r="M67" s="7"/>
      <c r="N67" s="80">
        <v>9983.4240000000009</v>
      </c>
      <c r="O67" s="80">
        <v>2365.8634999999999</v>
      </c>
      <c r="P67" s="80">
        <v>0</v>
      </c>
      <c r="Q67" s="7">
        <v>16167.571199999975</v>
      </c>
      <c r="R67" s="7"/>
      <c r="S67" s="80">
        <v>-13025.2485</v>
      </c>
      <c r="T67" s="81">
        <v>-1094.8959999999879</v>
      </c>
      <c r="U67" s="81">
        <v>-14120.144499999988</v>
      </c>
    </row>
    <row r="68" spans="2:21">
      <c r="B68" s="78" t="s">
        <v>96</v>
      </c>
      <c r="C68" s="79">
        <v>1.7045000000000001E-3</v>
      </c>
      <c r="D68" s="146">
        <v>1.6570999999999999E-3</v>
      </c>
      <c r="E68" s="7">
        <v>1363.9025000000001</v>
      </c>
      <c r="F68" s="7">
        <v>-37571</v>
      </c>
      <c r="G68" s="7">
        <v>-39500.082999999999</v>
      </c>
      <c r="H68" s="7"/>
      <c r="I68" s="80">
        <v>194.31300000000002</v>
      </c>
      <c r="J68" s="80">
        <v>2113.58</v>
      </c>
      <c r="K68" s="80">
        <v>0</v>
      </c>
      <c r="L68" s="7">
        <v>0</v>
      </c>
      <c r="M68" s="7"/>
      <c r="N68" s="80">
        <v>654.52800000000002</v>
      </c>
      <c r="O68" s="80">
        <v>155.1095</v>
      </c>
      <c r="P68" s="80">
        <v>0</v>
      </c>
      <c r="Q68" s="7">
        <v>1349.2098000000005</v>
      </c>
      <c r="R68" s="7"/>
      <c r="S68" s="80">
        <v>-853.95450000000005</v>
      </c>
      <c r="T68" s="81">
        <v>-846.45900000000017</v>
      </c>
      <c r="U68" s="81">
        <v>-1700.4135000000001</v>
      </c>
    </row>
    <row r="69" spans="2:21">
      <c r="B69" s="78" t="s">
        <v>97</v>
      </c>
      <c r="C69" s="79">
        <v>2.28341E-2</v>
      </c>
      <c r="D69" s="146">
        <v>2.2782199999999999E-2</v>
      </c>
      <c r="E69" s="7">
        <v>18271.610099999998</v>
      </c>
      <c r="F69" s="7">
        <v>-516372</v>
      </c>
      <c r="G69" s="7">
        <v>-529157.43339999998</v>
      </c>
      <c r="H69" s="7"/>
      <c r="I69" s="80">
        <v>2603.0873999999999</v>
      </c>
      <c r="J69" s="80">
        <v>28314.284</v>
      </c>
      <c r="K69" s="80">
        <v>0</v>
      </c>
      <c r="L69" s="7">
        <v>14120.400000000001</v>
      </c>
      <c r="M69" s="7"/>
      <c r="N69" s="80">
        <v>8768.2944000000007</v>
      </c>
      <c r="O69" s="80">
        <v>2077.9031</v>
      </c>
      <c r="P69" s="80">
        <v>0</v>
      </c>
      <c r="Q69" s="7">
        <v>818.07659999997372</v>
      </c>
      <c r="R69" s="7"/>
      <c r="S69" s="80">
        <v>-11439.884099999999</v>
      </c>
      <c r="T69" s="81">
        <v>11395.147000000012</v>
      </c>
      <c r="U69" s="81">
        <v>-44.737099999987549</v>
      </c>
    </row>
    <row r="70" spans="2:21">
      <c r="B70" s="78" t="s">
        <v>98</v>
      </c>
      <c r="C70" s="79">
        <v>1.09301E-2</v>
      </c>
      <c r="D70" s="146">
        <v>1.05638E-2</v>
      </c>
      <c r="E70" s="7">
        <v>8746.1178500000005</v>
      </c>
      <c r="F70" s="7">
        <v>-239432</v>
      </c>
      <c r="G70" s="7">
        <v>-253294.13740000001</v>
      </c>
      <c r="H70" s="7"/>
      <c r="I70" s="80">
        <v>1246.0314000000001</v>
      </c>
      <c r="J70" s="80">
        <v>13553.324000000001</v>
      </c>
      <c r="K70" s="80">
        <v>0</v>
      </c>
      <c r="L70" s="7">
        <v>4257.6000000000004</v>
      </c>
      <c r="M70" s="7"/>
      <c r="N70" s="80">
        <v>4197.1584000000003</v>
      </c>
      <c r="O70" s="80">
        <v>994.63909999999998</v>
      </c>
      <c r="P70" s="80">
        <v>0</v>
      </c>
      <c r="Q70" s="7">
        <v>5734.3572000000058</v>
      </c>
      <c r="R70" s="7"/>
      <c r="S70" s="80">
        <v>-5475.9800999999998</v>
      </c>
      <c r="T70" s="81">
        <v>941.47399999999743</v>
      </c>
      <c r="U70" s="81">
        <v>-4534.5061000000023</v>
      </c>
    </row>
    <row r="71" spans="2:21">
      <c r="B71" s="78" t="s">
        <v>99</v>
      </c>
      <c r="C71" s="79">
        <v>1.3946E-3</v>
      </c>
      <c r="D71" s="146">
        <v>1.4783000000000001E-3</v>
      </c>
      <c r="E71" s="7">
        <v>1115.9512500000001</v>
      </c>
      <c r="F71" s="7">
        <v>-33516</v>
      </c>
      <c r="G71" s="7">
        <v>-32318.4604</v>
      </c>
      <c r="H71" s="7"/>
      <c r="I71" s="80">
        <v>158.98439999999999</v>
      </c>
      <c r="J71" s="80">
        <v>1729.3039999999999</v>
      </c>
      <c r="K71" s="80">
        <v>0</v>
      </c>
      <c r="L71" s="7">
        <v>1315.4921999999967</v>
      </c>
      <c r="M71" s="7"/>
      <c r="N71" s="80">
        <v>535.52639999999997</v>
      </c>
      <c r="O71" s="80">
        <v>126.90859999999999</v>
      </c>
      <c r="P71" s="80">
        <v>0</v>
      </c>
      <c r="Q71" s="7">
        <v>969.60000000000014</v>
      </c>
      <c r="R71" s="7"/>
      <c r="S71" s="80">
        <v>-698.69460000000004</v>
      </c>
      <c r="T71" s="81">
        <v>-210.04900000000157</v>
      </c>
      <c r="U71" s="81">
        <v>-908.74360000000161</v>
      </c>
    </row>
    <row r="72" spans="2:21">
      <c r="B72" s="78" t="s">
        <v>100</v>
      </c>
      <c r="C72" s="79">
        <v>4.1191999999999999E-3</v>
      </c>
      <c r="D72" s="146">
        <v>4.2316000000000003E-3</v>
      </c>
      <c r="E72" s="7">
        <v>3296.1007500000001</v>
      </c>
      <c r="F72" s="7">
        <v>-95907</v>
      </c>
      <c r="G72" s="7">
        <v>-95458.340800000005</v>
      </c>
      <c r="H72" s="7"/>
      <c r="I72" s="80">
        <v>469.58879999999999</v>
      </c>
      <c r="J72" s="80">
        <v>5107.808</v>
      </c>
      <c r="K72" s="80">
        <v>0</v>
      </c>
      <c r="L72" s="7">
        <v>1753.4682000000146</v>
      </c>
      <c r="M72" s="7"/>
      <c r="N72" s="80">
        <v>1581.7728</v>
      </c>
      <c r="O72" s="80">
        <v>374.84719999999999</v>
      </c>
      <c r="P72" s="80">
        <v>0</v>
      </c>
      <c r="Q72" s="7">
        <v>124.80000000000001</v>
      </c>
      <c r="R72" s="7"/>
      <c r="S72" s="80">
        <v>-2063.7192</v>
      </c>
      <c r="T72" s="81">
        <v>693.03100000000654</v>
      </c>
      <c r="U72" s="81">
        <v>-1370.6881999999935</v>
      </c>
    </row>
    <row r="73" spans="2:21">
      <c r="B73" s="78" t="s">
        <v>101</v>
      </c>
      <c r="C73" s="79">
        <v>7.0577000000000001E-3</v>
      </c>
      <c r="D73" s="146">
        <v>6.7166999999999999E-3</v>
      </c>
      <c r="E73" s="7">
        <v>5647.5120000000006</v>
      </c>
      <c r="F73" s="7">
        <v>-152245</v>
      </c>
      <c r="G73" s="7">
        <v>-163555.1398</v>
      </c>
      <c r="H73" s="7"/>
      <c r="I73" s="80">
        <v>804.57780000000002</v>
      </c>
      <c r="J73" s="80">
        <v>8751.5480000000007</v>
      </c>
      <c r="K73" s="80">
        <v>0</v>
      </c>
      <c r="L73" s="7">
        <v>0</v>
      </c>
      <c r="M73" s="7"/>
      <c r="N73" s="80">
        <v>2710.1568000000002</v>
      </c>
      <c r="O73" s="80">
        <v>642.25070000000005</v>
      </c>
      <c r="P73" s="80">
        <v>0</v>
      </c>
      <c r="Q73" s="7">
        <v>6302.7935999999972</v>
      </c>
      <c r="R73" s="7"/>
      <c r="S73" s="80">
        <v>-3535.9077000000002</v>
      </c>
      <c r="T73" s="81">
        <v>-3233.0879999999984</v>
      </c>
      <c r="U73" s="81">
        <v>-6768.9956999999986</v>
      </c>
    </row>
    <row r="74" spans="2:21">
      <c r="B74" s="78" t="s">
        <v>102</v>
      </c>
      <c r="C74" s="79">
        <v>1.3423E-3</v>
      </c>
      <c r="D74" s="146">
        <v>1.3852000000000001E-3</v>
      </c>
      <c r="E74" s="7">
        <v>1074.0575000000001</v>
      </c>
      <c r="F74" s="7">
        <v>-31399</v>
      </c>
      <c r="G74" s="7">
        <v>-31106.460200000001</v>
      </c>
      <c r="H74" s="7"/>
      <c r="I74" s="80">
        <v>153.0222</v>
      </c>
      <c r="J74" s="80">
        <v>1664.452</v>
      </c>
      <c r="K74" s="80">
        <v>0</v>
      </c>
      <c r="L74" s="7">
        <v>876.60599999999681</v>
      </c>
      <c r="M74" s="7"/>
      <c r="N74" s="80">
        <v>515.44320000000005</v>
      </c>
      <c r="O74" s="80">
        <v>122.14930000000001</v>
      </c>
      <c r="P74" s="80">
        <v>0</v>
      </c>
      <c r="Q74" s="7">
        <v>0</v>
      </c>
      <c r="R74" s="7"/>
      <c r="S74" s="80">
        <v>-672.4923</v>
      </c>
      <c r="T74" s="81">
        <v>475.72999999999854</v>
      </c>
      <c r="U74" s="81">
        <v>-196.76230000000146</v>
      </c>
    </row>
    <row r="75" spans="2:21">
      <c r="B75" s="78" t="s">
        <v>103</v>
      </c>
      <c r="C75" s="79">
        <v>3.5444999999999999E-3</v>
      </c>
      <c r="D75" s="146">
        <v>3.7344000000000001E-3</v>
      </c>
      <c r="E75" s="7">
        <v>2836.2814499999999</v>
      </c>
      <c r="F75" s="7">
        <v>-84639</v>
      </c>
      <c r="G75" s="7">
        <v>-82140.243000000002</v>
      </c>
      <c r="H75" s="7"/>
      <c r="I75" s="80">
        <v>404.07299999999998</v>
      </c>
      <c r="J75" s="80">
        <v>4395.18</v>
      </c>
      <c r="K75" s="80">
        <v>0</v>
      </c>
      <c r="L75" s="7">
        <v>2967.2873999999997</v>
      </c>
      <c r="M75" s="7"/>
      <c r="N75" s="80">
        <v>1361.088</v>
      </c>
      <c r="O75" s="80">
        <v>322.54949999999997</v>
      </c>
      <c r="P75" s="80">
        <v>0</v>
      </c>
      <c r="Q75" s="7">
        <v>1725.6000000000004</v>
      </c>
      <c r="R75" s="7"/>
      <c r="S75" s="80">
        <v>-1775.7945</v>
      </c>
      <c r="T75" s="81">
        <v>-89.233000000000175</v>
      </c>
      <c r="U75" s="81">
        <v>-1865.0275000000001</v>
      </c>
    </row>
    <row r="76" spans="2:21">
      <c r="B76" s="78" t="s">
        <v>104</v>
      </c>
      <c r="C76" s="79">
        <v>1.45868E-2</v>
      </c>
      <c r="D76" s="146">
        <v>1.47832E-2</v>
      </c>
      <c r="E76" s="7">
        <v>11672.212749999999</v>
      </c>
      <c r="F76" s="7">
        <v>-335074</v>
      </c>
      <c r="G76" s="7">
        <v>-338034.50320000004</v>
      </c>
      <c r="H76" s="7"/>
      <c r="I76" s="80">
        <v>1662.8952000000002</v>
      </c>
      <c r="J76" s="80">
        <v>18087.632000000001</v>
      </c>
      <c r="K76" s="80">
        <v>0</v>
      </c>
      <c r="L76" s="7">
        <v>3070.5246000000011</v>
      </c>
      <c r="M76" s="7"/>
      <c r="N76" s="80">
        <v>5601.3312000000005</v>
      </c>
      <c r="O76" s="80">
        <v>1327.3987999999999</v>
      </c>
      <c r="P76" s="80">
        <v>0</v>
      </c>
      <c r="Q76" s="7">
        <v>4416.0000000000009</v>
      </c>
      <c r="R76" s="7"/>
      <c r="S76" s="80">
        <v>-7307.9868000000006</v>
      </c>
      <c r="T76" s="81">
        <v>-2284.3069999999998</v>
      </c>
      <c r="U76" s="81">
        <v>-9592.2937999999995</v>
      </c>
    </row>
    <row r="77" spans="2:21">
      <c r="B77" s="78" t="s">
        <v>105</v>
      </c>
      <c r="C77" s="79">
        <v>2.4053999999999998E-3</v>
      </c>
      <c r="D77" s="146">
        <v>2.2095000000000001E-3</v>
      </c>
      <c r="E77" s="7">
        <v>1924.7666999999997</v>
      </c>
      <c r="F77" s="7">
        <v>-50087</v>
      </c>
      <c r="G77" s="7">
        <v>-55742.739599999994</v>
      </c>
      <c r="H77" s="7"/>
      <c r="I77" s="80">
        <v>274.21559999999999</v>
      </c>
      <c r="J77" s="80">
        <v>2982.6959999999999</v>
      </c>
      <c r="K77" s="80">
        <v>0</v>
      </c>
      <c r="L77" s="7">
        <v>0</v>
      </c>
      <c r="M77" s="7"/>
      <c r="N77" s="80">
        <v>923.67359999999996</v>
      </c>
      <c r="O77" s="80">
        <v>218.89139999999998</v>
      </c>
      <c r="P77" s="80">
        <v>0</v>
      </c>
      <c r="Q77" s="7">
        <v>4164.7751999999982</v>
      </c>
      <c r="R77" s="7"/>
      <c r="S77" s="80">
        <v>-1205.1053999999999</v>
      </c>
      <c r="T77" s="81">
        <v>-2311.7159999999985</v>
      </c>
      <c r="U77" s="81">
        <v>-3516.8213999999984</v>
      </c>
    </row>
    <row r="78" spans="2:21">
      <c r="B78" s="78" t="s">
        <v>106</v>
      </c>
      <c r="C78" s="79">
        <v>1.32129E-2</v>
      </c>
      <c r="D78" s="146">
        <v>1.1786100000000001E-2</v>
      </c>
      <c r="E78" s="7">
        <v>10572.84275</v>
      </c>
      <c r="F78" s="7">
        <v>-267141</v>
      </c>
      <c r="G78" s="7">
        <v>-306195.74459999998</v>
      </c>
      <c r="H78" s="7"/>
      <c r="I78" s="80">
        <v>1506.2706000000001</v>
      </c>
      <c r="J78" s="80">
        <v>16383.995999999999</v>
      </c>
      <c r="K78" s="80">
        <v>0</v>
      </c>
      <c r="L78" s="7">
        <v>0</v>
      </c>
      <c r="M78" s="7"/>
      <c r="N78" s="80">
        <v>5073.7536</v>
      </c>
      <c r="O78" s="80">
        <v>1202.3739</v>
      </c>
      <c r="P78" s="80">
        <v>0</v>
      </c>
      <c r="Q78" s="7">
        <v>26117.569800000005</v>
      </c>
      <c r="R78" s="7"/>
      <c r="S78" s="80">
        <v>-6619.6629000000003</v>
      </c>
      <c r="T78" s="81">
        <v>-13310.259000000002</v>
      </c>
      <c r="U78" s="81">
        <v>-19929.921900000001</v>
      </c>
    </row>
    <row r="79" spans="2:21">
      <c r="B79" s="78" t="s">
        <v>107</v>
      </c>
      <c r="C79" s="79">
        <v>2.8926999999999998E-3</v>
      </c>
      <c r="D79" s="146">
        <v>2.7986E-3</v>
      </c>
      <c r="E79" s="7">
        <v>2314.7044500000002</v>
      </c>
      <c r="F79" s="7">
        <v>-63440</v>
      </c>
      <c r="G79" s="7">
        <v>-67035.429799999998</v>
      </c>
      <c r="H79" s="7"/>
      <c r="I79" s="80">
        <v>329.76779999999997</v>
      </c>
      <c r="J79" s="80">
        <v>3586.9479999999999</v>
      </c>
      <c r="K79" s="80">
        <v>0</v>
      </c>
      <c r="L79" s="7">
        <v>0</v>
      </c>
      <c r="M79" s="7"/>
      <c r="N79" s="80">
        <v>1110.7967999999998</v>
      </c>
      <c r="O79" s="80">
        <v>263.23570000000001</v>
      </c>
      <c r="P79" s="80">
        <v>0</v>
      </c>
      <c r="Q79" s="7">
        <v>2975.6195999999909</v>
      </c>
      <c r="R79" s="7"/>
      <c r="S79" s="80">
        <v>-1449.2426999999998</v>
      </c>
      <c r="T79" s="81">
        <v>-1923.9179999999958</v>
      </c>
      <c r="U79" s="81">
        <v>-3373.1606999999958</v>
      </c>
    </row>
    <row r="80" spans="2:21">
      <c r="B80" s="78" t="s">
        <v>108</v>
      </c>
      <c r="C80" s="79">
        <v>7.7958000000000003E-3</v>
      </c>
      <c r="D80" s="146">
        <v>7.9550000000000003E-3</v>
      </c>
      <c r="E80" s="7">
        <v>6238.1019999999999</v>
      </c>
      <c r="F80" s="7">
        <v>-180319</v>
      </c>
      <c r="G80" s="7">
        <v>-180659.86920000002</v>
      </c>
      <c r="H80" s="7"/>
      <c r="I80" s="80">
        <v>888.72120000000007</v>
      </c>
      <c r="J80" s="80">
        <v>9666.7919999999995</v>
      </c>
      <c r="K80" s="80">
        <v>0</v>
      </c>
      <c r="L80" s="7">
        <v>2498.0274000000131</v>
      </c>
      <c r="M80" s="7"/>
      <c r="N80" s="80">
        <v>2993.5871999999999</v>
      </c>
      <c r="O80" s="80">
        <v>709.41780000000006</v>
      </c>
      <c r="P80" s="80">
        <v>0</v>
      </c>
      <c r="Q80" s="7">
        <v>5346.0000000000009</v>
      </c>
      <c r="R80" s="7"/>
      <c r="S80" s="80">
        <v>-3905.6958</v>
      </c>
      <c r="T80" s="81">
        <v>-3319.532999999994</v>
      </c>
      <c r="U80" s="81">
        <v>-7225.2287999999935</v>
      </c>
    </row>
    <row r="81" spans="2:21">
      <c r="B81" s="78" t="s">
        <v>109</v>
      </c>
      <c r="C81" s="79">
        <v>8.1589999999999996E-3</v>
      </c>
      <c r="D81" s="146">
        <v>8.0651999999999998E-3</v>
      </c>
      <c r="E81" s="7">
        <v>6528.7788499999997</v>
      </c>
      <c r="F81" s="7">
        <v>-182819</v>
      </c>
      <c r="G81" s="7">
        <v>-189076.666</v>
      </c>
      <c r="H81" s="7"/>
      <c r="I81" s="80">
        <v>930.12599999999998</v>
      </c>
      <c r="J81" s="80">
        <v>10117.16</v>
      </c>
      <c r="K81" s="80">
        <v>0</v>
      </c>
      <c r="L81" s="7">
        <v>0</v>
      </c>
      <c r="M81" s="7"/>
      <c r="N81" s="80">
        <v>3133.056</v>
      </c>
      <c r="O81" s="80">
        <v>742.46899999999994</v>
      </c>
      <c r="P81" s="80">
        <v>0</v>
      </c>
      <c r="Q81" s="7">
        <v>4809.4344000000001</v>
      </c>
      <c r="R81" s="7"/>
      <c r="S81" s="80">
        <v>-4087.6589999999997</v>
      </c>
      <c r="T81" s="81">
        <v>-3455.652</v>
      </c>
      <c r="U81" s="81">
        <v>-7543.3109999999997</v>
      </c>
    </row>
    <row r="82" spans="2:21">
      <c r="B82" s="78" t="s">
        <v>110</v>
      </c>
      <c r="C82" s="79">
        <v>1.2605999999999999E-2</v>
      </c>
      <c r="D82" s="146">
        <v>1.26447E-2</v>
      </c>
      <c r="E82" s="7">
        <v>10087.205800000002</v>
      </c>
      <c r="F82" s="7">
        <v>-286593</v>
      </c>
      <c r="G82" s="7">
        <v>-292131.44399999996</v>
      </c>
      <c r="H82" s="7"/>
      <c r="I82" s="80">
        <v>1437.0839999999998</v>
      </c>
      <c r="J82" s="80">
        <v>15631.439999999999</v>
      </c>
      <c r="K82" s="80">
        <v>0</v>
      </c>
      <c r="L82" s="7">
        <v>597.52440000001661</v>
      </c>
      <c r="M82" s="7"/>
      <c r="N82" s="80">
        <v>4840.7039999999997</v>
      </c>
      <c r="O82" s="80">
        <v>1147.146</v>
      </c>
      <c r="P82" s="80">
        <v>0</v>
      </c>
      <c r="Q82" s="7">
        <v>4665.6000000000004</v>
      </c>
      <c r="R82" s="7"/>
      <c r="S82" s="80">
        <v>-6315.6059999999998</v>
      </c>
      <c r="T82" s="81">
        <v>-3616.3979999999924</v>
      </c>
      <c r="U82" s="81">
        <v>-9932.0039999999917</v>
      </c>
    </row>
    <row r="83" spans="2:21">
      <c r="B83" s="78" t="s">
        <v>111</v>
      </c>
      <c r="C83" s="79">
        <v>6.5573999999999997E-3</v>
      </c>
      <c r="D83" s="146">
        <v>6.3346000000000001E-3</v>
      </c>
      <c r="E83" s="7">
        <v>5247.2002499999999</v>
      </c>
      <c r="F83" s="7">
        <v>-143580</v>
      </c>
      <c r="G83" s="7">
        <v>-151961.1876</v>
      </c>
      <c r="H83" s="7"/>
      <c r="I83" s="80">
        <v>747.54359999999997</v>
      </c>
      <c r="J83" s="80">
        <v>8131.1759999999995</v>
      </c>
      <c r="K83" s="80">
        <v>0</v>
      </c>
      <c r="L83" s="7">
        <v>0</v>
      </c>
      <c r="M83" s="7"/>
      <c r="N83" s="80">
        <v>2518.0416</v>
      </c>
      <c r="O83" s="80">
        <v>596.72339999999997</v>
      </c>
      <c r="P83" s="80">
        <v>0</v>
      </c>
      <c r="Q83" s="7">
        <v>4352.6375999999836</v>
      </c>
      <c r="R83" s="7"/>
      <c r="S83" s="80">
        <v>-3285.2574</v>
      </c>
      <c r="T83" s="81">
        <v>-2307.1079999999924</v>
      </c>
      <c r="U83" s="81">
        <v>-5592.3653999999924</v>
      </c>
    </row>
    <row r="84" spans="2:21">
      <c r="B84" s="78" t="s">
        <v>112</v>
      </c>
      <c r="C84" s="79">
        <v>4.8568999999999999E-3</v>
      </c>
      <c r="D84" s="146">
        <v>4.8843999999999997E-3</v>
      </c>
      <c r="E84" s="7">
        <v>3886.4440499999996</v>
      </c>
      <c r="F84" s="7">
        <v>-110703</v>
      </c>
      <c r="G84" s="7">
        <v>-112553.8006</v>
      </c>
      <c r="H84" s="7"/>
      <c r="I84" s="80">
        <v>553.6866</v>
      </c>
      <c r="J84" s="80">
        <v>6022.5559999999996</v>
      </c>
      <c r="K84" s="80">
        <v>0</v>
      </c>
      <c r="L84" s="7">
        <v>425.46239999999614</v>
      </c>
      <c r="M84" s="7"/>
      <c r="N84" s="80">
        <v>1865.0496000000001</v>
      </c>
      <c r="O84" s="80">
        <v>441.97789999999998</v>
      </c>
      <c r="P84" s="80">
        <v>0</v>
      </c>
      <c r="Q84" s="7">
        <v>2449.2000000000003</v>
      </c>
      <c r="R84" s="7"/>
      <c r="S84" s="80">
        <v>-2433.3069</v>
      </c>
      <c r="T84" s="81">
        <v>-1847.6080000000018</v>
      </c>
      <c r="U84" s="81">
        <v>-4280.9149000000016</v>
      </c>
    </row>
    <row r="85" spans="2:21">
      <c r="B85" s="78" t="s">
        <v>113</v>
      </c>
      <c r="C85" s="79">
        <v>2.8443000000000001E-3</v>
      </c>
      <c r="D85" s="146">
        <v>2.8279999999999998E-3</v>
      </c>
      <c r="E85" s="7">
        <v>2276.0174999999999</v>
      </c>
      <c r="F85" s="7">
        <v>-64090</v>
      </c>
      <c r="G85" s="7">
        <v>-65913.808199999999</v>
      </c>
      <c r="H85" s="7"/>
      <c r="I85" s="80">
        <v>324.25020000000001</v>
      </c>
      <c r="J85" s="80">
        <v>3526.9320000000002</v>
      </c>
      <c r="K85" s="80">
        <v>0</v>
      </c>
      <c r="L85" s="7">
        <v>0</v>
      </c>
      <c r="M85" s="7"/>
      <c r="N85" s="80">
        <v>1092.2112</v>
      </c>
      <c r="O85" s="80">
        <v>258.8313</v>
      </c>
      <c r="P85" s="80">
        <v>0</v>
      </c>
      <c r="Q85" s="7">
        <v>1454.0213999999999</v>
      </c>
      <c r="R85" s="7"/>
      <c r="S85" s="80">
        <v>-1424.9943000000001</v>
      </c>
      <c r="T85" s="81">
        <v>-1112.7369999999999</v>
      </c>
      <c r="U85" s="81">
        <v>-2537.7312999999999</v>
      </c>
    </row>
    <row r="86" spans="2:21">
      <c r="B86" s="78" t="s">
        <v>114</v>
      </c>
      <c r="C86" s="79">
        <v>5.8481000000000002E-3</v>
      </c>
      <c r="D86" s="146">
        <v>5.5212999999999998E-3</v>
      </c>
      <c r="E86" s="7">
        <v>4679.56005</v>
      </c>
      <c r="F86" s="7">
        <v>-125134</v>
      </c>
      <c r="G86" s="7">
        <v>-135523.8694</v>
      </c>
      <c r="H86" s="7"/>
      <c r="I86" s="80">
        <v>666.68340000000001</v>
      </c>
      <c r="J86" s="80">
        <v>7251.6440000000002</v>
      </c>
      <c r="K86" s="80">
        <v>0</v>
      </c>
      <c r="L86" s="7">
        <v>0</v>
      </c>
      <c r="M86" s="7"/>
      <c r="N86" s="80">
        <v>2245.6704</v>
      </c>
      <c r="O86" s="80">
        <v>532.1771</v>
      </c>
      <c r="P86" s="80">
        <v>0</v>
      </c>
      <c r="Q86" s="7">
        <v>6780.4266000000098</v>
      </c>
      <c r="R86" s="7"/>
      <c r="S86" s="80">
        <v>-2929.8980999999999</v>
      </c>
      <c r="T86" s="81">
        <v>-3711.1030000000042</v>
      </c>
      <c r="U86" s="81">
        <v>-6641.001100000004</v>
      </c>
    </row>
    <row r="87" spans="2:21">
      <c r="B87" s="78" t="s">
        <v>115</v>
      </c>
      <c r="C87" s="79">
        <v>3.8609E-3</v>
      </c>
      <c r="D87" s="146">
        <v>3.6388000000000002E-3</v>
      </c>
      <c r="E87" s="7">
        <v>3089.4607499999997</v>
      </c>
      <c r="F87" s="7">
        <v>-82484</v>
      </c>
      <c r="G87" s="7">
        <v>-89472.496599999999</v>
      </c>
      <c r="H87" s="7"/>
      <c r="I87" s="80">
        <v>440.14260000000002</v>
      </c>
      <c r="J87" s="80">
        <v>4787.5159999999996</v>
      </c>
      <c r="K87" s="80">
        <v>0</v>
      </c>
      <c r="L87" s="7">
        <v>0</v>
      </c>
      <c r="M87" s="7"/>
      <c r="N87" s="80">
        <v>1482.5856000000001</v>
      </c>
      <c r="O87" s="80">
        <v>351.34190000000001</v>
      </c>
      <c r="P87" s="80">
        <v>0</v>
      </c>
      <c r="Q87" s="7">
        <v>4226.5955999999951</v>
      </c>
      <c r="R87" s="7"/>
      <c r="S87" s="80">
        <v>-1934.3108999999999</v>
      </c>
      <c r="T87" s="81">
        <v>-2207.9979999999978</v>
      </c>
      <c r="U87" s="81">
        <v>-4142.3088999999982</v>
      </c>
    </row>
    <row r="88" spans="2:21">
      <c r="B88" s="78" t="s">
        <v>116</v>
      </c>
      <c r="C88" s="79">
        <v>7.0705000000000004E-3</v>
      </c>
      <c r="D88" s="146">
        <v>7.0632999999999998E-3</v>
      </c>
      <c r="E88" s="7">
        <v>5657.7099000000007</v>
      </c>
      <c r="F88" s="7">
        <v>-160108</v>
      </c>
      <c r="G88" s="7">
        <v>-163851.76700000002</v>
      </c>
      <c r="H88" s="7"/>
      <c r="I88" s="80">
        <v>806.03700000000003</v>
      </c>
      <c r="J88" s="80">
        <v>8767.42</v>
      </c>
      <c r="K88" s="80">
        <v>0</v>
      </c>
      <c r="L88" s="7">
        <v>0</v>
      </c>
      <c r="M88" s="7"/>
      <c r="N88" s="80">
        <v>2715.0720000000001</v>
      </c>
      <c r="O88" s="80">
        <v>643.41550000000007</v>
      </c>
      <c r="P88" s="80">
        <v>0</v>
      </c>
      <c r="Q88" s="7">
        <v>2825.2014000000026</v>
      </c>
      <c r="R88" s="7"/>
      <c r="S88" s="80">
        <v>-3542.3205000000003</v>
      </c>
      <c r="T88" s="81">
        <v>-2314.6370000000011</v>
      </c>
      <c r="U88" s="81">
        <v>-5856.9575000000013</v>
      </c>
    </row>
    <row r="89" spans="2:21">
      <c r="B89" s="78" t="s">
        <v>117</v>
      </c>
      <c r="C89" s="79">
        <v>2.8243000000000001E-3</v>
      </c>
      <c r="D89" s="146">
        <v>2.8219E-3</v>
      </c>
      <c r="E89" s="7">
        <v>2260.0125000000003</v>
      </c>
      <c r="F89" s="7">
        <v>-63966</v>
      </c>
      <c r="G89" s="7">
        <v>-65450.328200000004</v>
      </c>
      <c r="H89" s="7"/>
      <c r="I89" s="80">
        <v>321.97020000000003</v>
      </c>
      <c r="J89" s="80">
        <v>3502.1320000000001</v>
      </c>
      <c r="K89" s="80">
        <v>0</v>
      </c>
      <c r="L89" s="7">
        <v>14515.200000000003</v>
      </c>
      <c r="M89" s="7"/>
      <c r="N89" s="80">
        <v>1084.5312000000001</v>
      </c>
      <c r="O89" s="80">
        <v>257.01130000000001</v>
      </c>
      <c r="P89" s="80">
        <v>0</v>
      </c>
      <c r="Q89" s="7">
        <v>34.412400000000112</v>
      </c>
      <c r="R89" s="7"/>
      <c r="S89" s="80">
        <v>-1414.9743000000001</v>
      </c>
      <c r="T89" s="81">
        <v>12080.358</v>
      </c>
      <c r="U89" s="81">
        <v>10665.3837</v>
      </c>
    </row>
    <row r="90" spans="2:21">
      <c r="B90" s="78" t="s">
        <v>118</v>
      </c>
      <c r="C90" s="79">
        <v>4.1405000000000001E-3</v>
      </c>
      <c r="D90" s="146">
        <v>4.0686999999999997E-3</v>
      </c>
      <c r="E90" s="7">
        <v>3313.2125000000001</v>
      </c>
      <c r="F90" s="7">
        <v>-92214</v>
      </c>
      <c r="G90" s="7">
        <v>-95951.947</v>
      </c>
      <c r="H90" s="7"/>
      <c r="I90" s="80">
        <v>472.017</v>
      </c>
      <c r="J90" s="80">
        <v>5134.22</v>
      </c>
      <c r="K90" s="80">
        <v>0</v>
      </c>
      <c r="L90" s="7">
        <v>0</v>
      </c>
      <c r="M90" s="7"/>
      <c r="N90" s="80">
        <v>1589.952</v>
      </c>
      <c r="O90" s="80">
        <v>376.78550000000001</v>
      </c>
      <c r="P90" s="80">
        <v>0</v>
      </c>
      <c r="Q90" s="7">
        <v>1288.5882000000049</v>
      </c>
      <c r="R90" s="7"/>
      <c r="S90" s="80">
        <v>-2074.3905</v>
      </c>
      <c r="T90" s="81">
        <v>-646.63100000000225</v>
      </c>
      <c r="U90" s="81">
        <v>-2721.0215000000021</v>
      </c>
    </row>
    <row r="91" spans="2:21">
      <c r="B91" s="78" t="s">
        <v>119</v>
      </c>
      <c r="C91" s="79">
        <v>3.3819999999999998E-4</v>
      </c>
      <c r="D91" s="146">
        <v>4.2260000000000003E-4</v>
      </c>
      <c r="E91" s="7">
        <v>270.60850000000005</v>
      </c>
      <c r="F91" s="7">
        <v>-9576</v>
      </c>
      <c r="G91" s="7">
        <v>-7837.4467999999997</v>
      </c>
      <c r="H91" s="7"/>
      <c r="I91" s="80">
        <v>38.5548</v>
      </c>
      <c r="J91" s="80">
        <v>419.36799999999999</v>
      </c>
      <c r="K91" s="80">
        <v>0</v>
      </c>
      <c r="L91" s="7">
        <v>1318.6206000000006</v>
      </c>
      <c r="M91" s="7"/>
      <c r="N91" s="80">
        <v>129.86879999999999</v>
      </c>
      <c r="O91" s="80">
        <v>30.776199999999999</v>
      </c>
      <c r="P91" s="80">
        <v>0</v>
      </c>
      <c r="Q91" s="7">
        <v>474.00000000000006</v>
      </c>
      <c r="R91" s="7"/>
      <c r="S91" s="80">
        <v>-169.43819999999999</v>
      </c>
      <c r="T91" s="81">
        <v>204.37300000000027</v>
      </c>
      <c r="U91" s="81">
        <v>34.93480000000028</v>
      </c>
    </row>
    <row r="92" spans="2:21">
      <c r="B92" s="78" t="s">
        <v>120</v>
      </c>
      <c r="C92" s="79">
        <v>2.6178099999999999E-2</v>
      </c>
      <c r="D92" s="146">
        <v>2.5075E-2</v>
      </c>
      <c r="E92" s="7">
        <v>20947.443249999997</v>
      </c>
      <c r="F92" s="7">
        <v>-568361</v>
      </c>
      <c r="G92" s="7">
        <v>-606651.28940000001</v>
      </c>
      <c r="H92" s="7"/>
      <c r="I92" s="80">
        <v>2984.3033999999998</v>
      </c>
      <c r="J92" s="80">
        <v>32460.843999999997</v>
      </c>
      <c r="K92" s="80">
        <v>0</v>
      </c>
      <c r="L92" s="7">
        <v>5780.4000000000005</v>
      </c>
      <c r="M92" s="7"/>
      <c r="N92" s="80">
        <v>10052.3904</v>
      </c>
      <c r="O92" s="80">
        <v>2382.2071000000001</v>
      </c>
      <c r="P92" s="80">
        <v>0</v>
      </c>
      <c r="Q92" s="7">
        <v>17246.86919999999</v>
      </c>
      <c r="R92" s="7"/>
      <c r="S92" s="80">
        <v>-13115.2281</v>
      </c>
      <c r="T92" s="81">
        <v>-3022.4859999999944</v>
      </c>
      <c r="U92" s="81">
        <v>-16137.714099999994</v>
      </c>
    </row>
    <row r="93" spans="2:21">
      <c r="B93" s="78" t="s">
        <v>121</v>
      </c>
      <c r="C93" s="79">
        <v>3.7046000000000002E-3</v>
      </c>
      <c r="D93" s="146">
        <v>3.8103E-3</v>
      </c>
      <c r="E93" s="7">
        <v>2964.3964999999998</v>
      </c>
      <c r="F93" s="7">
        <v>-86355</v>
      </c>
      <c r="G93" s="7">
        <v>-85850.400399999999</v>
      </c>
      <c r="H93" s="7"/>
      <c r="I93" s="80">
        <v>422.32440000000003</v>
      </c>
      <c r="J93" s="80">
        <v>4593.7040000000006</v>
      </c>
      <c r="K93" s="80">
        <v>0</v>
      </c>
      <c r="L93" s="7">
        <v>1647.1026000000008</v>
      </c>
      <c r="M93" s="7"/>
      <c r="N93" s="80">
        <v>1422.5664000000002</v>
      </c>
      <c r="O93" s="80">
        <v>337.11860000000001</v>
      </c>
      <c r="P93" s="80">
        <v>0</v>
      </c>
      <c r="Q93" s="7">
        <v>2449.2000000000003</v>
      </c>
      <c r="R93" s="7"/>
      <c r="S93" s="80">
        <v>-1856.0046</v>
      </c>
      <c r="T93" s="81">
        <v>-1292.3169999999996</v>
      </c>
      <c r="U93" s="81">
        <v>-3148.3215999999993</v>
      </c>
    </row>
    <row r="94" spans="2:21">
      <c r="B94" s="78" t="s">
        <v>122</v>
      </c>
      <c r="C94" s="79">
        <v>0.1114588</v>
      </c>
      <c r="D94" s="146">
        <v>0.1051343</v>
      </c>
      <c r="E94" s="7">
        <v>89188.03095</v>
      </c>
      <c r="F94" s="7">
        <v>-2382985</v>
      </c>
      <c r="G94" s="7">
        <v>-2582946.2311999998</v>
      </c>
      <c r="H94" s="7"/>
      <c r="I94" s="80">
        <v>12706.3032</v>
      </c>
      <c r="J94" s="80">
        <v>138208.91199999998</v>
      </c>
      <c r="K94" s="80">
        <v>0</v>
      </c>
      <c r="L94" s="7">
        <v>53652.000000000007</v>
      </c>
      <c r="M94" s="7"/>
      <c r="N94" s="80">
        <v>42800.179199999999</v>
      </c>
      <c r="O94" s="80">
        <v>10142.7508</v>
      </c>
      <c r="P94" s="80">
        <v>0</v>
      </c>
      <c r="Q94" s="7">
        <v>98920.007999999667</v>
      </c>
      <c r="R94" s="7"/>
      <c r="S94" s="80">
        <v>-55840.858800000002</v>
      </c>
      <c r="T94" s="81">
        <v>-253.63999999984662</v>
      </c>
      <c r="U94" s="81">
        <v>-56094.498799999848</v>
      </c>
    </row>
    <row r="95" spans="2:21">
      <c r="B95" s="78" t="s">
        <v>123</v>
      </c>
      <c r="C95" s="79">
        <v>1.408E-3</v>
      </c>
      <c r="D95" s="146">
        <v>1.5432E-3</v>
      </c>
      <c r="E95" s="7">
        <v>1126.6869999999999</v>
      </c>
      <c r="F95" s="7">
        <v>-34990</v>
      </c>
      <c r="G95" s="7">
        <v>-32628.991999999998</v>
      </c>
      <c r="H95" s="7"/>
      <c r="I95" s="80">
        <v>160.512</v>
      </c>
      <c r="J95" s="80">
        <v>1745.9199999999998</v>
      </c>
      <c r="K95" s="80">
        <v>0</v>
      </c>
      <c r="L95" s="7">
        <v>2492.2194000000027</v>
      </c>
      <c r="M95" s="7"/>
      <c r="N95" s="80">
        <v>540.67200000000003</v>
      </c>
      <c r="O95" s="80">
        <v>128.12799999999999</v>
      </c>
      <c r="P95" s="80">
        <v>0</v>
      </c>
      <c r="Q95" s="7">
        <v>0</v>
      </c>
      <c r="R95" s="7"/>
      <c r="S95" s="80">
        <v>-705.40800000000002</v>
      </c>
      <c r="T95" s="81">
        <v>1272.8270000000011</v>
      </c>
      <c r="U95" s="81">
        <v>567.41900000000112</v>
      </c>
    </row>
    <row r="96" spans="2:21">
      <c r="B96" s="78" t="s">
        <v>124</v>
      </c>
      <c r="C96" s="79">
        <v>1.2325000000000001E-3</v>
      </c>
      <c r="D96" s="146">
        <v>9.7860000000000004E-4</v>
      </c>
      <c r="E96" s="7">
        <v>986.23999999999978</v>
      </c>
      <c r="F96" s="7">
        <v>-22192</v>
      </c>
      <c r="G96" s="7">
        <v>-28561.955000000002</v>
      </c>
      <c r="H96" s="7"/>
      <c r="I96" s="80">
        <v>140.50500000000002</v>
      </c>
      <c r="J96" s="80">
        <v>1528.3000000000002</v>
      </c>
      <c r="K96" s="80">
        <v>0</v>
      </c>
      <c r="L96" s="7">
        <v>0</v>
      </c>
      <c r="M96" s="7"/>
      <c r="N96" s="80">
        <v>473.28000000000003</v>
      </c>
      <c r="O96" s="80">
        <v>112.15750000000001</v>
      </c>
      <c r="P96" s="80">
        <v>0</v>
      </c>
      <c r="Q96" s="7">
        <v>5846.4828000000025</v>
      </c>
      <c r="R96" s="7"/>
      <c r="S96" s="80">
        <v>-617.48250000000007</v>
      </c>
      <c r="T96" s="81">
        <v>-3370.6740000000009</v>
      </c>
      <c r="U96" s="81">
        <v>-3988.156500000001</v>
      </c>
    </row>
    <row r="97" spans="2:21">
      <c r="B97" s="78" t="s">
        <v>125</v>
      </c>
      <c r="C97" s="79">
        <v>6.5928999999999996E-3</v>
      </c>
      <c r="D97" s="146">
        <v>6.2978000000000001E-3</v>
      </c>
      <c r="E97" s="7">
        <v>5275.5446999999995</v>
      </c>
      <c r="F97" s="7">
        <v>-142737</v>
      </c>
      <c r="G97" s="7">
        <v>-152783.8646</v>
      </c>
      <c r="H97" s="7"/>
      <c r="I97" s="80">
        <v>751.59059999999999</v>
      </c>
      <c r="J97" s="80">
        <v>8175.1959999999999</v>
      </c>
      <c r="K97" s="80">
        <v>0</v>
      </c>
      <c r="L97" s="7">
        <v>2490.0000000000005</v>
      </c>
      <c r="M97" s="7"/>
      <c r="N97" s="80">
        <v>2531.6736000000001</v>
      </c>
      <c r="O97" s="80">
        <v>599.95389999999998</v>
      </c>
      <c r="P97" s="80">
        <v>0</v>
      </c>
      <c r="Q97" s="7">
        <v>4622.2109999999893</v>
      </c>
      <c r="R97" s="7"/>
      <c r="S97" s="80">
        <v>-3303.0428999999999</v>
      </c>
      <c r="T97" s="81">
        <v>-26.004999999995107</v>
      </c>
      <c r="U97" s="81">
        <v>-3329.047899999995</v>
      </c>
    </row>
    <row r="98" spans="2:21">
      <c r="B98" s="78" t="s">
        <v>126</v>
      </c>
      <c r="C98" s="79">
        <v>9.5604000000000001E-3</v>
      </c>
      <c r="D98" s="146">
        <v>9.6206999999999994E-3</v>
      </c>
      <c r="E98" s="7">
        <v>7650.0938499999993</v>
      </c>
      <c r="F98" s="7">
        <v>-218061</v>
      </c>
      <c r="G98" s="7">
        <v>-221552.7096</v>
      </c>
      <c r="H98" s="7"/>
      <c r="I98" s="80">
        <v>1089.8856000000001</v>
      </c>
      <c r="J98" s="80">
        <v>11854.896000000001</v>
      </c>
      <c r="K98" s="80">
        <v>0</v>
      </c>
      <c r="L98" s="7">
        <v>941.64839999999833</v>
      </c>
      <c r="M98" s="7"/>
      <c r="N98" s="80">
        <v>3671.1936000000001</v>
      </c>
      <c r="O98" s="80">
        <v>869.99639999999999</v>
      </c>
      <c r="P98" s="80">
        <v>0</v>
      </c>
      <c r="Q98" s="7">
        <v>2950.8000000000006</v>
      </c>
      <c r="R98" s="7"/>
      <c r="S98" s="80">
        <v>-4789.7604000000001</v>
      </c>
      <c r="T98" s="81">
        <v>-2030.9780000000007</v>
      </c>
      <c r="U98" s="81">
        <v>-6820.7384000000011</v>
      </c>
    </row>
    <row r="99" spans="2:21">
      <c r="B99" s="78" t="s">
        <v>127</v>
      </c>
      <c r="C99" s="79">
        <v>6.3542E-3</v>
      </c>
      <c r="D99" s="146">
        <v>6.2696999999999996E-3</v>
      </c>
      <c r="E99" s="7">
        <v>5084.5728500000005</v>
      </c>
      <c r="F99" s="7">
        <v>-142114</v>
      </c>
      <c r="G99" s="7">
        <v>-147252.23079999999</v>
      </c>
      <c r="H99" s="7"/>
      <c r="I99" s="80">
        <v>724.37879999999996</v>
      </c>
      <c r="J99" s="80">
        <v>7879.2079999999996</v>
      </c>
      <c r="K99" s="80">
        <v>0</v>
      </c>
      <c r="L99" s="7">
        <v>0</v>
      </c>
      <c r="M99" s="7"/>
      <c r="N99" s="80">
        <v>2440.0128</v>
      </c>
      <c r="O99" s="80">
        <v>578.23220000000003</v>
      </c>
      <c r="P99" s="80">
        <v>0</v>
      </c>
      <c r="Q99" s="7">
        <v>4937.8205999999982</v>
      </c>
      <c r="R99" s="7"/>
      <c r="S99" s="80">
        <v>-3183.4542000000001</v>
      </c>
      <c r="T99" s="81">
        <v>-3615.3729999999987</v>
      </c>
      <c r="U99" s="81">
        <v>-6798.8271999999988</v>
      </c>
    </row>
    <row r="100" spans="2:21">
      <c r="B100" s="78" t="s">
        <v>128</v>
      </c>
      <c r="C100" s="79">
        <v>4.7707000000000001E-3</v>
      </c>
      <c r="D100" s="146">
        <v>4.9004000000000001E-3</v>
      </c>
      <c r="E100" s="7">
        <v>3817.4999999999991</v>
      </c>
      <c r="F100" s="7">
        <v>-111075</v>
      </c>
      <c r="G100" s="7">
        <v>-110556.20180000001</v>
      </c>
      <c r="H100" s="7"/>
      <c r="I100" s="80">
        <v>543.85980000000006</v>
      </c>
      <c r="J100" s="80">
        <v>5915.6680000000006</v>
      </c>
      <c r="K100" s="80">
        <v>0</v>
      </c>
      <c r="L100" s="7">
        <v>2030.3316000000077</v>
      </c>
      <c r="M100" s="7"/>
      <c r="N100" s="80">
        <v>1831.9488000000001</v>
      </c>
      <c r="O100" s="80">
        <v>434.13370000000003</v>
      </c>
      <c r="P100" s="80">
        <v>0</v>
      </c>
      <c r="Q100" s="7">
        <v>1269.6000000000001</v>
      </c>
      <c r="R100" s="7"/>
      <c r="S100" s="80">
        <v>-2390.1206999999999</v>
      </c>
      <c r="T100" s="81">
        <v>-135.12199999999655</v>
      </c>
      <c r="U100" s="81">
        <v>-2525.2426999999966</v>
      </c>
    </row>
    <row r="101" spans="2:21">
      <c r="B101" s="78" t="s">
        <v>129</v>
      </c>
      <c r="C101" s="79">
        <v>3.0948999999999998E-3</v>
      </c>
      <c r="D101" s="146">
        <v>3.1513999999999999E-3</v>
      </c>
      <c r="E101" s="7">
        <v>2476.4837499999999</v>
      </c>
      <c r="F101" s="7">
        <v>-71434</v>
      </c>
      <c r="G101" s="7">
        <v>-71721.212599999999</v>
      </c>
      <c r="H101" s="7"/>
      <c r="I101" s="80">
        <v>352.8186</v>
      </c>
      <c r="J101" s="80">
        <v>3837.6759999999999</v>
      </c>
      <c r="K101" s="80">
        <v>0</v>
      </c>
      <c r="L101" s="7">
        <v>886.90140000000429</v>
      </c>
      <c r="M101" s="7"/>
      <c r="N101" s="80">
        <v>1188.4415999999999</v>
      </c>
      <c r="O101" s="80">
        <v>281.63589999999999</v>
      </c>
      <c r="P101" s="80">
        <v>0</v>
      </c>
      <c r="Q101" s="7">
        <v>1732.8000000000002</v>
      </c>
      <c r="R101" s="7"/>
      <c r="S101" s="80">
        <v>-1550.5448999999999</v>
      </c>
      <c r="T101" s="81">
        <v>-1040.862999999998</v>
      </c>
      <c r="U101" s="81">
        <v>-2591.4078999999979</v>
      </c>
    </row>
    <row r="102" spans="2:21">
      <c r="B102" s="78" t="s">
        <v>130</v>
      </c>
      <c r="C102" s="79">
        <v>1.7247E-3</v>
      </c>
      <c r="D102" s="146">
        <v>1.8188E-3</v>
      </c>
      <c r="E102" s="7">
        <v>1380.1198499999998</v>
      </c>
      <c r="F102" s="7">
        <v>-41227</v>
      </c>
      <c r="G102" s="7">
        <v>-39968.197800000002</v>
      </c>
      <c r="H102" s="7"/>
      <c r="I102" s="80">
        <v>196.61580000000001</v>
      </c>
      <c r="J102" s="80">
        <v>2138.6280000000002</v>
      </c>
      <c r="K102" s="80">
        <v>0</v>
      </c>
      <c r="L102" s="7">
        <v>1473.4764000000032</v>
      </c>
      <c r="M102" s="7"/>
      <c r="N102" s="80">
        <v>662.28480000000002</v>
      </c>
      <c r="O102" s="80">
        <v>156.9477</v>
      </c>
      <c r="P102" s="80">
        <v>0</v>
      </c>
      <c r="Q102" s="7">
        <v>1641.6000000000001</v>
      </c>
      <c r="R102" s="7"/>
      <c r="S102" s="80">
        <v>-864.07470000000001</v>
      </c>
      <c r="T102" s="81">
        <v>-698.23799999999858</v>
      </c>
      <c r="U102" s="81">
        <v>-1562.3126999999986</v>
      </c>
    </row>
    <row r="104" spans="2:21" s="82" customFormat="1">
      <c r="B104" s="82" t="s">
        <v>2</v>
      </c>
      <c r="E104" s="83">
        <f>SUM(E3:E103)</f>
        <v>800189.25074999989</v>
      </c>
      <c r="F104" s="83">
        <f>SUM(F3:F102)</f>
        <v>-22665989</v>
      </c>
      <c r="G104" s="83">
        <f>SUM(G3:G102)</f>
        <v>-23173999.999999996</v>
      </c>
      <c r="H104" s="84"/>
      <c r="I104" s="83">
        <f>SUM(I3:I102)</f>
        <v>114000.00000000003</v>
      </c>
      <c r="J104" s="83">
        <f>SUM(J3:J102)</f>
        <v>1240000</v>
      </c>
      <c r="K104" s="83">
        <f>SUM(K3:K102)</f>
        <v>0</v>
      </c>
      <c r="L104" s="83">
        <f>SUM(L3:L102)</f>
        <v>639794.55659999989</v>
      </c>
      <c r="M104" s="84"/>
      <c r="N104" s="83">
        <f>SUM(N3:N102)</f>
        <v>384000.00000000017</v>
      </c>
      <c r="O104" s="83">
        <f>SUM(O3:O102)</f>
        <v>90999.999999999956</v>
      </c>
      <c r="P104" s="83">
        <f>SUM(P3:P102)</f>
        <v>0</v>
      </c>
      <c r="Q104" s="83">
        <f>SUM(Q3:Q102)</f>
        <v>639802.01339999994</v>
      </c>
      <c r="R104" s="84"/>
      <c r="S104" s="83">
        <f>SUM(S3:S102)</f>
        <v>-500999.99999999983</v>
      </c>
      <c r="T104" s="83">
        <f>SUM(T3:T102)</f>
        <v>-3.8439999999569636</v>
      </c>
      <c r="U104" s="83">
        <f>SUM(U3:U102)</f>
        <v>-501003.84399999998</v>
      </c>
    </row>
    <row r="106" spans="2:21">
      <c r="L106" s="7"/>
      <c r="M106" s="7"/>
      <c r="N106" s="7"/>
      <c r="O106" s="7"/>
      <c r="P106" s="7"/>
    </row>
    <row r="107" spans="2:21">
      <c r="L107" s="7"/>
      <c r="M107" s="7"/>
      <c r="N107" s="7"/>
      <c r="O107" s="7"/>
      <c r="P107" s="7"/>
    </row>
  </sheetData>
  <pageMargins left="0.25" right="0.25" top="0.75" bottom="0.75" header="0.3" footer="0.3"/>
  <pageSetup paperSize="5" scale="63" fitToHeight="0" orientation="landscape" r:id="rId1"/>
  <headerFooter scaleWithDoc="0"/>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7"/>
  <sheetViews>
    <sheetView workbookViewId="0"/>
  </sheetViews>
  <sheetFormatPr defaultRowHeight="15"/>
  <cols>
    <col min="1" max="5" width="17.7109375" customWidth="1"/>
    <col min="6" max="6" width="18.28515625" customWidth="1"/>
    <col min="7" max="7" width="3.85546875" customWidth="1"/>
    <col min="8" max="8" width="18.28515625" customWidth="1"/>
    <col min="9" max="9" width="20" customWidth="1"/>
    <col min="10" max="10" width="14.42578125" customWidth="1"/>
    <col min="11" max="11" width="19.42578125" customWidth="1"/>
    <col min="12" max="12" width="3.85546875" customWidth="1"/>
    <col min="13" max="13" width="18.28515625" customWidth="1"/>
    <col min="14" max="14" width="20" customWidth="1"/>
    <col min="15" max="15" width="14.42578125" customWidth="1"/>
    <col min="16" max="16" width="19.42578125" customWidth="1"/>
    <col min="17" max="17" width="3.85546875" customWidth="1"/>
    <col min="18" max="18" width="13.85546875" customWidth="1"/>
    <col min="19" max="19" width="22.42578125" customWidth="1"/>
    <col min="20" max="20" width="12.42578125" customWidth="1"/>
  </cols>
  <sheetData>
    <row r="1" spans="1:20" s="5" customFormat="1">
      <c r="A1" s="6"/>
      <c r="B1" s="6"/>
      <c r="C1" s="6"/>
      <c r="D1" s="6"/>
      <c r="E1" s="6"/>
      <c r="F1" s="7"/>
      <c r="H1" s="7"/>
      <c r="I1" s="7"/>
      <c r="J1" s="7"/>
      <c r="M1" s="7"/>
      <c r="N1" s="7"/>
      <c r="O1" s="7"/>
      <c r="R1" s="7"/>
    </row>
    <row r="4" spans="1:20">
      <c r="H4" s="8" t="s">
        <v>3</v>
      </c>
      <c r="I4" s="8"/>
      <c r="J4" s="8"/>
      <c r="K4" s="8"/>
      <c r="M4" s="8" t="s">
        <v>4</v>
      </c>
      <c r="N4" s="8"/>
      <c r="O4" s="8"/>
      <c r="P4" s="8"/>
      <c r="R4" s="8" t="s">
        <v>5</v>
      </c>
      <c r="S4" s="8"/>
      <c r="T4" s="8"/>
    </row>
    <row r="5" spans="1:20" ht="120">
      <c r="A5" s="9" t="s">
        <v>1</v>
      </c>
      <c r="B5" s="9" t="s">
        <v>162</v>
      </c>
      <c r="C5" s="9" t="s">
        <v>163</v>
      </c>
      <c r="D5" s="9" t="s">
        <v>216</v>
      </c>
      <c r="E5" s="9" t="s">
        <v>168</v>
      </c>
      <c r="F5" s="9" t="s">
        <v>169</v>
      </c>
      <c r="G5" s="9"/>
      <c r="H5" s="9" t="s">
        <v>6</v>
      </c>
      <c r="I5" s="9" t="s">
        <v>7</v>
      </c>
      <c r="J5" s="9" t="s">
        <v>8</v>
      </c>
      <c r="K5" s="9" t="s">
        <v>9</v>
      </c>
      <c r="L5" s="9"/>
      <c r="M5" s="9" t="s">
        <v>6</v>
      </c>
      <c r="N5" s="9" t="s">
        <v>7</v>
      </c>
      <c r="O5" s="9" t="s">
        <v>8</v>
      </c>
      <c r="P5" s="9" t="s">
        <v>9</v>
      </c>
      <c r="Q5" s="9"/>
      <c r="R5" s="9" t="s">
        <v>10</v>
      </c>
      <c r="S5" s="9" t="s">
        <v>11</v>
      </c>
      <c r="T5" s="9" t="s">
        <v>12</v>
      </c>
    </row>
    <row r="6" spans="1:20">
      <c r="A6" s="10" t="s">
        <v>32</v>
      </c>
      <c r="B6" s="146">
        <v>3.6038100000000003E-2</v>
      </c>
      <c r="C6" s="146">
        <v>2.9548399999999999E-2</v>
      </c>
      <c r="D6" s="147">
        <v>29424</v>
      </c>
      <c r="E6" s="147">
        <v>-631153.82400000002</v>
      </c>
      <c r="F6" s="11">
        <v>-816851</v>
      </c>
      <c r="G6" s="11"/>
      <c r="H6" s="12">
        <v>7496</v>
      </c>
      <c r="I6" s="12">
        <v>0</v>
      </c>
      <c r="J6" s="12">
        <v>0</v>
      </c>
      <c r="K6" s="11">
        <v>0</v>
      </c>
      <c r="L6" s="11"/>
      <c r="M6" s="12">
        <v>0</v>
      </c>
      <c r="N6" s="12">
        <v>4397</v>
      </c>
      <c r="O6" s="12">
        <v>0</v>
      </c>
      <c r="P6" s="11">
        <v>95308</v>
      </c>
      <c r="Q6" s="11"/>
      <c r="R6" s="2">
        <v>-20758</v>
      </c>
      <c r="S6" s="2">
        <v>-43322</v>
      </c>
      <c r="T6" s="2">
        <v>-64080</v>
      </c>
    </row>
    <row r="7" spans="1:20">
      <c r="A7" s="10" t="s">
        <v>33</v>
      </c>
      <c r="B7" s="146">
        <v>2.9199E-3</v>
      </c>
      <c r="C7" s="146">
        <v>2.6105999999999998E-3</v>
      </c>
      <c r="D7" s="147">
        <v>2384</v>
      </c>
      <c r="E7" s="147">
        <v>-55762.415999999997</v>
      </c>
      <c r="F7" s="11">
        <v>-66171</v>
      </c>
      <c r="G7" s="11"/>
      <c r="H7" s="12">
        <v>607</v>
      </c>
      <c r="I7" s="12">
        <v>0</v>
      </c>
      <c r="J7" s="12">
        <v>0</v>
      </c>
      <c r="K7" s="11">
        <v>0</v>
      </c>
      <c r="L7" s="11"/>
      <c r="M7" s="12">
        <v>0</v>
      </c>
      <c r="N7" s="12">
        <v>356</v>
      </c>
      <c r="O7" s="12">
        <v>0</v>
      </c>
      <c r="P7" s="11">
        <v>4530</v>
      </c>
      <c r="Q7" s="11"/>
      <c r="R7" s="2">
        <v>-1682</v>
      </c>
      <c r="S7" s="2">
        <v>-2059</v>
      </c>
      <c r="T7" s="2">
        <v>-3741</v>
      </c>
    </row>
    <row r="8" spans="1:20">
      <c r="A8" s="10" t="s">
        <v>34</v>
      </c>
      <c r="B8" s="146">
        <v>1.5187E-3</v>
      </c>
      <c r="C8" s="146">
        <v>1.4630000000000001E-3</v>
      </c>
      <c r="D8" s="147">
        <v>1240</v>
      </c>
      <c r="E8" s="147">
        <v>-31249.680000000004</v>
      </c>
      <c r="F8" s="11">
        <v>-34434</v>
      </c>
      <c r="G8" s="11"/>
      <c r="H8" s="12">
        <v>316</v>
      </c>
      <c r="I8" s="12">
        <v>0</v>
      </c>
      <c r="J8" s="12">
        <v>0</v>
      </c>
      <c r="K8" s="11">
        <v>0</v>
      </c>
      <c r="L8" s="11"/>
      <c r="M8" s="12">
        <v>0</v>
      </c>
      <c r="N8" s="12">
        <v>185</v>
      </c>
      <c r="O8" s="12">
        <v>0</v>
      </c>
      <c r="P8" s="11">
        <v>825</v>
      </c>
      <c r="Q8" s="11"/>
      <c r="R8" s="2">
        <v>-875</v>
      </c>
      <c r="S8" s="2">
        <v>-375</v>
      </c>
      <c r="T8" s="2">
        <v>-1250</v>
      </c>
    </row>
    <row r="9" spans="1:20">
      <c r="A9" s="10" t="s">
        <v>35</v>
      </c>
      <c r="B9" s="146">
        <v>1.7796000000000001E-3</v>
      </c>
      <c r="C9" s="146">
        <v>1.6921E-3</v>
      </c>
      <c r="D9" s="147">
        <v>1453</v>
      </c>
      <c r="E9" s="147">
        <v>-36143.256000000001</v>
      </c>
      <c r="F9" s="11">
        <v>-40339</v>
      </c>
      <c r="G9" s="11"/>
      <c r="H9" s="12">
        <v>370</v>
      </c>
      <c r="I9" s="12">
        <v>0</v>
      </c>
      <c r="J9" s="12">
        <v>0</v>
      </c>
      <c r="K9" s="11">
        <v>0</v>
      </c>
      <c r="L9" s="11"/>
      <c r="M9" s="12">
        <v>0</v>
      </c>
      <c r="N9" s="12">
        <v>217</v>
      </c>
      <c r="O9" s="12">
        <v>0</v>
      </c>
      <c r="P9" s="11">
        <v>1287</v>
      </c>
      <c r="Q9" s="11"/>
      <c r="R9" s="2">
        <v>-1025</v>
      </c>
      <c r="S9" s="2">
        <v>-585</v>
      </c>
      <c r="T9" s="2">
        <v>-1610</v>
      </c>
    </row>
    <row r="10" spans="1:20">
      <c r="A10" s="10" t="s">
        <v>36</v>
      </c>
      <c r="B10" s="146">
        <v>3.3547E-3</v>
      </c>
      <c r="C10" s="146">
        <v>3.3260999999999998E-3</v>
      </c>
      <c r="D10" s="147">
        <v>2739</v>
      </c>
      <c r="E10" s="147">
        <v>-71045.495999999999</v>
      </c>
      <c r="F10" s="11">
        <v>-76038</v>
      </c>
      <c r="G10" s="11"/>
      <c r="H10" s="12">
        <v>698</v>
      </c>
      <c r="I10" s="12">
        <v>0</v>
      </c>
      <c r="J10" s="12">
        <v>0</v>
      </c>
      <c r="K10" s="11">
        <v>0</v>
      </c>
      <c r="L10" s="11"/>
      <c r="M10" s="12">
        <v>0</v>
      </c>
      <c r="N10" s="12">
        <v>409</v>
      </c>
      <c r="O10" s="12">
        <v>0</v>
      </c>
      <c r="P10" s="11">
        <v>425</v>
      </c>
      <c r="Q10" s="11"/>
      <c r="R10" s="2">
        <v>-1932</v>
      </c>
      <c r="S10" s="2">
        <v>-193</v>
      </c>
      <c r="T10" s="2">
        <v>-2125</v>
      </c>
    </row>
    <row r="11" spans="1:20">
      <c r="A11" s="10" t="s">
        <v>37</v>
      </c>
      <c r="B11" s="146">
        <v>2.8855999999999999E-3</v>
      </c>
      <c r="C11" s="146">
        <v>2.8365999999999999E-3</v>
      </c>
      <c r="D11" s="147">
        <v>2356</v>
      </c>
      <c r="E11" s="147">
        <v>-60589.775999999998</v>
      </c>
      <c r="F11" s="11">
        <v>-65403</v>
      </c>
      <c r="G11" s="11"/>
      <c r="H11" s="12">
        <v>600</v>
      </c>
      <c r="I11" s="12">
        <v>0</v>
      </c>
      <c r="J11" s="12">
        <v>0</v>
      </c>
      <c r="K11" s="11">
        <v>0</v>
      </c>
      <c r="L11" s="11"/>
      <c r="M11" s="12">
        <v>0</v>
      </c>
      <c r="N11" s="12">
        <v>352</v>
      </c>
      <c r="O11" s="12">
        <v>0</v>
      </c>
      <c r="P11" s="11">
        <v>713</v>
      </c>
      <c r="Q11" s="11"/>
      <c r="R11" s="2">
        <v>-1662</v>
      </c>
      <c r="S11" s="2">
        <v>-324</v>
      </c>
      <c r="T11" s="2">
        <v>-1986</v>
      </c>
    </row>
    <row r="12" spans="1:20">
      <c r="A12" s="10" t="s">
        <v>38</v>
      </c>
      <c r="B12" s="146">
        <v>4.5132999999999996E-3</v>
      </c>
      <c r="C12" s="146">
        <v>4.5909000000000002E-3</v>
      </c>
      <c r="D12" s="147">
        <v>3685</v>
      </c>
      <c r="E12" s="147">
        <v>-98061.624000000011</v>
      </c>
      <c r="F12" s="11">
        <v>-102287</v>
      </c>
      <c r="G12" s="11"/>
      <c r="H12" s="12">
        <v>939</v>
      </c>
      <c r="I12" s="12">
        <v>0</v>
      </c>
      <c r="J12" s="12">
        <v>0</v>
      </c>
      <c r="K12" s="11">
        <v>1151</v>
      </c>
      <c r="L12" s="11"/>
      <c r="M12" s="12">
        <v>0</v>
      </c>
      <c r="N12" s="12">
        <v>551</v>
      </c>
      <c r="O12" s="12">
        <v>0</v>
      </c>
      <c r="P12" s="11">
        <v>0</v>
      </c>
      <c r="Q12" s="11"/>
      <c r="R12" s="2">
        <v>-2599</v>
      </c>
      <c r="S12" s="2">
        <v>523</v>
      </c>
      <c r="T12" s="2">
        <v>-2076</v>
      </c>
    </row>
    <row r="13" spans="1:20">
      <c r="A13" s="10" t="s">
        <v>39</v>
      </c>
      <c r="B13" s="146">
        <v>1.2285E-3</v>
      </c>
      <c r="C13" s="146">
        <v>1.1879E-3</v>
      </c>
      <c r="D13" s="147">
        <v>1003</v>
      </c>
      <c r="E13" s="147">
        <v>-25373.543999999998</v>
      </c>
      <c r="F13" s="11">
        <v>-27841</v>
      </c>
      <c r="G13" s="11"/>
      <c r="H13" s="12">
        <v>255</v>
      </c>
      <c r="I13" s="12">
        <v>0</v>
      </c>
      <c r="J13" s="12">
        <v>0</v>
      </c>
      <c r="K13" s="11">
        <v>0</v>
      </c>
      <c r="L13" s="11"/>
      <c r="M13" s="12">
        <v>0</v>
      </c>
      <c r="N13" s="12">
        <v>150</v>
      </c>
      <c r="O13" s="12">
        <v>0</v>
      </c>
      <c r="P13" s="11">
        <v>594</v>
      </c>
      <c r="Q13" s="11"/>
      <c r="R13" s="2">
        <v>-708</v>
      </c>
      <c r="S13" s="2">
        <v>-270</v>
      </c>
      <c r="T13" s="2">
        <v>-978</v>
      </c>
    </row>
    <row r="14" spans="1:20">
      <c r="A14" s="10" t="s">
        <v>40</v>
      </c>
      <c r="B14" s="146">
        <v>2.5866999999999999E-3</v>
      </c>
      <c r="C14" s="146">
        <v>2.2629E-3</v>
      </c>
      <c r="D14" s="147">
        <v>2112</v>
      </c>
      <c r="E14" s="147">
        <v>-48335.544000000002</v>
      </c>
      <c r="F14" s="11">
        <v>-58641</v>
      </c>
      <c r="G14" s="11"/>
      <c r="H14" s="12">
        <v>538</v>
      </c>
      <c r="I14" s="12">
        <v>0</v>
      </c>
      <c r="J14" s="12">
        <v>0</v>
      </c>
      <c r="K14" s="11">
        <v>0</v>
      </c>
      <c r="L14" s="11"/>
      <c r="M14" s="12">
        <v>0</v>
      </c>
      <c r="N14" s="12">
        <v>316</v>
      </c>
      <c r="O14" s="12">
        <v>0</v>
      </c>
      <c r="P14" s="11">
        <v>4763</v>
      </c>
      <c r="Q14" s="11"/>
      <c r="R14" s="2">
        <v>-1490</v>
      </c>
      <c r="S14" s="2">
        <v>-2165</v>
      </c>
      <c r="T14" s="2">
        <v>-3655</v>
      </c>
    </row>
    <row r="15" spans="1:20">
      <c r="A15" s="10" t="s">
        <v>41</v>
      </c>
      <c r="B15" s="146">
        <v>2.0997700000000001E-2</v>
      </c>
      <c r="C15" s="146">
        <v>1.9981200000000001E-2</v>
      </c>
      <c r="D15" s="147">
        <v>17144</v>
      </c>
      <c r="E15" s="147">
        <v>-426798.43200000003</v>
      </c>
      <c r="F15" s="11">
        <v>-475927</v>
      </c>
      <c r="G15" s="11"/>
      <c r="H15" s="12">
        <v>4367</v>
      </c>
      <c r="I15" s="12">
        <v>0</v>
      </c>
      <c r="J15" s="12">
        <v>0</v>
      </c>
      <c r="K15" s="11">
        <v>0</v>
      </c>
      <c r="L15" s="11"/>
      <c r="M15" s="12">
        <v>0</v>
      </c>
      <c r="N15" s="12">
        <v>2562</v>
      </c>
      <c r="O15" s="12">
        <v>0</v>
      </c>
      <c r="P15" s="11">
        <v>14927</v>
      </c>
      <c r="Q15" s="11"/>
      <c r="R15" s="2">
        <v>-12095</v>
      </c>
      <c r="S15" s="2">
        <v>-6785</v>
      </c>
      <c r="T15" s="2">
        <v>-18880</v>
      </c>
    </row>
    <row r="16" spans="1:20">
      <c r="A16" s="10" t="s">
        <v>42</v>
      </c>
      <c r="B16" s="146">
        <v>3.14831E-2</v>
      </c>
      <c r="C16" s="146">
        <v>3.0599600000000001E-2</v>
      </c>
      <c r="D16" s="147">
        <v>25705</v>
      </c>
      <c r="E16" s="147">
        <v>-653607.45600000001</v>
      </c>
      <c r="F16" s="11">
        <v>-713594</v>
      </c>
      <c r="G16" s="11"/>
      <c r="H16" s="12">
        <v>6548</v>
      </c>
      <c r="I16" s="12">
        <v>0</v>
      </c>
      <c r="J16" s="12">
        <v>0</v>
      </c>
      <c r="K16" s="11">
        <v>0</v>
      </c>
      <c r="L16" s="11"/>
      <c r="M16" s="12">
        <v>0</v>
      </c>
      <c r="N16" s="12">
        <v>3841</v>
      </c>
      <c r="O16" s="12">
        <v>0</v>
      </c>
      <c r="P16" s="11">
        <v>12973</v>
      </c>
      <c r="Q16" s="11"/>
      <c r="R16" s="2">
        <v>-18134</v>
      </c>
      <c r="S16" s="2">
        <v>-5897</v>
      </c>
      <c r="T16" s="2">
        <v>-24031</v>
      </c>
    </row>
    <row r="17" spans="1:20">
      <c r="A17" s="10" t="s">
        <v>43</v>
      </c>
      <c r="B17" s="146">
        <v>7.6769999999999998E-3</v>
      </c>
      <c r="C17" s="146">
        <v>6.9592999999999999E-3</v>
      </c>
      <c r="D17" s="147">
        <v>6268</v>
      </c>
      <c r="E17" s="147">
        <v>-148650.64799999999</v>
      </c>
      <c r="F17" s="11">
        <v>-174018</v>
      </c>
      <c r="G17" s="11"/>
      <c r="H17" s="12">
        <v>1597</v>
      </c>
      <c r="I17" s="12">
        <v>0</v>
      </c>
      <c r="J17" s="12">
        <v>0</v>
      </c>
      <c r="K17" s="11">
        <v>0</v>
      </c>
      <c r="L17" s="11"/>
      <c r="M17" s="12">
        <v>0</v>
      </c>
      <c r="N17" s="12">
        <v>937</v>
      </c>
      <c r="O17" s="12">
        <v>0</v>
      </c>
      <c r="P17" s="11">
        <v>10549</v>
      </c>
      <c r="Q17" s="11"/>
      <c r="R17" s="2">
        <v>-4422</v>
      </c>
      <c r="S17" s="2">
        <v>-4795</v>
      </c>
      <c r="T17" s="2">
        <v>-9217</v>
      </c>
    </row>
    <row r="18" spans="1:20">
      <c r="A18" s="10" t="s">
        <v>44</v>
      </c>
      <c r="B18" s="146">
        <v>2.1427600000000002E-2</v>
      </c>
      <c r="C18" s="146">
        <v>2.16341E-2</v>
      </c>
      <c r="D18" s="147">
        <v>17495</v>
      </c>
      <c r="E18" s="147">
        <v>-462104.37599999999</v>
      </c>
      <c r="F18" s="11">
        <v>-485676</v>
      </c>
      <c r="G18" s="11"/>
      <c r="H18" s="12">
        <v>4457</v>
      </c>
      <c r="I18" s="12">
        <v>0</v>
      </c>
      <c r="J18" s="12">
        <v>0</v>
      </c>
      <c r="K18" s="11">
        <v>3032</v>
      </c>
      <c r="L18" s="11"/>
      <c r="M18" s="12">
        <v>0</v>
      </c>
      <c r="N18" s="12">
        <v>2614</v>
      </c>
      <c r="O18" s="12">
        <v>0</v>
      </c>
      <c r="P18" s="11">
        <v>0</v>
      </c>
      <c r="Q18" s="11"/>
      <c r="R18" s="2">
        <v>-12342</v>
      </c>
      <c r="S18" s="2">
        <v>1378</v>
      </c>
      <c r="T18" s="2">
        <v>-10964</v>
      </c>
    </row>
    <row r="19" spans="1:20">
      <c r="A19" s="10" t="s">
        <v>45</v>
      </c>
      <c r="B19" s="146">
        <v>7.6574E-3</v>
      </c>
      <c r="C19" s="146">
        <v>6.8110999999999996E-3</v>
      </c>
      <c r="D19" s="147">
        <v>6252</v>
      </c>
      <c r="E19" s="147">
        <v>-145485.09599999999</v>
      </c>
      <c r="F19" s="11">
        <v>-173558</v>
      </c>
      <c r="G19" s="11"/>
      <c r="H19" s="12">
        <v>1593</v>
      </c>
      <c r="I19" s="12">
        <v>0</v>
      </c>
      <c r="J19" s="12">
        <v>0</v>
      </c>
      <c r="K19" s="11">
        <v>0</v>
      </c>
      <c r="L19" s="11"/>
      <c r="M19" s="12">
        <v>0</v>
      </c>
      <c r="N19" s="12">
        <v>934</v>
      </c>
      <c r="O19" s="12">
        <v>0</v>
      </c>
      <c r="P19" s="11">
        <v>12421</v>
      </c>
      <c r="Q19" s="11"/>
      <c r="R19" s="2">
        <v>-4411</v>
      </c>
      <c r="S19" s="2">
        <v>-5646</v>
      </c>
      <c r="T19" s="2">
        <v>-10057</v>
      </c>
    </row>
    <row r="20" spans="1:20">
      <c r="A20" s="10" t="s">
        <v>46</v>
      </c>
      <c r="B20" s="146">
        <v>1.0104000000000001E-3</v>
      </c>
      <c r="C20" s="146">
        <v>1.1303999999999999E-3</v>
      </c>
      <c r="D20" s="147">
        <v>825</v>
      </c>
      <c r="E20" s="147">
        <v>-24145.343999999997</v>
      </c>
      <c r="F20" s="11">
        <v>-22909</v>
      </c>
      <c r="G20" s="11"/>
      <c r="H20" s="12">
        <v>210</v>
      </c>
      <c r="I20" s="12">
        <v>0</v>
      </c>
      <c r="J20" s="12">
        <v>0</v>
      </c>
      <c r="K20" s="11">
        <v>1764</v>
      </c>
      <c r="L20" s="11"/>
      <c r="M20" s="12">
        <v>0</v>
      </c>
      <c r="N20" s="12">
        <v>123</v>
      </c>
      <c r="O20" s="12">
        <v>0</v>
      </c>
      <c r="P20" s="11">
        <v>0</v>
      </c>
      <c r="Q20" s="11"/>
      <c r="R20" s="2">
        <v>-582</v>
      </c>
      <c r="S20" s="2">
        <v>802</v>
      </c>
      <c r="T20" s="2">
        <v>220</v>
      </c>
    </row>
    <row r="21" spans="1:20">
      <c r="A21" s="10" t="s">
        <v>47</v>
      </c>
      <c r="B21" s="146">
        <v>1.1007100000000001E-2</v>
      </c>
      <c r="C21" s="146">
        <v>1.1285699999999999E-2</v>
      </c>
      <c r="D21" s="147">
        <v>8987</v>
      </c>
      <c r="E21" s="147">
        <v>-241062.552</v>
      </c>
      <c r="F21" s="11">
        <v>-249489</v>
      </c>
      <c r="G21" s="11"/>
      <c r="H21" s="12">
        <v>2289</v>
      </c>
      <c r="I21" s="12">
        <v>0</v>
      </c>
      <c r="J21" s="12">
        <v>0</v>
      </c>
      <c r="K21" s="11">
        <v>4092</v>
      </c>
      <c r="L21" s="11"/>
      <c r="M21" s="12">
        <v>0</v>
      </c>
      <c r="N21" s="12">
        <v>1343</v>
      </c>
      <c r="O21" s="12">
        <v>0</v>
      </c>
      <c r="P21" s="11">
        <v>0</v>
      </c>
      <c r="Q21" s="11"/>
      <c r="R21" s="2">
        <v>-6340</v>
      </c>
      <c r="S21" s="2">
        <v>1860</v>
      </c>
      <c r="T21" s="2">
        <v>-4480</v>
      </c>
    </row>
    <row r="22" spans="1:20">
      <c r="A22" s="10" t="s">
        <v>48</v>
      </c>
      <c r="B22" s="146">
        <v>1.6976000000000001E-3</v>
      </c>
      <c r="C22" s="146">
        <v>1.4991E-3</v>
      </c>
      <c r="D22" s="147">
        <v>1386</v>
      </c>
      <c r="E22" s="147">
        <v>-32020.775999999998</v>
      </c>
      <c r="F22" s="11">
        <v>-38487</v>
      </c>
      <c r="G22" s="11"/>
      <c r="H22" s="12">
        <v>353</v>
      </c>
      <c r="I22" s="12">
        <v>0</v>
      </c>
      <c r="J22" s="12">
        <v>0</v>
      </c>
      <c r="K22" s="11">
        <v>0</v>
      </c>
      <c r="L22" s="11"/>
      <c r="M22" s="12">
        <v>0</v>
      </c>
      <c r="N22" s="12">
        <v>207</v>
      </c>
      <c r="O22" s="12">
        <v>0</v>
      </c>
      <c r="P22" s="11">
        <v>2922</v>
      </c>
      <c r="Q22" s="11"/>
      <c r="R22" s="2">
        <v>-978</v>
      </c>
      <c r="S22" s="2">
        <v>-1328</v>
      </c>
      <c r="T22" s="2">
        <v>-2306</v>
      </c>
    </row>
    <row r="23" spans="1:20">
      <c r="A23" s="10" t="s">
        <v>49</v>
      </c>
      <c r="B23" s="146">
        <v>1.6143899999999999E-2</v>
      </c>
      <c r="C23" s="146">
        <v>1.5902900000000001E-2</v>
      </c>
      <c r="D23" s="147">
        <v>13181</v>
      </c>
      <c r="E23" s="147">
        <v>-339685.94400000002</v>
      </c>
      <c r="F23" s="11">
        <v>-365920</v>
      </c>
      <c r="G23" s="11"/>
      <c r="H23" s="12">
        <v>3358</v>
      </c>
      <c r="I23" s="12">
        <v>0</v>
      </c>
      <c r="J23" s="12">
        <v>0</v>
      </c>
      <c r="K23" s="11">
        <v>0</v>
      </c>
      <c r="L23" s="11"/>
      <c r="M23" s="12">
        <v>0</v>
      </c>
      <c r="N23" s="12">
        <v>1970</v>
      </c>
      <c r="O23" s="12">
        <v>0</v>
      </c>
      <c r="P23" s="11">
        <v>3540</v>
      </c>
      <c r="Q23" s="11"/>
      <c r="R23" s="2">
        <v>-9299</v>
      </c>
      <c r="S23" s="2">
        <v>-1609</v>
      </c>
      <c r="T23" s="2">
        <v>-10908</v>
      </c>
    </row>
    <row r="24" spans="1:20">
      <c r="A24" s="10" t="s">
        <v>50</v>
      </c>
      <c r="B24" s="146">
        <v>8.2771000000000008E-3</v>
      </c>
      <c r="C24" s="146">
        <v>8.0034000000000008E-3</v>
      </c>
      <c r="D24" s="147">
        <v>6758</v>
      </c>
      <c r="E24" s="147">
        <v>-170952.62400000001</v>
      </c>
      <c r="F24" s="11">
        <v>-187618</v>
      </c>
      <c r="G24" s="11"/>
      <c r="H24" s="12">
        <v>1722</v>
      </c>
      <c r="I24" s="12">
        <v>0</v>
      </c>
      <c r="J24" s="12">
        <v>0</v>
      </c>
      <c r="K24" s="11">
        <v>0</v>
      </c>
      <c r="L24" s="11"/>
      <c r="M24" s="12">
        <v>0</v>
      </c>
      <c r="N24" s="12">
        <v>1010</v>
      </c>
      <c r="O24" s="12">
        <v>0</v>
      </c>
      <c r="P24" s="11">
        <v>4035</v>
      </c>
      <c r="Q24" s="11"/>
      <c r="R24" s="2">
        <v>-4768</v>
      </c>
      <c r="S24" s="2">
        <v>-1834</v>
      </c>
      <c r="T24" s="2">
        <v>-6602</v>
      </c>
    </row>
    <row r="25" spans="1:20">
      <c r="A25" s="10" t="s">
        <v>51</v>
      </c>
      <c r="B25" s="146">
        <v>3.5641000000000002E-3</v>
      </c>
      <c r="C25" s="146">
        <v>3.6108999999999998E-3</v>
      </c>
      <c r="D25" s="147">
        <v>2910</v>
      </c>
      <c r="E25" s="147">
        <v>-77128.823999999993</v>
      </c>
      <c r="F25" s="11">
        <v>-80793</v>
      </c>
      <c r="G25" s="11"/>
      <c r="H25" s="12">
        <v>741</v>
      </c>
      <c r="I25" s="12">
        <v>0</v>
      </c>
      <c r="J25" s="12">
        <v>0</v>
      </c>
      <c r="K25" s="11">
        <v>682</v>
      </c>
      <c r="L25" s="11"/>
      <c r="M25" s="12">
        <v>0</v>
      </c>
      <c r="N25" s="12">
        <v>435</v>
      </c>
      <c r="O25" s="12">
        <v>0</v>
      </c>
      <c r="P25" s="11">
        <v>0</v>
      </c>
      <c r="Q25" s="11"/>
      <c r="R25" s="2">
        <v>-2053</v>
      </c>
      <c r="S25" s="2">
        <v>310</v>
      </c>
      <c r="T25" s="2">
        <v>-1743</v>
      </c>
    </row>
    <row r="26" spans="1:20">
      <c r="A26" s="10" t="s">
        <v>52</v>
      </c>
      <c r="B26" s="146">
        <v>1.6509999999999999E-3</v>
      </c>
      <c r="C26" s="146">
        <v>1.5548999999999999E-3</v>
      </c>
      <c r="D26" s="147">
        <v>1348</v>
      </c>
      <c r="E26" s="147">
        <v>-33212.663999999997</v>
      </c>
      <c r="F26" s="11">
        <v>-37417</v>
      </c>
      <c r="G26" s="11"/>
      <c r="H26" s="12">
        <v>343</v>
      </c>
      <c r="I26" s="12">
        <v>0</v>
      </c>
      <c r="J26" s="12">
        <v>0</v>
      </c>
      <c r="K26" s="11">
        <v>0</v>
      </c>
      <c r="L26" s="11"/>
      <c r="M26" s="12">
        <v>0</v>
      </c>
      <c r="N26" s="12">
        <v>201</v>
      </c>
      <c r="O26" s="12">
        <v>0</v>
      </c>
      <c r="P26" s="11">
        <v>1408</v>
      </c>
      <c r="Q26" s="11"/>
      <c r="R26" s="2">
        <v>-951</v>
      </c>
      <c r="S26" s="2">
        <v>-640</v>
      </c>
      <c r="T26" s="2">
        <v>-1591</v>
      </c>
    </row>
    <row r="27" spans="1:20">
      <c r="A27" s="10" t="s">
        <v>53</v>
      </c>
      <c r="B27" s="146">
        <v>1.7416E-3</v>
      </c>
      <c r="C27" s="146">
        <v>1.6807E-3</v>
      </c>
      <c r="D27" s="147">
        <v>1422</v>
      </c>
      <c r="E27" s="147">
        <v>-35899.752</v>
      </c>
      <c r="F27" s="11">
        <v>-39464</v>
      </c>
      <c r="G27" s="11"/>
      <c r="H27" s="12">
        <v>362</v>
      </c>
      <c r="I27" s="12">
        <v>0</v>
      </c>
      <c r="J27" s="12">
        <v>0</v>
      </c>
      <c r="K27" s="11">
        <v>0</v>
      </c>
      <c r="L27" s="11"/>
      <c r="M27" s="12">
        <v>0</v>
      </c>
      <c r="N27" s="12">
        <v>212</v>
      </c>
      <c r="O27" s="12">
        <v>0</v>
      </c>
      <c r="P27" s="11">
        <v>891</v>
      </c>
      <c r="Q27" s="11"/>
      <c r="R27" s="2">
        <v>-1003</v>
      </c>
      <c r="S27" s="2">
        <v>-405</v>
      </c>
      <c r="T27" s="2">
        <v>-1408</v>
      </c>
    </row>
    <row r="28" spans="1:20">
      <c r="A28" s="10" t="s">
        <v>54</v>
      </c>
      <c r="B28" s="146">
        <v>6.3958000000000001E-3</v>
      </c>
      <c r="C28" s="146">
        <v>6.0983000000000001E-3</v>
      </c>
      <c r="D28" s="147">
        <v>5222</v>
      </c>
      <c r="E28" s="147">
        <v>-130259.68799999999</v>
      </c>
      <c r="F28" s="11">
        <v>-144969</v>
      </c>
      <c r="G28" s="11"/>
      <c r="H28" s="12">
        <v>1330</v>
      </c>
      <c r="I28" s="12">
        <v>0</v>
      </c>
      <c r="J28" s="12">
        <v>0</v>
      </c>
      <c r="K28" s="11">
        <v>0</v>
      </c>
      <c r="L28" s="11"/>
      <c r="M28" s="12">
        <v>0</v>
      </c>
      <c r="N28" s="12">
        <v>780</v>
      </c>
      <c r="O28" s="12">
        <v>0</v>
      </c>
      <c r="P28" s="11">
        <v>4369</v>
      </c>
      <c r="Q28" s="11"/>
      <c r="R28" s="2">
        <v>-3684</v>
      </c>
      <c r="S28" s="2">
        <v>-1986</v>
      </c>
      <c r="T28" s="2">
        <v>-5670</v>
      </c>
    </row>
    <row r="29" spans="1:20">
      <c r="A29" s="10" t="s">
        <v>55</v>
      </c>
      <c r="B29" s="146">
        <v>4.5855999999999996E-3</v>
      </c>
      <c r="C29" s="146">
        <v>3.2867E-3</v>
      </c>
      <c r="D29" s="147">
        <v>3744</v>
      </c>
      <c r="E29" s="147">
        <v>-70203.911999999997</v>
      </c>
      <c r="F29" s="11">
        <v>-103946</v>
      </c>
      <c r="G29" s="11"/>
      <c r="H29" s="12">
        <v>954</v>
      </c>
      <c r="I29" s="12">
        <v>0</v>
      </c>
      <c r="J29" s="12">
        <v>0</v>
      </c>
      <c r="K29" s="11">
        <v>0</v>
      </c>
      <c r="L29" s="11"/>
      <c r="M29" s="12">
        <v>0</v>
      </c>
      <c r="N29" s="12">
        <v>559</v>
      </c>
      <c r="O29" s="12">
        <v>0</v>
      </c>
      <c r="P29" s="11">
        <v>19081</v>
      </c>
      <c r="Q29" s="11"/>
      <c r="R29" s="2">
        <v>-2642</v>
      </c>
      <c r="S29" s="2">
        <v>-8673</v>
      </c>
      <c r="T29" s="2">
        <v>-11315</v>
      </c>
    </row>
    <row r="30" spans="1:20">
      <c r="A30" s="10" t="s">
        <v>56</v>
      </c>
      <c r="B30" s="146">
        <v>1.10831E-2</v>
      </c>
      <c r="C30" s="146">
        <v>1.12271E-2</v>
      </c>
      <c r="D30" s="147">
        <v>9049</v>
      </c>
      <c r="E30" s="147">
        <v>-239810.856</v>
      </c>
      <c r="F30" s="11">
        <v>-251203</v>
      </c>
      <c r="G30" s="11"/>
      <c r="H30" s="12">
        <v>2305</v>
      </c>
      <c r="I30" s="12">
        <v>0</v>
      </c>
      <c r="J30" s="12">
        <v>0</v>
      </c>
      <c r="K30" s="11">
        <v>2119</v>
      </c>
      <c r="L30" s="11"/>
      <c r="M30" s="12">
        <v>0</v>
      </c>
      <c r="N30" s="12">
        <v>1352</v>
      </c>
      <c r="O30" s="12">
        <v>0</v>
      </c>
      <c r="P30" s="11">
        <v>0</v>
      </c>
      <c r="Q30" s="11"/>
      <c r="R30" s="2">
        <v>-6384</v>
      </c>
      <c r="S30" s="2">
        <v>963</v>
      </c>
      <c r="T30" s="2">
        <v>-5421</v>
      </c>
    </row>
    <row r="31" spans="1:20">
      <c r="A31" s="10" t="s">
        <v>57</v>
      </c>
      <c r="B31" s="146">
        <v>3.5142699999999999E-2</v>
      </c>
      <c r="C31" s="146">
        <v>3.5002499999999999E-2</v>
      </c>
      <c r="D31" s="147">
        <v>28693</v>
      </c>
      <c r="E31" s="147">
        <v>-747653.4</v>
      </c>
      <c r="F31" s="11">
        <v>-796558</v>
      </c>
      <c r="G31" s="11"/>
      <c r="H31" s="12">
        <v>7310</v>
      </c>
      <c r="I31" s="12">
        <v>0</v>
      </c>
      <c r="J31" s="12">
        <v>0</v>
      </c>
      <c r="K31" s="11">
        <v>0</v>
      </c>
      <c r="L31" s="11"/>
      <c r="M31" s="12">
        <v>0</v>
      </c>
      <c r="N31" s="12">
        <v>4287</v>
      </c>
      <c r="O31" s="12">
        <v>0</v>
      </c>
      <c r="P31" s="11">
        <v>2075</v>
      </c>
      <c r="Q31" s="11"/>
      <c r="R31" s="2">
        <v>-20243</v>
      </c>
      <c r="S31" s="2">
        <v>-943</v>
      </c>
      <c r="T31" s="2">
        <v>-21186</v>
      </c>
    </row>
    <row r="32" spans="1:20">
      <c r="A32" s="10" t="s">
        <v>58</v>
      </c>
      <c r="B32" s="146">
        <v>4.2769000000000001E-3</v>
      </c>
      <c r="C32" s="146">
        <v>4.5535000000000003E-3</v>
      </c>
      <c r="D32" s="147">
        <v>3492</v>
      </c>
      <c r="E32" s="147">
        <v>-97262.760000000009</v>
      </c>
      <c r="F32" s="11">
        <v>-96929</v>
      </c>
      <c r="G32" s="11"/>
      <c r="H32" s="12">
        <v>889</v>
      </c>
      <c r="I32" s="12">
        <v>0</v>
      </c>
      <c r="J32" s="12">
        <v>0</v>
      </c>
      <c r="K32" s="11">
        <v>4072</v>
      </c>
      <c r="L32" s="11"/>
      <c r="M32" s="12">
        <v>0</v>
      </c>
      <c r="N32" s="12">
        <v>522</v>
      </c>
      <c r="O32" s="12">
        <v>0</v>
      </c>
      <c r="P32" s="11">
        <v>0</v>
      </c>
      <c r="Q32" s="11"/>
      <c r="R32" s="2">
        <v>-2463</v>
      </c>
      <c r="S32" s="2">
        <v>1851</v>
      </c>
      <c r="T32" s="2">
        <v>-612</v>
      </c>
    </row>
    <row r="33" spans="1:20">
      <c r="A33" s="10" t="s">
        <v>59</v>
      </c>
      <c r="B33" s="146">
        <v>9.3953000000000005E-3</v>
      </c>
      <c r="C33" s="146">
        <v>9.6019E-3</v>
      </c>
      <c r="D33" s="147">
        <v>7671</v>
      </c>
      <c r="E33" s="147">
        <v>-205096.584</v>
      </c>
      <c r="F33" s="11">
        <v>-212945</v>
      </c>
      <c r="G33" s="11"/>
      <c r="H33" s="12">
        <v>1954</v>
      </c>
      <c r="I33" s="12">
        <v>0</v>
      </c>
      <c r="J33" s="12">
        <v>0</v>
      </c>
      <c r="K33" s="11">
        <v>3032</v>
      </c>
      <c r="L33" s="11"/>
      <c r="M33" s="12">
        <v>0</v>
      </c>
      <c r="N33" s="12">
        <v>1146</v>
      </c>
      <c r="O33" s="12">
        <v>0</v>
      </c>
      <c r="P33" s="11">
        <v>0</v>
      </c>
      <c r="Q33" s="11"/>
      <c r="R33" s="2">
        <v>-5411</v>
      </c>
      <c r="S33" s="2">
        <v>1378</v>
      </c>
      <c r="T33" s="2">
        <v>-4033</v>
      </c>
    </row>
    <row r="34" spans="1:20">
      <c r="A34" s="10" t="s">
        <v>60</v>
      </c>
      <c r="B34" s="146">
        <v>1.30574E-2</v>
      </c>
      <c r="C34" s="146">
        <v>1.7070999999999999E-2</v>
      </c>
      <c r="D34" s="147">
        <v>10661</v>
      </c>
      <c r="E34" s="147">
        <v>-364636.56</v>
      </c>
      <c r="F34" s="11">
        <v>-295948</v>
      </c>
      <c r="G34" s="11"/>
      <c r="H34" s="12">
        <v>2716</v>
      </c>
      <c r="I34" s="12">
        <v>0</v>
      </c>
      <c r="J34" s="12">
        <v>0</v>
      </c>
      <c r="K34" s="11">
        <v>58951</v>
      </c>
      <c r="L34" s="11"/>
      <c r="M34" s="12">
        <v>0</v>
      </c>
      <c r="N34" s="12">
        <v>1593</v>
      </c>
      <c r="O34" s="12">
        <v>0</v>
      </c>
      <c r="P34" s="11">
        <v>0</v>
      </c>
      <c r="Q34" s="11"/>
      <c r="R34" s="2">
        <v>-7521</v>
      </c>
      <c r="S34" s="2">
        <v>26796</v>
      </c>
      <c r="T34" s="2">
        <v>19275</v>
      </c>
    </row>
    <row r="35" spans="1:20">
      <c r="A35" s="10" t="s">
        <v>61</v>
      </c>
      <c r="B35" s="146">
        <v>4.0001000000000004E-3</v>
      </c>
      <c r="C35" s="146">
        <v>3.898E-3</v>
      </c>
      <c r="D35" s="147">
        <v>3266</v>
      </c>
      <c r="E35" s="147">
        <v>-83261.279999999999</v>
      </c>
      <c r="F35" s="11">
        <v>-90655</v>
      </c>
      <c r="G35" s="11"/>
      <c r="H35" s="12">
        <v>832</v>
      </c>
      <c r="I35" s="12">
        <v>0</v>
      </c>
      <c r="J35" s="12">
        <v>0</v>
      </c>
      <c r="K35" s="11">
        <v>0</v>
      </c>
      <c r="L35" s="11"/>
      <c r="M35" s="12">
        <v>0</v>
      </c>
      <c r="N35" s="12">
        <v>488</v>
      </c>
      <c r="O35" s="12">
        <v>0</v>
      </c>
      <c r="P35" s="11">
        <v>1492</v>
      </c>
      <c r="Q35" s="11"/>
      <c r="R35" s="2">
        <v>-2304</v>
      </c>
      <c r="S35" s="2">
        <v>-678</v>
      </c>
      <c r="T35" s="2">
        <v>-2982</v>
      </c>
    </row>
    <row r="36" spans="1:20">
      <c r="A36" s="10" t="s">
        <v>62</v>
      </c>
      <c r="B36" s="146">
        <v>4.1470999999999999E-3</v>
      </c>
      <c r="C36" s="146">
        <v>3.8709999999999999E-3</v>
      </c>
      <c r="D36" s="147">
        <v>3386</v>
      </c>
      <c r="E36" s="147">
        <v>-82684.56</v>
      </c>
      <c r="F36" s="11">
        <v>-93996</v>
      </c>
      <c r="G36" s="11"/>
      <c r="H36" s="12">
        <v>863</v>
      </c>
      <c r="I36" s="12">
        <v>0</v>
      </c>
      <c r="J36" s="12">
        <v>0</v>
      </c>
      <c r="K36" s="11">
        <v>0</v>
      </c>
      <c r="L36" s="11"/>
      <c r="M36" s="12">
        <v>0</v>
      </c>
      <c r="N36" s="12">
        <v>506</v>
      </c>
      <c r="O36" s="12">
        <v>0</v>
      </c>
      <c r="P36" s="11">
        <v>4052</v>
      </c>
      <c r="Q36" s="11"/>
      <c r="R36" s="2">
        <v>-2389</v>
      </c>
      <c r="S36" s="2">
        <v>-1842</v>
      </c>
      <c r="T36" s="2">
        <v>-4231</v>
      </c>
    </row>
    <row r="37" spans="1:20">
      <c r="A37" s="10" t="s">
        <v>63</v>
      </c>
      <c r="B37" s="146">
        <v>2.8973499999999999E-2</v>
      </c>
      <c r="C37" s="146">
        <v>2.77272E-2</v>
      </c>
      <c r="D37" s="147">
        <v>23656</v>
      </c>
      <c r="E37" s="147">
        <v>-592252.99199999997</v>
      </c>
      <c r="F37" s="11">
        <v>-656716</v>
      </c>
      <c r="G37" s="11"/>
      <c r="H37" s="12">
        <v>6027</v>
      </c>
      <c r="I37" s="12">
        <v>0</v>
      </c>
      <c r="J37" s="12">
        <v>0</v>
      </c>
      <c r="K37" s="11">
        <v>0</v>
      </c>
      <c r="L37" s="11"/>
      <c r="M37" s="12">
        <v>0</v>
      </c>
      <c r="N37" s="12">
        <v>3535</v>
      </c>
      <c r="O37" s="12">
        <v>0</v>
      </c>
      <c r="P37" s="11">
        <v>18304</v>
      </c>
      <c r="Q37" s="11"/>
      <c r="R37" s="2">
        <v>-16689</v>
      </c>
      <c r="S37" s="2">
        <v>-8320</v>
      </c>
      <c r="T37" s="2">
        <v>-25009</v>
      </c>
    </row>
    <row r="38" spans="1:20">
      <c r="A38" s="10" t="s">
        <v>64</v>
      </c>
      <c r="B38" s="146">
        <v>3.4832999999999999E-3</v>
      </c>
      <c r="C38" s="146">
        <v>3.3421000000000002E-3</v>
      </c>
      <c r="D38" s="147">
        <v>2844</v>
      </c>
      <c r="E38" s="147">
        <v>-71387.256000000008</v>
      </c>
      <c r="F38" s="11">
        <v>-78959</v>
      </c>
      <c r="G38" s="11"/>
      <c r="H38" s="12">
        <v>725</v>
      </c>
      <c r="I38" s="12">
        <v>0</v>
      </c>
      <c r="J38" s="12">
        <v>0</v>
      </c>
      <c r="K38" s="11">
        <v>0</v>
      </c>
      <c r="L38" s="11"/>
      <c r="M38" s="12">
        <v>0</v>
      </c>
      <c r="N38" s="12">
        <v>425</v>
      </c>
      <c r="O38" s="12">
        <v>0</v>
      </c>
      <c r="P38" s="11">
        <v>2070</v>
      </c>
      <c r="Q38" s="11"/>
      <c r="R38" s="2">
        <v>-2007</v>
      </c>
      <c r="S38" s="2">
        <v>-941</v>
      </c>
      <c r="T38" s="2">
        <v>-2948</v>
      </c>
    </row>
    <row r="39" spans="1:20">
      <c r="A39" s="10" t="s">
        <v>65</v>
      </c>
      <c r="B39" s="146">
        <v>3.8694600000000003E-2</v>
      </c>
      <c r="C39" s="146">
        <v>3.7975200000000001E-2</v>
      </c>
      <c r="D39" s="147">
        <v>31593</v>
      </c>
      <c r="E39" s="147">
        <v>-811150.272</v>
      </c>
      <c r="F39" s="11">
        <v>-877043</v>
      </c>
      <c r="G39" s="11"/>
      <c r="H39" s="12">
        <v>8048</v>
      </c>
      <c r="I39" s="12">
        <v>0</v>
      </c>
      <c r="J39" s="12">
        <v>0</v>
      </c>
      <c r="K39" s="11">
        <v>0</v>
      </c>
      <c r="L39" s="11"/>
      <c r="M39" s="12">
        <v>0</v>
      </c>
      <c r="N39" s="12">
        <v>4721</v>
      </c>
      <c r="O39" s="12">
        <v>0</v>
      </c>
      <c r="P39" s="11">
        <v>10558</v>
      </c>
      <c r="Q39" s="11"/>
      <c r="R39" s="2">
        <v>-22288</v>
      </c>
      <c r="S39" s="2">
        <v>-4799</v>
      </c>
      <c r="T39" s="2">
        <v>-27087</v>
      </c>
    </row>
    <row r="40" spans="1:20">
      <c r="A40" s="10" t="s">
        <v>66</v>
      </c>
      <c r="B40" s="146">
        <v>5.2224999999999997E-3</v>
      </c>
      <c r="C40" s="146">
        <v>5.0153000000000003E-3</v>
      </c>
      <c r="D40" s="147">
        <v>4264</v>
      </c>
      <c r="E40" s="147">
        <v>-107126.808</v>
      </c>
      <c r="F40" s="11">
        <v>-118378</v>
      </c>
      <c r="G40" s="11"/>
      <c r="H40" s="12">
        <v>1086</v>
      </c>
      <c r="I40" s="12">
        <v>0</v>
      </c>
      <c r="J40" s="12">
        <v>0</v>
      </c>
      <c r="K40" s="11">
        <v>0</v>
      </c>
      <c r="L40" s="11"/>
      <c r="M40" s="12">
        <v>0</v>
      </c>
      <c r="N40" s="12">
        <v>637</v>
      </c>
      <c r="O40" s="12">
        <v>0</v>
      </c>
      <c r="P40" s="11">
        <v>3038</v>
      </c>
      <c r="Q40" s="11"/>
      <c r="R40" s="2">
        <v>-3008</v>
      </c>
      <c r="S40" s="2">
        <v>-1381</v>
      </c>
      <c r="T40" s="2">
        <v>-4389</v>
      </c>
    </row>
    <row r="41" spans="1:20">
      <c r="A41" s="10" t="s">
        <v>67</v>
      </c>
      <c r="B41" s="146">
        <v>1.42136E-2</v>
      </c>
      <c r="C41" s="146">
        <v>1.39896E-2</v>
      </c>
      <c r="D41" s="147">
        <v>11605</v>
      </c>
      <c r="E41" s="147">
        <v>-298817.85599999997</v>
      </c>
      <c r="F41" s="11">
        <v>-322159</v>
      </c>
      <c r="G41" s="11"/>
      <c r="H41" s="12">
        <v>2956</v>
      </c>
      <c r="I41" s="12">
        <v>0</v>
      </c>
      <c r="J41" s="12">
        <v>0</v>
      </c>
      <c r="K41" s="11">
        <v>0</v>
      </c>
      <c r="L41" s="11"/>
      <c r="M41" s="12">
        <v>0</v>
      </c>
      <c r="N41" s="12">
        <v>1734</v>
      </c>
      <c r="O41" s="12">
        <v>0</v>
      </c>
      <c r="P41" s="11">
        <v>3285</v>
      </c>
      <c r="Q41" s="11"/>
      <c r="R41" s="2">
        <v>-8187</v>
      </c>
      <c r="S41" s="2">
        <v>-1493</v>
      </c>
      <c r="T41" s="2">
        <v>-9680</v>
      </c>
    </row>
    <row r="42" spans="1:20">
      <c r="A42" s="10" t="s">
        <v>68</v>
      </c>
      <c r="B42" s="146">
        <v>9.9820000000000009E-4</v>
      </c>
      <c r="C42" s="146">
        <v>9.5160000000000004E-4</v>
      </c>
      <c r="D42" s="147">
        <v>815</v>
      </c>
      <c r="E42" s="147">
        <v>-20326.175999999999</v>
      </c>
      <c r="F42" s="11">
        <v>-22616</v>
      </c>
      <c r="G42" s="11"/>
      <c r="H42" s="12">
        <v>208</v>
      </c>
      <c r="I42" s="12">
        <v>0</v>
      </c>
      <c r="J42" s="12">
        <v>0</v>
      </c>
      <c r="K42" s="11">
        <v>0</v>
      </c>
      <c r="L42" s="11"/>
      <c r="M42" s="12">
        <v>0</v>
      </c>
      <c r="N42" s="12">
        <v>122</v>
      </c>
      <c r="O42" s="12">
        <v>0</v>
      </c>
      <c r="P42" s="11">
        <v>678</v>
      </c>
      <c r="Q42" s="11"/>
      <c r="R42" s="2">
        <v>-575</v>
      </c>
      <c r="S42" s="2">
        <v>-308</v>
      </c>
      <c r="T42" s="2">
        <v>-883</v>
      </c>
    </row>
    <row r="43" spans="1:20">
      <c r="A43" s="10" t="s">
        <v>69</v>
      </c>
      <c r="B43" s="146">
        <v>6.7239999999999997E-4</v>
      </c>
      <c r="C43" s="146">
        <v>6.6890000000000005E-4</v>
      </c>
      <c r="D43" s="147">
        <v>549</v>
      </c>
      <c r="E43" s="147">
        <v>-14287.704000000002</v>
      </c>
      <c r="F43" s="11">
        <v>-15236</v>
      </c>
      <c r="G43" s="11"/>
      <c r="H43" s="12">
        <v>140</v>
      </c>
      <c r="I43" s="12">
        <v>0</v>
      </c>
      <c r="J43" s="12">
        <v>0</v>
      </c>
      <c r="K43" s="11">
        <v>0</v>
      </c>
      <c r="L43" s="11"/>
      <c r="M43" s="12">
        <v>0</v>
      </c>
      <c r="N43" s="12">
        <v>82</v>
      </c>
      <c r="O43" s="12">
        <v>0</v>
      </c>
      <c r="P43" s="11">
        <v>48</v>
      </c>
      <c r="Q43" s="11"/>
      <c r="R43" s="2">
        <v>-387</v>
      </c>
      <c r="S43" s="2">
        <v>-22</v>
      </c>
      <c r="T43" s="2">
        <v>-409</v>
      </c>
    </row>
    <row r="44" spans="1:20">
      <c r="A44" s="10" t="s">
        <v>70</v>
      </c>
      <c r="B44" s="146">
        <v>4.5732999999999998E-3</v>
      </c>
      <c r="C44" s="146">
        <v>4.2699000000000001E-3</v>
      </c>
      <c r="D44" s="147">
        <v>3734</v>
      </c>
      <c r="E44" s="147">
        <v>-91205.063999999998</v>
      </c>
      <c r="F44" s="11">
        <v>-103658</v>
      </c>
      <c r="G44" s="11"/>
      <c r="H44" s="12">
        <v>951</v>
      </c>
      <c r="I44" s="12">
        <v>0</v>
      </c>
      <c r="J44" s="12">
        <v>0</v>
      </c>
      <c r="K44" s="11">
        <v>0</v>
      </c>
      <c r="L44" s="11"/>
      <c r="M44" s="12">
        <v>0</v>
      </c>
      <c r="N44" s="12">
        <v>558</v>
      </c>
      <c r="O44" s="12">
        <v>0</v>
      </c>
      <c r="P44" s="11">
        <v>4455</v>
      </c>
      <c r="Q44" s="11"/>
      <c r="R44" s="2">
        <v>-2634</v>
      </c>
      <c r="S44" s="2">
        <v>-2025</v>
      </c>
      <c r="T44" s="2">
        <v>-4659</v>
      </c>
    </row>
    <row r="45" spans="1:20">
      <c r="A45" s="10" t="s">
        <v>71</v>
      </c>
      <c r="B45" s="146">
        <v>1.1942000000000001E-3</v>
      </c>
      <c r="C45" s="146">
        <v>9.7499999999999996E-4</v>
      </c>
      <c r="D45" s="147">
        <v>975</v>
      </c>
      <c r="E45" s="147">
        <v>-20826</v>
      </c>
      <c r="F45" s="11">
        <v>-27079</v>
      </c>
      <c r="G45" s="11"/>
      <c r="H45" s="12">
        <v>248</v>
      </c>
      <c r="I45" s="12">
        <v>0</v>
      </c>
      <c r="J45" s="12">
        <v>0</v>
      </c>
      <c r="K45" s="11">
        <v>0</v>
      </c>
      <c r="L45" s="11"/>
      <c r="M45" s="12">
        <v>0</v>
      </c>
      <c r="N45" s="12">
        <v>146</v>
      </c>
      <c r="O45" s="12">
        <v>0</v>
      </c>
      <c r="P45" s="11">
        <v>3225</v>
      </c>
      <c r="Q45" s="11"/>
      <c r="R45" s="2">
        <v>-688</v>
      </c>
      <c r="S45" s="2">
        <v>-1466</v>
      </c>
      <c r="T45" s="2">
        <v>-2154</v>
      </c>
    </row>
    <row r="46" spans="1:20">
      <c r="A46" s="10" t="s">
        <v>72</v>
      </c>
      <c r="B46" s="146">
        <v>4.3045100000000003E-2</v>
      </c>
      <c r="C46" s="146">
        <v>4.29451E-2</v>
      </c>
      <c r="D46" s="147">
        <v>35145</v>
      </c>
      <c r="E46" s="147">
        <v>-917307.33600000001</v>
      </c>
      <c r="F46" s="11">
        <v>-975649</v>
      </c>
      <c r="G46" s="11"/>
      <c r="H46" s="12">
        <v>8953</v>
      </c>
      <c r="I46" s="12">
        <v>0</v>
      </c>
      <c r="J46" s="12">
        <v>0</v>
      </c>
      <c r="K46" s="11">
        <v>0</v>
      </c>
      <c r="L46" s="11"/>
      <c r="M46" s="12">
        <v>0</v>
      </c>
      <c r="N46" s="12">
        <v>5251</v>
      </c>
      <c r="O46" s="12">
        <v>0</v>
      </c>
      <c r="P46" s="11">
        <v>1465</v>
      </c>
      <c r="Q46" s="11"/>
      <c r="R46" s="2">
        <v>-24794</v>
      </c>
      <c r="S46" s="2">
        <v>-666</v>
      </c>
      <c r="T46" s="2">
        <v>-25460</v>
      </c>
    </row>
    <row r="47" spans="1:20">
      <c r="A47" s="10" t="s">
        <v>73</v>
      </c>
      <c r="B47" s="146">
        <v>4.2867000000000001E-3</v>
      </c>
      <c r="C47" s="146">
        <v>4.0188999999999997E-3</v>
      </c>
      <c r="D47" s="147">
        <v>3500</v>
      </c>
      <c r="E47" s="147">
        <v>-85843.703999999998</v>
      </c>
      <c r="F47" s="11">
        <v>-97156</v>
      </c>
      <c r="G47" s="11"/>
      <c r="H47" s="12">
        <v>892</v>
      </c>
      <c r="I47" s="12">
        <v>0</v>
      </c>
      <c r="J47" s="12">
        <v>0</v>
      </c>
      <c r="K47" s="11">
        <v>0</v>
      </c>
      <c r="L47" s="11"/>
      <c r="M47" s="12">
        <v>0</v>
      </c>
      <c r="N47" s="12">
        <v>523</v>
      </c>
      <c r="O47" s="12">
        <v>0</v>
      </c>
      <c r="P47" s="11">
        <v>3929</v>
      </c>
      <c r="Q47" s="11"/>
      <c r="R47" s="2">
        <v>-2469</v>
      </c>
      <c r="S47" s="2">
        <v>-1786</v>
      </c>
      <c r="T47" s="2">
        <v>-4255</v>
      </c>
    </row>
    <row r="48" spans="1:20">
      <c r="A48" s="10" t="s">
        <v>74</v>
      </c>
      <c r="B48" s="146">
        <v>1.21805E-2</v>
      </c>
      <c r="C48" s="146">
        <v>1.2782999999999999E-2</v>
      </c>
      <c r="D48" s="147">
        <v>9945</v>
      </c>
      <c r="E48" s="147">
        <v>-273044.88</v>
      </c>
      <c r="F48" s="11">
        <v>-276076</v>
      </c>
      <c r="G48" s="11"/>
      <c r="H48" s="12">
        <v>2533</v>
      </c>
      <c r="I48" s="12">
        <v>0</v>
      </c>
      <c r="J48" s="12">
        <v>0</v>
      </c>
      <c r="K48" s="11">
        <v>8853</v>
      </c>
      <c r="L48" s="11"/>
      <c r="M48" s="12">
        <v>0</v>
      </c>
      <c r="N48" s="12">
        <v>1486</v>
      </c>
      <c r="O48" s="12">
        <v>0</v>
      </c>
      <c r="P48" s="11">
        <v>0</v>
      </c>
      <c r="Q48" s="11"/>
      <c r="R48" s="2">
        <v>-7016</v>
      </c>
      <c r="S48" s="2">
        <v>4024</v>
      </c>
      <c r="T48" s="2">
        <v>-2992</v>
      </c>
    </row>
    <row r="49" spans="1:20">
      <c r="A49" s="10" t="s">
        <v>31</v>
      </c>
      <c r="B49" s="146">
        <v>7.0657999999999997E-3</v>
      </c>
      <c r="C49" s="146">
        <v>7.1396000000000003E-3</v>
      </c>
      <c r="D49" s="147">
        <v>5769</v>
      </c>
      <c r="E49" s="147">
        <v>-152501.856</v>
      </c>
      <c r="F49" s="11">
        <v>-160156</v>
      </c>
      <c r="G49" s="11"/>
      <c r="H49" s="12">
        <v>1470</v>
      </c>
      <c r="I49" s="12">
        <v>0</v>
      </c>
      <c r="J49" s="12">
        <v>0</v>
      </c>
      <c r="K49" s="11">
        <v>1085</v>
      </c>
      <c r="L49" s="11"/>
      <c r="M49" s="12">
        <v>0</v>
      </c>
      <c r="N49" s="12">
        <v>862</v>
      </c>
      <c r="O49" s="12">
        <v>0</v>
      </c>
      <c r="P49" s="11">
        <v>0</v>
      </c>
      <c r="Q49" s="11"/>
      <c r="R49" s="2">
        <v>-4070</v>
      </c>
      <c r="S49" s="2">
        <v>493</v>
      </c>
      <c r="T49" s="2">
        <v>-3577</v>
      </c>
    </row>
    <row r="50" spans="1:20">
      <c r="A50" s="10" t="s">
        <v>75</v>
      </c>
      <c r="B50" s="146">
        <v>1.3187300000000001E-2</v>
      </c>
      <c r="C50" s="146">
        <v>1.2534500000000001E-2</v>
      </c>
      <c r="D50" s="147">
        <v>10767</v>
      </c>
      <c r="E50" s="147">
        <v>-267736.92</v>
      </c>
      <c r="F50" s="11">
        <v>-298899</v>
      </c>
      <c r="G50" s="11"/>
      <c r="H50" s="12">
        <v>2743</v>
      </c>
      <c r="I50" s="12">
        <v>0</v>
      </c>
      <c r="J50" s="12">
        <v>0</v>
      </c>
      <c r="K50" s="11">
        <v>0</v>
      </c>
      <c r="L50" s="11"/>
      <c r="M50" s="12">
        <v>0</v>
      </c>
      <c r="N50" s="12">
        <v>1609</v>
      </c>
      <c r="O50" s="12">
        <v>0</v>
      </c>
      <c r="P50" s="11">
        <v>9577</v>
      </c>
      <c r="Q50" s="11"/>
      <c r="R50" s="2">
        <v>-7596</v>
      </c>
      <c r="S50" s="2">
        <v>-4353</v>
      </c>
      <c r="T50" s="2">
        <v>-11949</v>
      </c>
    </row>
    <row r="51" spans="1:20">
      <c r="A51" s="10" t="s">
        <v>76</v>
      </c>
      <c r="B51" s="146">
        <v>1.9216999999999999E-3</v>
      </c>
      <c r="C51" s="146">
        <v>1.8358000000000001E-3</v>
      </c>
      <c r="D51" s="147">
        <v>1569</v>
      </c>
      <c r="E51" s="147">
        <v>-39212.688000000002</v>
      </c>
      <c r="F51" s="11">
        <v>-43562</v>
      </c>
      <c r="G51" s="11"/>
      <c r="H51" s="12">
        <v>400</v>
      </c>
      <c r="I51" s="12">
        <v>0</v>
      </c>
      <c r="J51" s="12">
        <v>0</v>
      </c>
      <c r="K51" s="11">
        <v>0</v>
      </c>
      <c r="L51" s="11"/>
      <c r="M51" s="12">
        <v>0</v>
      </c>
      <c r="N51" s="12">
        <v>234</v>
      </c>
      <c r="O51" s="12">
        <v>0</v>
      </c>
      <c r="P51" s="11">
        <v>1265</v>
      </c>
      <c r="Q51" s="11"/>
      <c r="R51" s="2">
        <v>-1107</v>
      </c>
      <c r="S51" s="2">
        <v>-575</v>
      </c>
      <c r="T51" s="2">
        <v>-1682</v>
      </c>
    </row>
    <row r="52" spans="1:20">
      <c r="A52" s="10" t="s">
        <v>77</v>
      </c>
      <c r="B52" s="146">
        <v>5.0350999999999998E-3</v>
      </c>
      <c r="C52" s="146">
        <v>5.1400999999999999E-3</v>
      </c>
      <c r="D52" s="147">
        <v>4111</v>
      </c>
      <c r="E52" s="147">
        <v>-109792.53599999999</v>
      </c>
      <c r="F52" s="11">
        <v>-114139</v>
      </c>
      <c r="G52" s="11"/>
      <c r="H52" s="12">
        <v>1047</v>
      </c>
      <c r="I52" s="12">
        <v>0</v>
      </c>
      <c r="J52" s="12">
        <v>0</v>
      </c>
      <c r="K52" s="11">
        <v>1527</v>
      </c>
      <c r="L52" s="11"/>
      <c r="M52" s="12">
        <v>0</v>
      </c>
      <c r="N52" s="12">
        <v>614</v>
      </c>
      <c r="O52" s="12">
        <v>0</v>
      </c>
      <c r="P52" s="11">
        <v>0</v>
      </c>
      <c r="Q52" s="11"/>
      <c r="R52" s="2">
        <v>-2901</v>
      </c>
      <c r="S52" s="2">
        <v>694</v>
      </c>
      <c r="T52" s="2">
        <v>-2207</v>
      </c>
    </row>
    <row r="53" spans="1:20">
      <c r="A53" s="10" t="s">
        <v>78</v>
      </c>
      <c r="B53" s="146">
        <v>3.9809999999999997E-4</v>
      </c>
      <c r="C53" s="146">
        <v>4.3679999999999999E-4</v>
      </c>
      <c r="D53" s="147">
        <v>325</v>
      </c>
      <c r="E53" s="147">
        <v>-9330.0480000000007</v>
      </c>
      <c r="F53" s="11">
        <v>-9019</v>
      </c>
      <c r="G53" s="11"/>
      <c r="H53" s="12">
        <v>83</v>
      </c>
      <c r="I53" s="12">
        <v>0</v>
      </c>
      <c r="J53" s="12">
        <v>0</v>
      </c>
      <c r="K53" s="11">
        <v>572</v>
      </c>
      <c r="L53" s="11"/>
      <c r="M53" s="12">
        <v>0</v>
      </c>
      <c r="N53" s="12">
        <v>49</v>
      </c>
      <c r="O53" s="12">
        <v>0</v>
      </c>
      <c r="P53" s="11">
        <v>0</v>
      </c>
      <c r="Q53" s="11"/>
      <c r="R53" s="2">
        <v>-229</v>
      </c>
      <c r="S53" s="2">
        <v>260</v>
      </c>
      <c r="T53" s="2">
        <v>31</v>
      </c>
    </row>
    <row r="54" spans="1:20">
      <c r="A54" s="10" t="s">
        <v>79</v>
      </c>
      <c r="B54" s="146">
        <v>1.8712300000000001E-2</v>
      </c>
      <c r="C54" s="146">
        <v>1.89585E-2</v>
      </c>
      <c r="D54" s="147">
        <v>15278</v>
      </c>
      <c r="E54" s="147">
        <v>-404953.56</v>
      </c>
      <c r="F54" s="11">
        <v>-424126</v>
      </c>
      <c r="G54" s="11"/>
      <c r="H54" s="12">
        <v>3892</v>
      </c>
      <c r="I54" s="12">
        <v>0</v>
      </c>
      <c r="J54" s="12">
        <v>0</v>
      </c>
      <c r="K54" s="11">
        <v>3619</v>
      </c>
      <c r="L54" s="11"/>
      <c r="M54" s="12">
        <v>0</v>
      </c>
      <c r="N54" s="12">
        <v>2283</v>
      </c>
      <c r="O54" s="12">
        <v>0</v>
      </c>
      <c r="P54" s="11">
        <v>0</v>
      </c>
      <c r="Q54" s="11"/>
      <c r="R54" s="2">
        <v>-10778</v>
      </c>
      <c r="S54" s="2">
        <v>1645</v>
      </c>
      <c r="T54" s="2">
        <v>-9133</v>
      </c>
    </row>
    <row r="55" spans="1:20">
      <c r="A55" s="10" t="s">
        <v>80</v>
      </c>
      <c r="B55" s="146">
        <v>4.6100999999999998E-3</v>
      </c>
      <c r="C55" s="146">
        <v>4.5802000000000004E-3</v>
      </c>
      <c r="D55" s="147">
        <v>3764</v>
      </c>
      <c r="E55" s="147">
        <v>-97833.072000000015</v>
      </c>
      <c r="F55" s="11">
        <v>-104497</v>
      </c>
      <c r="G55" s="11"/>
      <c r="H55" s="12">
        <v>959</v>
      </c>
      <c r="I55" s="12">
        <v>0</v>
      </c>
      <c r="J55" s="12">
        <v>0</v>
      </c>
      <c r="K55" s="11">
        <v>0</v>
      </c>
      <c r="L55" s="11"/>
      <c r="M55" s="12">
        <v>0</v>
      </c>
      <c r="N55" s="12">
        <v>562</v>
      </c>
      <c r="O55" s="12">
        <v>0</v>
      </c>
      <c r="P55" s="11">
        <v>449</v>
      </c>
      <c r="Q55" s="11"/>
      <c r="R55" s="2">
        <v>-2656</v>
      </c>
      <c r="S55" s="2">
        <v>-204</v>
      </c>
      <c r="T55" s="2">
        <v>-2860</v>
      </c>
    </row>
    <row r="56" spans="1:20">
      <c r="A56" s="10" t="s">
        <v>81</v>
      </c>
      <c r="B56" s="146">
        <v>1.9272000000000001E-2</v>
      </c>
      <c r="C56" s="146">
        <v>1.8317400000000001E-2</v>
      </c>
      <c r="D56" s="147">
        <v>15735</v>
      </c>
      <c r="E56" s="147">
        <v>-391259.66400000005</v>
      </c>
      <c r="F56" s="11">
        <v>-436817</v>
      </c>
      <c r="G56" s="11"/>
      <c r="H56" s="12">
        <v>4009</v>
      </c>
      <c r="I56" s="12">
        <v>0</v>
      </c>
      <c r="J56" s="12">
        <v>0</v>
      </c>
      <c r="K56" s="11">
        <v>0</v>
      </c>
      <c r="L56" s="11"/>
      <c r="M56" s="12">
        <v>0</v>
      </c>
      <c r="N56" s="12">
        <v>2351</v>
      </c>
      <c r="O56" s="12">
        <v>0</v>
      </c>
      <c r="P56" s="11">
        <v>14016</v>
      </c>
      <c r="Q56" s="11"/>
      <c r="R56" s="2">
        <v>-11101</v>
      </c>
      <c r="S56" s="2">
        <v>-6371</v>
      </c>
      <c r="T56" s="2">
        <v>-17472</v>
      </c>
    </row>
    <row r="57" spans="1:20">
      <c r="A57" s="10" t="s">
        <v>82</v>
      </c>
      <c r="B57" s="146">
        <v>9.8109999999999994E-4</v>
      </c>
      <c r="C57" s="146">
        <v>8.7980000000000003E-4</v>
      </c>
      <c r="D57" s="147">
        <v>801</v>
      </c>
      <c r="E57" s="147">
        <v>-18792.528000000002</v>
      </c>
      <c r="F57" s="11">
        <v>-22231</v>
      </c>
      <c r="G57" s="11"/>
      <c r="H57" s="12">
        <v>204</v>
      </c>
      <c r="I57" s="12">
        <v>0</v>
      </c>
      <c r="J57" s="12">
        <v>0</v>
      </c>
      <c r="K57" s="11">
        <v>0</v>
      </c>
      <c r="L57" s="11"/>
      <c r="M57" s="12">
        <v>0</v>
      </c>
      <c r="N57" s="12">
        <v>120</v>
      </c>
      <c r="O57" s="12">
        <v>0</v>
      </c>
      <c r="P57" s="11">
        <v>1483</v>
      </c>
      <c r="Q57" s="11"/>
      <c r="R57" s="2">
        <v>-565</v>
      </c>
      <c r="S57" s="2">
        <v>-674</v>
      </c>
      <c r="T57" s="2">
        <v>-1239</v>
      </c>
    </row>
    <row r="58" spans="1:20">
      <c r="A58" s="10" t="s">
        <v>83</v>
      </c>
      <c r="B58" s="146">
        <v>5.5763999999999996E-3</v>
      </c>
      <c r="C58" s="146">
        <v>5.3245000000000002E-3</v>
      </c>
      <c r="D58" s="147">
        <v>4553</v>
      </c>
      <c r="E58" s="147">
        <v>-113731.32</v>
      </c>
      <c r="F58" s="11">
        <v>-126388</v>
      </c>
      <c r="G58" s="11"/>
      <c r="H58" s="12">
        <v>1160</v>
      </c>
      <c r="I58" s="12">
        <v>0</v>
      </c>
      <c r="J58" s="12">
        <v>0</v>
      </c>
      <c r="K58" s="11">
        <v>0</v>
      </c>
      <c r="L58" s="11"/>
      <c r="M58" s="12">
        <v>0</v>
      </c>
      <c r="N58" s="12">
        <v>680</v>
      </c>
      <c r="O58" s="12">
        <v>0</v>
      </c>
      <c r="P58" s="11">
        <v>3698</v>
      </c>
      <c r="Q58" s="11"/>
      <c r="R58" s="2">
        <v>-3212</v>
      </c>
      <c r="S58" s="2">
        <v>-1681</v>
      </c>
      <c r="T58" s="2">
        <v>-4893</v>
      </c>
    </row>
    <row r="59" spans="1:20">
      <c r="A59" s="10" t="s">
        <v>84</v>
      </c>
      <c r="B59" s="146">
        <v>3.7331E-3</v>
      </c>
      <c r="C59" s="146">
        <v>3.3676999999999999E-3</v>
      </c>
      <c r="D59" s="147">
        <v>3048</v>
      </c>
      <c r="E59" s="147">
        <v>-71934.072</v>
      </c>
      <c r="F59" s="11">
        <v>-84603</v>
      </c>
      <c r="G59" s="11"/>
      <c r="H59" s="12">
        <v>776</v>
      </c>
      <c r="I59" s="12">
        <v>0</v>
      </c>
      <c r="J59" s="12">
        <v>0</v>
      </c>
      <c r="K59" s="11">
        <v>0</v>
      </c>
      <c r="L59" s="11"/>
      <c r="M59" s="12">
        <v>0</v>
      </c>
      <c r="N59" s="12">
        <v>455</v>
      </c>
      <c r="O59" s="12">
        <v>0</v>
      </c>
      <c r="P59" s="11">
        <v>5350</v>
      </c>
      <c r="Q59" s="11"/>
      <c r="R59" s="2">
        <v>-2150</v>
      </c>
      <c r="S59" s="2">
        <v>-2432</v>
      </c>
      <c r="T59" s="2">
        <v>-4582</v>
      </c>
    </row>
    <row r="60" spans="1:20">
      <c r="A60" s="10" t="s">
        <v>85</v>
      </c>
      <c r="B60" s="146">
        <v>8.0847999999999996E-3</v>
      </c>
      <c r="C60" s="146">
        <v>7.9920000000000008E-3</v>
      </c>
      <c r="D60" s="147">
        <v>6601</v>
      </c>
      <c r="E60" s="147">
        <v>-170709.12000000002</v>
      </c>
      <c r="F60" s="11">
        <v>-183241</v>
      </c>
      <c r="G60" s="11"/>
      <c r="H60" s="12">
        <v>1682</v>
      </c>
      <c r="I60" s="12">
        <v>0</v>
      </c>
      <c r="J60" s="12">
        <v>0</v>
      </c>
      <c r="K60" s="11">
        <v>0</v>
      </c>
      <c r="L60" s="11"/>
      <c r="M60" s="12">
        <v>0</v>
      </c>
      <c r="N60" s="12">
        <v>986</v>
      </c>
      <c r="O60" s="12">
        <v>0</v>
      </c>
      <c r="P60" s="11">
        <v>1357</v>
      </c>
      <c r="Q60" s="11"/>
      <c r="R60" s="2">
        <v>-4657</v>
      </c>
      <c r="S60" s="2">
        <v>-617</v>
      </c>
      <c r="T60" s="2">
        <v>-5274</v>
      </c>
    </row>
    <row r="61" spans="1:20">
      <c r="A61" s="10" t="s">
        <v>86</v>
      </c>
      <c r="B61" s="146">
        <v>3.8714999999999999E-3</v>
      </c>
      <c r="C61" s="146">
        <v>4.3798999999999999E-3</v>
      </c>
      <c r="D61" s="147">
        <v>3161</v>
      </c>
      <c r="E61" s="147">
        <v>-93554.664000000004</v>
      </c>
      <c r="F61" s="11">
        <v>-87742</v>
      </c>
      <c r="G61" s="11"/>
      <c r="H61" s="12">
        <v>805</v>
      </c>
      <c r="I61" s="12">
        <v>0</v>
      </c>
      <c r="J61" s="12">
        <v>0</v>
      </c>
      <c r="K61" s="11">
        <v>7471</v>
      </c>
      <c r="L61" s="11"/>
      <c r="M61" s="12">
        <v>0</v>
      </c>
      <c r="N61" s="12">
        <v>472</v>
      </c>
      <c r="O61" s="12">
        <v>0</v>
      </c>
      <c r="P61" s="11">
        <v>0</v>
      </c>
      <c r="Q61" s="11"/>
      <c r="R61" s="2">
        <v>-2230</v>
      </c>
      <c r="S61" s="2">
        <v>3396</v>
      </c>
      <c r="T61" s="2">
        <v>1166</v>
      </c>
    </row>
    <row r="62" spans="1:20">
      <c r="A62" s="10" t="s">
        <v>87</v>
      </c>
      <c r="B62" s="146">
        <v>4.7362000000000003E-3</v>
      </c>
      <c r="C62" s="146">
        <v>3.8038999999999998E-3</v>
      </c>
      <c r="D62" s="147">
        <v>3867</v>
      </c>
      <c r="E62" s="147">
        <v>-81251.303999999989</v>
      </c>
      <c r="F62" s="11">
        <v>-107355</v>
      </c>
      <c r="G62" s="11"/>
      <c r="H62" s="12">
        <v>985</v>
      </c>
      <c r="I62" s="12">
        <v>0</v>
      </c>
      <c r="J62" s="12">
        <v>0</v>
      </c>
      <c r="K62" s="11">
        <v>0</v>
      </c>
      <c r="L62" s="11"/>
      <c r="M62" s="12">
        <v>0</v>
      </c>
      <c r="N62" s="12">
        <v>578</v>
      </c>
      <c r="O62" s="12">
        <v>0</v>
      </c>
      <c r="P62" s="11">
        <v>13697</v>
      </c>
      <c r="Q62" s="11"/>
      <c r="R62" s="2">
        <v>-2728</v>
      </c>
      <c r="S62" s="2">
        <v>-6226</v>
      </c>
      <c r="T62" s="2">
        <v>-8954</v>
      </c>
    </row>
    <row r="63" spans="1:20">
      <c r="A63" s="10" t="s">
        <v>88</v>
      </c>
      <c r="B63" s="146">
        <v>1.8776000000000001E-3</v>
      </c>
      <c r="C63" s="146">
        <v>1.6944E-3</v>
      </c>
      <c r="D63" s="147">
        <v>1533</v>
      </c>
      <c r="E63" s="147">
        <v>-36192.383999999998</v>
      </c>
      <c r="F63" s="11">
        <v>-42555</v>
      </c>
      <c r="G63" s="11"/>
      <c r="H63" s="12">
        <v>391</v>
      </c>
      <c r="I63" s="12">
        <v>0</v>
      </c>
      <c r="J63" s="12">
        <v>0</v>
      </c>
      <c r="K63" s="11">
        <v>0</v>
      </c>
      <c r="L63" s="11"/>
      <c r="M63" s="12">
        <v>0</v>
      </c>
      <c r="N63" s="12">
        <v>229</v>
      </c>
      <c r="O63" s="12">
        <v>0</v>
      </c>
      <c r="P63" s="11">
        <v>2688</v>
      </c>
      <c r="Q63" s="11"/>
      <c r="R63" s="2">
        <v>-1081</v>
      </c>
      <c r="S63" s="2">
        <v>-1222</v>
      </c>
      <c r="T63" s="2">
        <v>-2303</v>
      </c>
    </row>
    <row r="64" spans="1:20">
      <c r="A64" s="10" t="s">
        <v>89</v>
      </c>
      <c r="B64" s="146">
        <v>3.8446000000000001E-3</v>
      </c>
      <c r="C64" s="146">
        <v>3.7445999999999998E-3</v>
      </c>
      <c r="D64" s="147">
        <v>3139</v>
      </c>
      <c r="E64" s="147">
        <v>-79984.656000000003</v>
      </c>
      <c r="F64" s="11">
        <v>-87139</v>
      </c>
      <c r="G64" s="11"/>
      <c r="H64" s="12">
        <v>800</v>
      </c>
      <c r="I64" s="12">
        <v>0</v>
      </c>
      <c r="J64" s="12">
        <v>0</v>
      </c>
      <c r="K64" s="11">
        <v>0</v>
      </c>
      <c r="L64" s="11"/>
      <c r="M64" s="12">
        <v>0</v>
      </c>
      <c r="N64" s="12">
        <v>469</v>
      </c>
      <c r="O64" s="12">
        <v>0</v>
      </c>
      <c r="P64" s="11">
        <v>1467</v>
      </c>
      <c r="Q64" s="11"/>
      <c r="R64" s="2">
        <v>-2214</v>
      </c>
      <c r="S64" s="2">
        <v>-667</v>
      </c>
      <c r="T64" s="2">
        <v>-2881</v>
      </c>
    </row>
    <row r="65" spans="1:20">
      <c r="A65" s="10" t="s">
        <v>90</v>
      </c>
      <c r="B65" s="146">
        <v>8.7211999999999998E-2</v>
      </c>
      <c r="C65" s="146">
        <v>9.5349000000000003E-2</v>
      </c>
      <c r="D65" s="147">
        <v>71206</v>
      </c>
      <c r="E65" s="147">
        <v>-2036654.6400000001</v>
      </c>
      <c r="F65" s="11">
        <v>-1976743</v>
      </c>
      <c r="G65" s="11"/>
      <c r="H65" s="12">
        <v>18140</v>
      </c>
      <c r="I65" s="12">
        <v>0</v>
      </c>
      <c r="J65" s="12">
        <v>0</v>
      </c>
      <c r="K65" s="11">
        <v>119495</v>
      </c>
      <c r="L65" s="11"/>
      <c r="M65" s="12">
        <v>0</v>
      </c>
      <c r="N65" s="12">
        <v>10640</v>
      </c>
      <c r="O65" s="12">
        <v>0</v>
      </c>
      <c r="P65" s="11">
        <v>0</v>
      </c>
      <c r="Q65" s="11"/>
      <c r="R65" s="2">
        <v>-50234</v>
      </c>
      <c r="S65" s="2">
        <v>54316</v>
      </c>
      <c r="T65" s="2">
        <v>4082</v>
      </c>
    </row>
    <row r="66" spans="1:20">
      <c r="A66" s="10" t="s">
        <v>91</v>
      </c>
      <c r="B66" s="146">
        <v>1.6448999999999999E-3</v>
      </c>
      <c r="C66" s="146">
        <v>1.6946000000000001E-3</v>
      </c>
      <c r="D66" s="147">
        <v>1343</v>
      </c>
      <c r="E66" s="147">
        <v>-36196.656000000003</v>
      </c>
      <c r="F66" s="11">
        <v>-37295</v>
      </c>
      <c r="G66" s="11"/>
      <c r="H66" s="12">
        <v>342</v>
      </c>
      <c r="I66" s="12">
        <v>0</v>
      </c>
      <c r="J66" s="12">
        <v>0</v>
      </c>
      <c r="K66" s="11">
        <v>722</v>
      </c>
      <c r="L66" s="11"/>
      <c r="M66" s="12">
        <v>0</v>
      </c>
      <c r="N66" s="12">
        <v>201</v>
      </c>
      <c r="O66" s="12">
        <v>0</v>
      </c>
      <c r="P66" s="11">
        <v>0</v>
      </c>
      <c r="Q66" s="11"/>
      <c r="R66" s="2">
        <v>-948</v>
      </c>
      <c r="S66" s="2">
        <v>328</v>
      </c>
      <c r="T66" s="2">
        <v>-620</v>
      </c>
    </row>
    <row r="67" spans="1:20">
      <c r="A67" s="10" t="s">
        <v>92</v>
      </c>
      <c r="B67" s="146">
        <v>2.4483E-3</v>
      </c>
      <c r="C67" s="146">
        <v>2.3151999999999999E-3</v>
      </c>
      <c r="D67" s="147">
        <v>1999</v>
      </c>
      <c r="E67" s="147">
        <v>-49452.671999999999</v>
      </c>
      <c r="F67" s="11">
        <v>-55498</v>
      </c>
      <c r="G67" s="11"/>
      <c r="H67" s="12">
        <v>509</v>
      </c>
      <c r="I67" s="12">
        <v>0</v>
      </c>
      <c r="J67" s="12">
        <v>0</v>
      </c>
      <c r="K67" s="11">
        <v>0</v>
      </c>
      <c r="L67" s="11"/>
      <c r="M67" s="12">
        <v>0</v>
      </c>
      <c r="N67" s="12">
        <v>299</v>
      </c>
      <c r="O67" s="12">
        <v>0</v>
      </c>
      <c r="P67" s="11">
        <v>1958</v>
      </c>
      <c r="Q67" s="11"/>
      <c r="R67" s="2">
        <v>-1410</v>
      </c>
      <c r="S67" s="2">
        <v>-890</v>
      </c>
      <c r="T67" s="2">
        <v>-2300</v>
      </c>
    </row>
    <row r="68" spans="1:20">
      <c r="A68" s="10" t="s">
        <v>93</v>
      </c>
      <c r="B68" s="146">
        <v>1.2653299999999999E-2</v>
      </c>
      <c r="C68" s="146">
        <v>1.25022E-2</v>
      </c>
      <c r="D68" s="147">
        <v>10331</v>
      </c>
      <c r="E68" s="147">
        <v>-267046.99199999997</v>
      </c>
      <c r="F68" s="11">
        <v>-286795</v>
      </c>
      <c r="G68" s="11"/>
      <c r="H68" s="12">
        <v>2632</v>
      </c>
      <c r="I68" s="12">
        <v>0</v>
      </c>
      <c r="J68" s="12">
        <v>0</v>
      </c>
      <c r="K68" s="11">
        <v>0</v>
      </c>
      <c r="L68" s="11"/>
      <c r="M68" s="12">
        <v>0</v>
      </c>
      <c r="N68" s="12">
        <v>1544</v>
      </c>
      <c r="O68" s="12">
        <v>0</v>
      </c>
      <c r="P68" s="11">
        <v>2215</v>
      </c>
      <c r="Q68" s="11"/>
      <c r="R68" s="2">
        <v>-7288</v>
      </c>
      <c r="S68" s="2">
        <v>-1007</v>
      </c>
      <c r="T68" s="2">
        <v>-8295</v>
      </c>
    </row>
    <row r="69" spans="1:20">
      <c r="A69" s="10" t="s">
        <v>94</v>
      </c>
      <c r="B69" s="146">
        <v>8.4106000000000007E-3</v>
      </c>
      <c r="C69" s="146">
        <v>8.5716999999999998E-3</v>
      </c>
      <c r="D69" s="147">
        <v>6867</v>
      </c>
      <c r="E69" s="147">
        <v>-183091.51199999999</v>
      </c>
      <c r="F69" s="11">
        <v>-190646</v>
      </c>
      <c r="G69" s="11"/>
      <c r="H69" s="12">
        <v>1750</v>
      </c>
      <c r="I69" s="12">
        <v>0</v>
      </c>
      <c r="J69" s="12">
        <v>0</v>
      </c>
      <c r="K69" s="11">
        <v>2361</v>
      </c>
      <c r="L69" s="11"/>
      <c r="M69" s="12">
        <v>0</v>
      </c>
      <c r="N69" s="12">
        <v>1026</v>
      </c>
      <c r="O69" s="12">
        <v>0</v>
      </c>
      <c r="P69" s="11">
        <v>0</v>
      </c>
      <c r="Q69" s="11"/>
      <c r="R69" s="2">
        <v>-4845</v>
      </c>
      <c r="S69" s="2">
        <v>1073</v>
      </c>
      <c r="T69" s="2">
        <v>-3772</v>
      </c>
    </row>
    <row r="70" spans="1:20">
      <c r="A70" s="10" t="s">
        <v>95</v>
      </c>
      <c r="B70" s="146">
        <v>2.4964799999999999E-2</v>
      </c>
      <c r="C70" s="146">
        <v>2.5901899999999999E-2</v>
      </c>
      <c r="D70" s="147">
        <v>20383</v>
      </c>
      <c r="E70" s="147">
        <v>-553264.58399999992</v>
      </c>
      <c r="F70" s="11">
        <v>-565854</v>
      </c>
      <c r="G70" s="11"/>
      <c r="H70" s="12">
        <v>5193</v>
      </c>
      <c r="I70" s="12">
        <v>0</v>
      </c>
      <c r="J70" s="12">
        <v>0</v>
      </c>
      <c r="K70" s="11">
        <v>13759</v>
      </c>
      <c r="L70" s="11"/>
      <c r="M70" s="12">
        <v>0</v>
      </c>
      <c r="N70" s="12">
        <v>3046</v>
      </c>
      <c r="O70" s="12">
        <v>0</v>
      </c>
      <c r="P70" s="11">
        <v>0</v>
      </c>
      <c r="Q70" s="11"/>
      <c r="R70" s="2">
        <v>-14380</v>
      </c>
      <c r="S70" s="2">
        <v>6254</v>
      </c>
      <c r="T70" s="2">
        <v>-8126</v>
      </c>
    </row>
    <row r="71" spans="1:20">
      <c r="A71" s="10" t="s">
        <v>96</v>
      </c>
      <c r="B71" s="146">
        <v>1.6570999999999999E-3</v>
      </c>
      <c r="C71" s="146">
        <v>1.5807E-3</v>
      </c>
      <c r="D71" s="147">
        <v>1353</v>
      </c>
      <c r="E71" s="147">
        <v>-33763.752</v>
      </c>
      <c r="F71" s="11">
        <v>-37571</v>
      </c>
      <c r="G71" s="11"/>
      <c r="H71" s="12">
        <v>345</v>
      </c>
      <c r="I71" s="12">
        <v>0</v>
      </c>
      <c r="J71" s="12">
        <v>0</v>
      </c>
      <c r="K71" s="11">
        <v>0</v>
      </c>
      <c r="L71" s="11"/>
      <c r="M71" s="12">
        <v>0</v>
      </c>
      <c r="N71" s="12">
        <v>202</v>
      </c>
      <c r="O71" s="12">
        <v>0</v>
      </c>
      <c r="P71" s="11">
        <v>1129</v>
      </c>
      <c r="Q71" s="11"/>
      <c r="R71" s="2">
        <v>-955</v>
      </c>
      <c r="S71" s="2">
        <v>-513</v>
      </c>
      <c r="T71" s="2">
        <v>-1468</v>
      </c>
    </row>
    <row r="72" spans="1:20">
      <c r="A72" s="10" t="s">
        <v>97</v>
      </c>
      <c r="B72" s="146">
        <v>2.2782199999999999E-2</v>
      </c>
      <c r="C72" s="146">
        <v>2.4544300000000002E-2</v>
      </c>
      <c r="D72" s="147">
        <v>18601</v>
      </c>
      <c r="E72" s="147">
        <v>-524266.24800000002</v>
      </c>
      <c r="F72" s="11">
        <v>-516372</v>
      </c>
      <c r="G72" s="11"/>
      <c r="H72" s="12">
        <v>4739</v>
      </c>
      <c r="I72" s="12">
        <v>0</v>
      </c>
      <c r="J72" s="12">
        <v>0</v>
      </c>
      <c r="K72" s="11">
        <v>25887</v>
      </c>
      <c r="L72" s="11"/>
      <c r="M72" s="12">
        <v>0</v>
      </c>
      <c r="N72" s="12">
        <v>2779</v>
      </c>
      <c r="O72" s="12">
        <v>0</v>
      </c>
      <c r="P72" s="11">
        <v>0</v>
      </c>
      <c r="Q72" s="11"/>
      <c r="R72" s="2">
        <v>-13122</v>
      </c>
      <c r="S72" s="2">
        <v>11767</v>
      </c>
      <c r="T72" s="2">
        <v>-1355</v>
      </c>
    </row>
    <row r="73" spans="1:20">
      <c r="A73" s="10" t="s">
        <v>98</v>
      </c>
      <c r="B73" s="146">
        <v>1.05638E-2</v>
      </c>
      <c r="C73" s="146">
        <v>1.1095000000000001E-2</v>
      </c>
      <c r="D73" s="147">
        <v>8625</v>
      </c>
      <c r="E73" s="147">
        <v>-236989.2</v>
      </c>
      <c r="F73" s="11">
        <v>-239432</v>
      </c>
      <c r="G73" s="11"/>
      <c r="H73" s="12">
        <v>2197</v>
      </c>
      <c r="I73" s="12">
        <v>0</v>
      </c>
      <c r="J73" s="12">
        <v>0</v>
      </c>
      <c r="K73" s="11">
        <v>7806</v>
      </c>
      <c r="L73" s="11"/>
      <c r="M73" s="12">
        <v>0</v>
      </c>
      <c r="N73" s="12">
        <v>1289</v>
      </c>
      <c r="O73" s="12">
        <v>0</v>
      </c>
      <c r="P73" s="11">
        <v>0</v>
      </c>
      <c r="Q73" s="11"/>
      <c r="R73" s="2">
        <v>-6085</v>
      </c>
      <c r="S73" s="2">
        <v>3548</v>
      </c>
      <c r="T73" s="2">
        <v>-2537</v>
      </c>
    </row>
    <row r="74" spans="1:20">
      <c r="A74" s="10" t="s">
        <v>99</v>
      </c>
      <c r="B74" s="146">
        <v>1.4783000000000001E-3</v>
      </c>
      <c r="C74" s="146">
        <v>1.3575E-3</v>
      </c>
      <c r="D74" s="147">
        <v>1207</v>
      </c>
      <c r="E74" s="147">
        <v>-28996.2</v>
      </c>
      <c r="F74" s="11">
        <v>-33516</v>
      </c>
      <c r="G74" s="11"/>
      <c r="H74" s="12">
        <v>308</v>
      </c>
      <c r="I74" s="12">
        <v>0</v>
      </c>
      <c r="J74" s="12">
        <v>0</v>
      </c>
      <c r="K74" s="11">
        <v>0</v>
      </c>
      <c r="L74" s="11"/>
      <c r="M74" s="12">
        <v>0</v>
      </c>
      <c r="N74" s="12">
        <v>180</v>
      </c>
      <c r="O74" s="12">
        <v>0</v>
      </c>
      <c r="P74" s="11">
        <v>1778</v>
      </c>
      <c r="Q74" s="11"/>
      <c r="R74" s="2">
        <v>-852</v>
      </c>
      <c r="S74" s="2">
        <v>-808</v>
      </c>
      <c r="T74" s="2">
        <v>-1660</v>
      </c>
    </row>
    <row r="75" spans="1:20">
      <c r="A75" s="10" t="s">
        <v>100</v>
      </c>
      <c r="B75" s="146">
        <v>4.2316000000000003E-3</v>
      </c>
      <c r="C75" s="146">
        <v>4.2157000000000002E-3</v>
      </c>
      <c r="D75" s="147">
        <v>3455</v>
      </c>
      <c r="E75" s="147">
        <v>-90047.351999999999</v>
      </c>
      <c r="F75" s="11">
        <v>-95907</v>
      </c>
      <c r="G75" s="11"/>
      <c r="H75" s="12">
        <v>880</v>
      </c>
      <c r="I75" s="12">
        <v>0</v>
      </c>
      <c r="J75" s="12">
        <v>0</v>
      </c>
      <c r="K75" s="11">
        <v>0</v>
      </c>
      <c r="L75" s="11"/>
      <c r="M75" s="12">
        <v>0</v>
      </c>
      <c r="N75" s="12">
        <v>516</v>
      </c>
      <c r="O75" s="12">
        <v>0</v>
      </c>
      <c r="P75" s="11">
        <v>229</v>
      </c>
      <c r="Q75" s="11"/>
      <c r="R75" s="2">
        <v>-2437</v>
      </c>
      <c r="S75" s="2">
        <v>-104</v>
      </c>
      <c r="T75" s="2">
        <v>-2541</v>
      </c>
    </row>
    <row r="76" spans="1:20">
      <c r="A76" s="10" t="s">
        <v>101</v>
      </c>
      <c r="B76" s="146">
        <v>6.7166999999999999E-3</v>
      </c>
      <c r="C76" s="146">
        <v>6.5957000000000003E-3</v>
      </c>
      <c r="D76" s="147">
        <v>5484</v>
      </c>
      <c r="E76" s="147">
        <v>-140884.152</v>
      </c>
      <c r="F76" s="11">
        <v>-152245</v>
      </c>
      <c r="G76" s="11"/>
      <c r="H76" s="12">
        <v>1397</v>
      </c>
      <c r="I76" s="12">
        <v>0</v>
      </c>
      <c r="J76" s="12">
        <v>0</v>
      </c>
      <c r="K76" s="11">
        <v>0</v>
      </c>
      <c r="L76" s="11"/>
      <c r="M76" s="12">
        <v>0</v>
      </c>
      <c r="N76" s="12">
        <v>819</v>
      </c>
      <c r="O76" s="12">
        <v>0</v>
      </c>
      <c r="P76" s="11">
        <v>1782</v>
      </c>
      <c r="Q76" s="11"/>
      <c r="R76" s="2">
        <v>-3869</v>
      </c>
      <c r="S76" s="2">
        <v>-810</v>
      </c>
      <c r="T76" s="2">
        <v>-4679</v>
      </c>
    </row>
    <row r="77" spans="1:20">
      <c r="A77" s="10" t="s">
        <v>102</v>
      </c>
      <c r="B77" s="146">
        <v>1.3852000000000001E-3</v>
      </c>
      <c r="C77" s="146">
        <v>1.4109000000000001E-3</v>
      </c>
      <c r="D77" s="147">
        <v>1131</v>
      </c>
      <c r="E77" s="147">
        <v>-30136.824000000001</v>
      </c>
      <c r="F77" s="11">
        <v>-31399</v>
      </c>
      <c r="G77" s="11"/>
      <c r="H77" s="12">
        <v>288</v>
      </c>
      <c r="I77" s="12">
        <v>0</v>
      </c>
      <c r="J77" s="12">
        <v>0</v>
      </c>
      <c r="K77" s="11">
        <v>374</v>
      </c>
      <c r="L77" s="11"/>
      <c r="M77" s="12">
        <v>0</v>
      </c>
      <c r="N77" s="12">
        <v>169</v>
      </c>
      <c r="O77" s="12">
        <v>0</v>
      </c>
      <c r="P77" s="11">
        <v>0</v>
      </c>
      <c r="Q77" s="11"/>
      <c r="R77" s="2">
        <v>-798</v>
      </c>
      <c r="S77" s="2">
        <v>170</v>
      </c>
      <c r="T77" s="2">
        <v>-628</v>
      </c>
    </row>
    <row r="78" spans="1:20">
      <c r="A78" s="10" t="s">
        <v>103</v>
      </c>
      <c r="B78" s="146">
        <v>3.7344000000000001E-3</v>
      </c>
      <c r="C78" s="146">
        <v>3.5187E-3</v>
      </c>
      <c r="D78" s="147">
        <v>3049</v>
      </c>
      <c r="E78" s="147">
        <v>-75159.432000000001</v>
      </c>
      <c r="F78" s="11">
        <v>-84639</v>
      </c>
      <c r="G78" s="11"/>
      <c r="H78" s="12">
        <v>777</v>
      </c>
      <c r="I78" s="12">
        <v>0</v>
      </c>
      <c r="J78" s="12">
        <v>0</v>
      </c>
      <c r="K78" s="11">
        <v>0</v>
      </c>
      <c r="L78" s="11"/>
      <c r="M78" s="12">
        <v>0</v>
      </c>
      <c r="N78" s="12">
        <v>456</v>
      </c>
      <c r="O78" s="12">
        <v>0</v>
      </c>
      <c r="P78" s="11">
        <v>3164</v>
      </c>
      <c r="Q78" s="11"/>
      <c r="R78" s="2">
        <v>-2151</v>
      </c>
      <c r="S78" s="2">
        <v>-1438</v>
      </c>
      <c r="T78" s="2">
        <v>-3589</v>
      </c>
    </row>
    <row r="79" spans="1:20">
      <c r="A79" s="10" t="s">
        <v>104</v>
      </c>
      <c r="B79" s="146">
        <v>1.47832E-2</v>
      </c>
      <c r="C79" s="146">
        <v>1.4231799999999999E-2</v>
      </c>
      <c r="D79" s="147">
        <v>12070</v>
      </c>
      <c r="E79" s="147">
        <v>-303991.24799999996</v>
      </c>
      <c r="F79" s="11">
        <v>-335074</v>
      </c>
      <c r="G79" s="11"/>
      <c r="H79" s="12">
        <v>3075</v>
      </c>
      <c r="I79" s="12">
        <v>0</v>
      </c>
      <c r="J79" s="12">
        <v>0</v>
      </c>
      <c r="K79" s="11">
        <v>0</v>
      </c>
      <c r="L79" s="11"/>
      <c r="M79" s="12">
        <v>0</v>
      </c>
      <c r="N79" s="12">
        <v>1804</v>
      </c>
      <c r="O79" s="12">
        <v>0</v>
      </c>
      <c r="P79" s="11">
        <v>8096</v>
      </c>
      <c r="Q79" s="11"/>
      <c r="R79" s="2">
        <v>-8515</v>
      </c>
      <c r="S79" s="2">
        <v>-3680</v>
      </c>
      <c r="T79" s="2">
        <v>-12195</v>
      </c>
    </row>
    <row r="80" spans="1:20">
      <c r="A80" s="10" t="s">
        <v>105</v>
      </c>
      <c r="B80" s="146">
        <v>2.2095000000000001E-3</v>
      </c>
      <c r="C80" s="146">
        <v>2.0720000000000001E-3</v>
      </c>
      <c r="D80" s="147">
        <v>1804</v>
      </c>
      <c r="E80" s="147">
        <v>-44257.919999999998</v>
      </c>
      <c r="F80" s="11">
        <v>-50087</v>
      </c>
      <c r="G80" s="11"/>
      <c r="H80" s="12">
        <v>460</v>
      </c>
      <c r="I80" s="12">
        <v>0</v>
      </c>
      <c r="J80" s="12">
        <v>0</v>
      </c>
      <c r="K80" s="11">
        <v>0</v>
      </c>
      <c r="L80" s="11"/>
      <c r="M80" s="12">
        <v>0</v>
      </c>
      <c r="N80" s="12">
        <v>270</v>
      </c>
      <c r="O80" s="12">
        <v>0</v>
      </c>
      <c r="P80" s="11">
        <v>2026</v>
      </c>
      <c r="Q80" s="11"/>
      <c r="R80" s="2">
        <v>-1273</v>
      </c>
      <c r="S80" s="2">
        <v>-921</v>
      </c>
      <c r="T80" s="2">
        <v>-2194</v>
      </c>
    </row>
    <row r="81" spans="1:20">
      <c r="A81" s="10" t="s">
        <v>106</v>
      </c>
      <c r="B81" s="146">
        <v>1.1786100000000001E-2</v>
      </c>
      <c r="C81" s="146">
        <v>1.13119E-2</v>
      </c>
      <c r="D81" s="147">
        <v>9623</v>
      </c>
      <c r="E81" s="147">
        <v>-241622.18400000001</v>
      </c>
      <c r="F81" s="11">
        <v>-267141</v>
      </c>
      <c r="G81" s="11"/>
      <c r="H81" s="12">
        <v>2451</v>
      </c>
      <c r="I81" s="12">
        <v>0</v>
      </c>
      <c r="J81" s="12">
        <v>0</v>
      </c>
      <c r="K81" s="11">
        <v>0</v>
      </c>
      <c r="L81" s="11"/>
      <c r="M81" s="12">
        <v>0</v>
      </c>
      <c r="N81" s="12">
        <v>1438</v>
      </c>
      <c r="O81" s="12">
        <v>0</v>
      </c>
      <c r="P81" s="11">
        <v>6963</v>
      </c>
      <c r="Q81" s="11"/>
      <c r="R81" s="2">
        <v>-6789</v>
      </c>
      <c r="S81" s="2">
        <v>-3165</v>
      </c>
      <c r="T81" s="2">
        <v>-9954</v>
      </c>
    </row>
    <row r="82" spans="1:20">
      <c r="A82" s="10" t="s">
        <v>107</v>
      </c>
      <c r="B82" s="146">
        <v>2.7986E-3</v>
      </c>
      <c r="C82" s="146">
        <v>2.6105999999999998E-3</v>
      </c>
      <c r="D82" s="147">
        <v>2285</v>
      </c>
      <c r="E82" s="147">
        <v>-55762.415999999997</v>
      </c>
      <c r="F82" s="11">
        <v>-63440</v>
      </c>
      <c r="G82" s="11"/>
      <c r="H82" s="12">
        <v>582</v>
      </c>
      <c r="I82" s="12">
        <v>0</v>
      </c>
      <c r="J82" s="12">
        <v>0</v>
      </c>
      <c r="K82" s="11">
        <v>0</v>
      </c>
      <c r="L82" s="11"/>
      <c r="M82" s="12">
        <v>0</v>
      </c>
      <c r="N82" s="12">
        <v>341</v>
      </c>
      <c r="O82" s="12">
        <v>0</v>
      </c>
      <c r="P82" s="11">
        <v>2765</v>
      </c>
      <c r="Q82" s="11"/>
      <c r="R82" s="2">
        <v>-1612</v>
      </c>
      <c r="S82" s="2">
        <v>-1257</v>
      </c>
      <c r="T82" s="2">
        <v>-2869</v>
      </c>
    </row>
    <row r="83" spans="1:20">
      <c r="A83" s="10" t="s">
        <v>108</v>
      </c>
      <c r="B83" s="146">
        <v>7.9550000000000003E-3</v>
      </c>
      <c r="C83" s="146">
        <v>7.2880999999999996E-3</v>
      </c>
      <c r="D83" s="147">
        <v>6495</v>
      </c>
      <c r="E83" s="147">
        <v>-155673.81599999999</v>
      </c>
      <c r="F83" s="11">
        <v>-180319</v>
      </c>
      <c r="G83" s="11"/>
      <c r="H83" s="12">
        <v>1655</v>
      </c>
      <c r="I83" s="12">
        <v>0</v>
      </c>
      <c r="J83" s="12">
        <v>0</v>
      </c>
      <c r="K83" s="11">
        <v>0</v>
      </c>
      <c r="L83" s="11"/>
      <c r="M83" s="12">
        <v>0</v>
      </c>
      <c r="N83" s="12">
        <v>971</v>
      </c>
      <c r="O83" s="12">
        <v>0</v>
      </c>
      <c r="P83" s="11">
        <v>9801</v>
      </c>
      <c r="Q83" s="11"/>
      <c r="R83" s="2">
        <v>-4582</v>
      </c>
      <c r="S83" s="2">
        <v>-4455</v>
      </c>
      <c r="T83" s="2">
        <v>-9037</v>
      </c>
    </row>
    <row r="84" spans="1:20">
      <c r="A84" s="10" t="s">
        <v>109</v>
      </c>
      <c r="B84" s="146">
        <v>8.0651999999999998E-3</v>
      </c>
      <c r="C84" s="146">
        <v>7.6474000000000004E-3</v>
      </c>
      <c r="D84" s="147">
        <v>6585</v>
      </c>
      <c r="E84" s="147">
        <v>-163348.46400000001</v>
      </c>
      <c r="F84" s="11">
        <v>-182819</v>
      </c>
      <c r="G84" s="11"/>
      <c r="H84" s="12">
        <v>1678</v>
      </c>
      <c r="I84" s="12">
        <v>0</v>
      </c>
      <c r="J84" s="12">
        <v>0</v>
      </c>
      <c r="K84" s="11">
        <v>0</v>
      </c>
      <c r="L84" s="11"/>
      <c r="M84" s="12">
        <v>0</v>
      </c>
      <c r="N84" s="12">
        <v>984</v>
      </c>
      <c r="O84" s="12">
        <v>0</v>
      </c>
      <c r="P84" s="11">
        <v>6145</v>
      </c>
      <c r="Q84" s="11"/>
      <c r="R84" s="2">
        <v>-4646</v>
      </c>
      <c r="S84" s="2">
        <v>-2793</v>
      </c>
      <c r="T84" s="2">
        <v>-7439</v>
      </c>
    </row>
    <row r="85" spans="1:20">
      <c r="A85" s="10" t="s">
        <v>110</v>
      </c>
      <c r="B85" s="146">
        <v>1.26447E-2</v>
      </c>
      <c r="C85" s="146">
        <v>1.20617E-2</v>
      </c>
      <c r="D85" s="147">
        <v>10324</v>
      </c>
      <c r="E85" s="147">
        <v>-257637.91200000001</v>
      </c>
      <c r="F85" s="11">
        <v>-286593</v>
      </c>
      <c r="G85" s="11"/>
      <c r="H85" s="12">
        <v>2630</v>
      </c>
      <c r="I85" s="12">
        <v>0</v>
      </c>
      <c r="J85" s="12">
        <v>0</v>
      </c>
      <c r="K85" s="11">
        <v>0</v>
      </c>
      <c r="L85" s="11"/>
      <c r="M85" s="12">
        <v>0</v>
      </c>
      <c r="N85" s="12">
        <v>1543</v>
      </c>
      <c r="O85" s="12">
        <v>0</v>
      </c>
      <c r="P85" s="11">
        <v>8554</v>
      </c>
      <c r="Q85" s="11"/>
      <c r="R85" s="2">
        <v>-7283</v>
      </c>
      <c r="S85" s="2">
        <v>-3888</v>
      </c>
      <c r="T85" s="2">
        <v>-11171</v>
      </c>
    </row>
    <row r="86" spans="1:20">
      <c r="A86" s="10" t="s">
        <v>111</v>
      </c>
      <c r="B86" s="146">
        <v>6.3346000000000001E-3</v>
      </c>
      <c r="C86" s="146">
        <v>6.2266999999999999E-3</v>
      </c>
      <c r="D86" s="147">
        <v>5172</v>
      </c>
      <c r="E86" s="147">
        <v>-133002.31200000001</v>
      </c>
      <c r="F86" s="11">
        <v>-143580</v>
      </c>
      <c r="G86" s="11"/>
      <c r="H86" s="12">
        <v>1318</v>
      </c>
      <c r="I86" s="12">
        <v>0</v>
      </c>
      <c r="J86" s="12">
        <v>0</v>
      </c>
      <c r="K86" s="11">
        <v>0</v>
      </c>
      <c r="L86" s="11"/>
      <c r="M86" s="12">
        <v>0</v>
      </c>
      <c r="N86" s="12">
        <v>773</v>
      </c>
      <c r="O86" s="12">
        <v>0</v>
      </c>
      <c r="P86" s="11">
        <v>1591</v>
      </c>
      <c r="Q86" s="11"/>
      <c r="R86" s="2">
        <v>-3649</v>
      </c>
      <c r="S86" s="2">
        <v>-723</v>
      </c>
      <c r="T86" s="2">
        <v>-4372</v>
      </c>
    </row>
    <row r="87" spans="1:20">
      <c r="A87" s="10" t="s">
        <v>112</v>
      </c>
      <c r="B87" s="146">
        <v>4.8843999999999997E-3</v>
      </c>
      <c r="C87" s="146">
        <v>4.5783999999999998E-3</v>
      </c>
      <c r="D87" s="147">
        <v>3988</v>
      </c>
      <c r="E87" s="147">
        <v>-97794.623999999996</v>
      </c>
      <c r="F87" s="11">
        <v>-110703</v>
      </c>
      <c r="G87" s="11"/>
      <c r="H87" s="12">
        <v>1016</v>
      </c>
      <c r="I87" s="12">
        <v>0</v>
      </c>
      <c r="J87" s="12">
        <v>0</v>
      </c>
      <c r="K87" s="11">
        <v>0</v>
      </c>
      <c r="L87" s="11"/>
      <c r="M87" s="12">
        <v>0</v>
      </c>
      <c r="N87" s="12">
        <v>596</v>
      </c>
      <c r="O87" s="12">
        <v>0</v>
      </c>
      <c r="P87" s="11">
        <v>4490</v>
      </c>
      <c r="Q87" s="11"/>
      <c r="R87" s="2">
        <v>-2813</v>
      </c>
      <c r="S87" s="2">
        <v>-2041</v>
      </c>
      <c r="T87" s="2">
        <v>-4854</v>
      </c>
    </row>
    <row r="88" spans="1:20">
      <c r="A88" s="10" t="s">
        <v>113</v>
      </c>
      <c r="B88" s="146">
        <v>2.8279999999999998E-3</v>
      </c>
      <c r="C88" s="146">
        <v>2.6787999999999998E-3</v>
      </c>
      <c r="D88" s="147">
        <v>2309</v>
      </c>
      <c r="E88" s="147">
        <v>-57219.167999999998</v>
      </c>
      <c r="F88" s="11">
        <v>-64090</v>
      </c>
      <c r="G88" s="11"/>
      <c r="H88" s="12">
        <v>588</v>
      </c>
      <c r="I88" s="12">
        <v>0</v>
      </c>
      <c r="J88" s="12">
        <v>0</v>
      </c>
      <c r="K88" s="11">
        <v>0</v>
      </c>
      <c r="L88" s="11"/>
      <c r="M88" s="12">
        <v>0</v>
      </c>
      <c r="N88" s="12">
        <v>345</v>
      </c>
      <c r="O88" s="12">
        <v>0</v>
      </c>
      <c r="P88" s="11">
        <v>2187</v>
      </c>
      <c r="Q88" s="11"/>
      <c r="R88" s="2">
        <v>-1629</v>
      </c>
      <c r="S88" s="2">
        <v>-994</v>
      </c>
      <c r="T88" s="2">
        <v>-2623</v>
      </c>
    </row>
    <row r="89" spans="1:20">
      <c r="A89" s="10" t="s">
        <v>114</v>
      </c>
      <c r="B89" s="146">
        <v>5.5212999999999998E-3</v>
      </c>
      <c r="C89" s="146">
        <v>5.3138999999999999E-3</v>
      </c>
      <c r="D89" s="147">
        <v>4508</v>
      </c>
      <c r="E89" s="147">
        <v>-113504.90399999999</v>
      </c>
      <c r="F89" s="11">
        <v>-125134</v>
      </c>
      <c r="G89" s="11"/>
      <c r="H89" s="12">
        <v>1148</v>
      </c>
      <c r="I89" s="12">
        <v>0</v>
      </c>
      <c r="J89" s="12">
        <v>0</v>
      </c>
      <c r="K89" s="11">
        <v>0</v>
      </c>
      <c r="L89" s="11"/>
      <c r="M89" s="12">
        <v>0</v>
      </c>
      <c r="N89" s="12">
        <v>674</v>
      </c>
      <c r="O89" s="12">
        <v>0</v>
      </c>
      <c r="P89" s="11">
        <v>3045</v>
      </c>
      <c r="Q89" s="11"/>
      <c r="R89" s="2">
        <v>-3180</v>
      </c>
      <c r="S89" s="2">
        <v>-1384</v>
      </c>
      <c r="T89" s="2">
        <v>-4564</v>
      </c>
    </row>
    <row r="90" spans="1:20">
      <c r="A90" s="10" t="s">
        <v>115</v>
      </c>
      <c r="B90" s="146">
        <v>3.6388000000000002E-3</v>
      </c>
      <c r="C90" s="146">
        <v>3.5446000000000002E-3</v>
      </c>
      <c r="D90" s="147">
        <v>2971</v>
      </c>
      <c r="E90" s="147">
        <v>-75712.656000000003</v>
      </c>
      <c r="F90" s="11">
        <v>-82484</v>
      </c>
      <c r="G90" s="11"/>
      <c r="H90" s="12">
        <v>757</v>
      </c>
      <c r="I90" s="12">
        <v>0</v>
      </c>
      <c r="J90" s="12">
        <v>0</v>
      </c>
      <c r="K90" s="11">
        <v>0</v>
      </c>
      <c r="L90" s="11"/>
      <c r="M90" s="12">
        <v>0</v>
      </c>
      <c r="N90" s="12">
        <v>444</v>
      </c>
      <c r="O90" s="12">
        <v>0</v>
      </c>
      <c r="P90" s="11">
        <v>1388</v>
      </c>
      <c r="Q90" s="11"/>
      <c r="R90" s="2">
        <v>-2096</v>
      </c>
      <c r="S90" s="2">
        <v>-631</v>
      </c>
      <c r="T90" s="2">
        <v>-2727</v>
      </c>
    </row>
    <row r="91" spans="1:20">
      <c r="A91" s="10" t="s">
        <v>116</v>
      </c>
      <c r="B91" s="146">
        <v>7.0632999999999998E-3</v>
      </c>
      <c r="C91" s="146">
        <v>6.7237E-3</v>
      </c>
      <c r="D91" s="147">
        <v>5767</v>
      </c>
      <c r="E91" s="147">
        <v>-143618.23199999999</v>
      </c>
      <c r="F91" s="11">
        <v>-160108</v>
      </c>
      <c r="G91" s="11"/>
      <c r="H91" s="12">
        <v>1469</v>
      </c>
      <c r="I91" s="12">
        <v>0</v>
      </c>
      <c r="J91" s="12">
        <v>0</v>
      </c>
      <c r="K91" s="11">
        <v>0</v>
      </c>
      <c r="L91" s="11"/>
      <c r="M91" s="12">
        <v>0</v>
      </c>
      <c r="N91" s="12">
        <v>862</v>
      </c>
      <c r="O91" s="12">
        <v>0</v>
      </c>
      <c r="P91" s="11">
        <v>4987</v>
      </c>
      <c r="Q91" s="11"/>
      <c r="R91" s="2">
        <v>-4069</v>
      </c>
      <c r="S91" s="2">
        <v>-2267</v>
      </c>
      <c r="T91" s="2">
        <v>-6336</v>
      </c>
    </row>
    <row r="92" spans="1:20">
      <c r="A92" s="10" t="s">
        <v>117</v>
      </c>
      <c r="B92" s="146">
        <v>2.8219E-3</v>
      </c>
      <c r="C92" s="146">
        <v>4.6346E-3</v>
      </c>
      <c r="D92" s="147">
        <v>2304</v>
      </c>
      <c r="E92" s="147">
        <v>-98995.055999999997</v>
      </c>
      <c r="F92" s="11">
        <v>-63966</v>
      </c>
      <c r="G92" s="11"/>
      <c r="H92" s="12">
        <v>587</v>
      </c>
      <c r="I92" s="12">
        <v>0</v>
      </c>
      <c r="J92" s="12">
        <v>0</v>
      </c>
      <c r="K92" s="11">
        <v>26611</v>
      </c>
      <c r="L92" s="11"/>
      <c r="M92" s="12">
        <v>0</v>
      </c>
      <c r="N92" s="12">
        <v>344</v>
      </c>
      <c r="O92" s="12">
        <v>0</v>
      </c>
      <c r="P92" s="11">
        <v>0</v>
      </c>
      <c r="Q92" s="11"/>
      <c r="R92" s="2">
        <v>-1626</v>
      </c>
      <c r="S92" s="2">
        <v>12096</v>
      </c>
      <c r="T92" s="2">
        <v>10470</v>
      </c>
    </row>
    <row r="93" spans="1:20">
      <c r="A93" s="10" t="s">
        <v>118</v>
      </c>
      <c r="B93" s="146">
        <v>4.0686999999999997E-3</v>
      </c>
      <c r="C93" s="146">
        <v>4.0483000000000003E-3</v>
      </c>
      <c r="D93" s="147">
        <v>3322</v>
      </c>
      <c r="E93" s="147">
        <v>-86471.688000000009</v>
      </c>
      <c r="F93" s="11">
        <v>-92214</v>
      </c>
      <c r="G93" s="11"/>
      <c r="H93" s="12">
        <v>846</v>
      </c>
      <c r="I93" s="12">
        <v>0</v>
      </c>
      <c r="J93" s="12">
        <v>0</v>
      </c>
      <c r="K93" s="11">
        <v>0</v>
      </c>
      <c r="L93" s="11"/>
      <c r="M93" s="12">
        <v>0</v>
      </c>
      <c r="N93" s="12">
        <v>496</v>
      </c>
      <c r="O93" s="12">
        <v>0</v>
      </c>
      <c r="P93" s="11">
        <v>295</v>
      </c>
      <c r="Q93" s="11"/>
      <c r="R93" s="2">
        <v>-2343</v>
      </c>
      <c r="S93" s="2">
        <v>-134</v>
      </c>
      <c r="T93" s="2">
        <v>-2477</v>
      </c>
    </row>
    <row r="94" spans="1:20">
      <c r="A94" s="10" t="s">
        <v>119</v>
      </c>
      <c r="B94" s="146">
        <v>4.2260000000000003E-4</v>
      </c>
      <c r="C94" s="146">
        <v>3.636E-4</v>
      </c>
      <c r="D94" s="147">
        <v>345</v>
      </c>
      <c r="E94" s="147">
        <v>-7766.4960000000001</v>
      </c>
      <c r="F94" s="11">
        <v>-9576</v>
      </c>
      <c r="G94" s="11"/>
      <c r="H94" s="12">
        <v>88</v>
      </c>
      <c r="I94" s="12">
        <v>0</v>
      </c>
      <c r="J94" s="12">
        <v>0</v>
      </c>
      <c r="K94" s="11">
        <v>0</v>
      </c>
      <c r="L94" s="11"/>
      <c r="M94" s="12">
        <v>0</v>
      </c>
      <c r="N94" s="12">
        <v>52</v>
      </c>
      <c r="O94" s="12">
        <v>0</v>
      </c>
      <c r="P94" s="11">
        <v>869</v>
      </c>
      <c r="Q94" s="11"/>
      <c r="R94" s="2">
        <v>-243</v>
      </c>
      <c r="S94" s="2">
        <v>-395</v>
      </c>
      <c r="T94" s="2">
        <v>-638</v>
      </c>
    </row>
    <row r="95" spans="1:20">
      <c r="A95" s="10" t="s">
        <v>120</v>
      </c>
      <c r="B95" s="146">
        <v>2.5075E-2</v>
      </c>
      <c r="C95" s="146">
        <v>2.5797199999999999E-2</v>
      </c>
      <c r="D95" s="147">
        <v>20473</v>
      </c>
      <c r="E95" s="147">
        <v>-551028.19200000004</v>
      </c>
      <c r="F95" s="11">
        <v>-568361</v>
      </c>
      <c r="G95" s="11"/>
      <c r="H95" s="12">
        <v>5216</v>
      </c>
      <c r="I95" s="12">
        <v>0</v>
      </c>
      <c r="J95" s="12">
        <v>0</v>
      </c>
      <c r="K95" s="11">
        <v>10597</v>
      </c>
      <c r="L95" s="11"/>
      <c r="M95" s="12">
        <v>0</v>
      </c>
      <c r="N95" s="12">
        <v>3059</v>
      </c>
      <c r="O95" s="12">
        <v>0</v>
      </c>
      <c r="P95" s="11">
        <v>0</v>
      </c>
      <c r="Q95" s="11"/>
      <c r="R95" s="2">
        <v>-14443</v>
      </c>
      <c r="S95" s="2">
        <v>4817</v>
      </c>
      <c r="T95" s="2">
        <v>-9626</v>
      </c>
    </row>
    <row r="96" spans="1:20">
      <c r="A96" s="10" t="s">
        <v>121</v>
      </c>
      <c r="B96" s="146">
        <v>3.8103E-3</v>
      </c>
      <c r="C96" s="146">
        <v>3.5041999999999998E-3</v>
      </c>
      <c r="D96" s="147">
        <v>3111</v>
      </c>
      <c r="E96" s="147">
        <v>-74849.712</v>
      </c>
      <c r="F96" s="11">
        <v>-86355</v>
      </c>
      <c r="G96" s="11"/>
      <c r="H96" s="12">
        <v>792</v>
      </c>
      <c r="I96" s="12">
        <v>0</v>
      </c>
      <c r="J96" s="12">
        <v>0</v>
      </c>
      <c r="K96" s="11">
        <v>0</v>
      </c>
      <c r="L96" s="11"/>
      <c r="M96" s="12">
        <v>0</v>
      </c>
      <c r="N96" s="12">
        <v>465</v>
      </c>
      <c r="O96" s="12">
        <v>0</v>
      </c>
      <c r="P96" s="11">
        <v>4490</v>
      </c>
      <c r="Q96" s="11"/>
      <c r="R96" s="2">
        <v>-2195</v>
      </c>
      <c r="S96" s="2">
        <v>-2041</v>
      </c>
      <c r="T96" s="2">
        <v>-4236</v>
      </c>
    </row>
    <row r="97" spans="1:20">
      <c r="A97" s="10" t="s">
        <v>122</v>
      </c>
      <c r="B97" s="146">
        <v>0.1051343</v>
      </c>
      <c r="C97" s="146">
        <v>0.1118326</v>
      </c>
      <c r="D97" s="147">
        <v>85839</v>
      </c>
      <c r="E97" s="147">
        <v>-2388744.3360000001</v>
      </c>
      <c r="F97" s="11">
        <v>-2382985</v>
      </c>
      <c r="G97" s="11"/>
      <c r="H97" s="12">
        <v>21868</v>
      </c>
      <c r="I97" s="12">
        <v>0</v>
      </c>
      <c r="J97" s="12">
        <v>0</v>
      </c>
      <c r="K97" s="11">
        <v>98362</v>
      </c>
      <c r="L97" s="11"/>
      <c r="M97" s="12">
        <v>0</v>
      </c>
      <c r="N97" s="12">
        <v>12826</v>
      </c>
      <c r="O97" s="12">
        <v>0</v>
      </c>
      <c r="P97" s="11">
        <v>0</v>
      </c>
      <c r="Q97" s="11"/>
      <c r="R97" s="2">
        <v>-60558</v>
      </c>
      <c r="S97" s="2">
        <v>44710</v>
      </c>
      <c r="T97" s="2">
        <v>-15848</v>
      </c>
    </row>
    <row r="98" spans="1:20">
      <c r="A98" s="10" t="s">
        <v>123</v>
      </c>
      <c r="B98" s="146">
        <v>1.5432E-3</v>
      </c>
      <c r="C98" s="146">
        <v>1.5900000000000001E-3</v>
      </c>
      <c r="D98" s="147">
        <v>1260</v>
      </c>
      <c r="E98" s="147">
        <v>-33962.400000000001</v>
      </c>
      <c r="F98" s="11">
        <v>-34990</v>
      </c>
      <c r="G98" s="11"/>
      <c r="H98" s="12">
        <v>321</v>
      </c>
      <c r="I98" s="12">
        <v>0</v>
      </c>
      <c r="J98" s="12">
        <v>0</v>
      </c>
      <c r="K98" s="11">
        <v>678</v>
      </c>
      <c r="L98" s="11"/>
      <c r="M98" s="12">
        <v>0</v>
      </c>
      <c r="N98" s="12">
        <v>188</v>
      </c>
      <c r="O98" s="12">
        <v>0</v>
      </c>
      <c r="P98" s="11">
        <v>0</v>
      </c>
      <c r="Q98" s="11"/>
      <c r="R98" s="2">
        <v>-889</v>
      </c>
      <c r="S98" s="2">
        <v>308</v>
      </c>
      <c r="T98" s="2">
        <v>-581</v>
      </c>
    </row>
    <row r="99" spans="1:20">
      <c r="A99" s="10" t="s">
        <v>124</v>
      </c>
      <c r="B99" s="146">
        <v>9.7860000000000004E-4</v>
      </c>
      <c r="C99" s="146">
        <v>7.4410000000000003E-4</v>
      </c>
      <c r="D99" s="147">
        <v>799</v>
      </c>
      <c r="E99" s="147">
        <v>-15893.976000000001</v>
      </c>
      <c r="F99" s="11">
        <v>-22192</v>
      </c>
      <c r="G99" s="11"/>
      <c r="H99" s="12">
        <v>204</v>
      </c>
      <c r="I99" s="12">
        <v>0</v>
      </c>
      <c r="J99" s="12">
        <v>0</v>
      </c>
      <c r="K99" s="11">
        <v>0</v>
      </c>
      <c r="L99" s="11"/>
      <c r="M99" s="12">
        <v>0</v>
      </c>
      <c r="N99" s="12">
        <v>119</v>
      </c>
      <c r="O99" s="12">
        <v>0</v>
      </c>
      <c r="P99" s="11">
        <v>3452</v>
      </c>
      <c r="Q99" s="11"/>
      <c r="R99" s="2">
        <v>-564</v>
      </c>
      <c r="S99" s="2">
        <v>-1569</v>
      </c>
      <c r="T99" s="2">
        <v>-2133</v>
      </c>
    </row>
    <row r="100" spans="1:20">
      <c r="A100" s="10" t="s">
        <v>125</v>
      </c>
      <c r="B100" s="146">
        <v>6.2978000000000001E-3</v>
      </c>
      <c r="C100" s="146">
        <v>6.6084999999999998E-3</v>
      </c>
      <c r="D100" s="147">
        <v>5142</v>
      </c>
      <c r="E100" s="147">
        <v>-141157.56</v>
      </c>
      <c r="F100" s="11">
        <v>-142737</v>
      </c>
      <c r="G100" s="11"/>
      <c r="H100" s="12">
        <v>1310</v>
      </c>
      <c r="I100" s="12">
        <v>0</v>
      </c>
      <c r="J100" s="12">
        <v>0</v>
      </c>
      <c r="K100" s="11">
        <v>4565</v>
      </c>
      <c r="L100" s="11"/>
      <c r="M100" s="12">
        <v>0</v>
      </c>
      <c r="N100" s="12">
        <v>768</v>
      </c>
      <c r="O100" s="12">
        <v>0</v>
      </c>
      <c r="P100" s="11">
        <v>0</v>
      </c>
      <c r="Q100" s="11"/>
      <c r="R100" s="2">
        <v>-3627</v>
      </c>
      <c r="S100" s="2">
        <v>2075</v>
      </c>
      <c r="T100" s="2">
        <v>-1552</v>
      </c>
    </row>
    <row r="101" spans="1:20">
      <c r="A101" s="10" t="s">
        <v>126</v>
      </c>
      <c r="B101" s="146">
        <v>9.6206999999999994E-3</v>
      </c>
      <c r="C101" s="146">
        <v>9.2522000000000004E-3</v>
      </c>
      <c r="D101" s="147">
        <v>7855</v>
      </c>
      <c r="E101" s="147">
        <v>-197626.992</v>
      </c>
      <c r="F101" s="11">
        <v>-218061</v>
      </c>
      <c r="G101" s="11"/>
      <c r="H101" s="12">
        <v>2001</v>
      </c>
      <c r="I101" s="12">
        <v>0</v>
      </c>
      <c r="J101" s="12">
        <v>0</v>
      </c>
      <c r="K101" s="11">
        <v>0</v>
      </c>
      <c r="L101" s="11"/>
      <c r="M101" s="12">
        <v>0</v>
      </c>
      <c r="N101" s="12">
        <v>1174</v>
      </c>
      <c r="O101" s="12">
        <v>0</v>
      </c>
      <c r="P101" s="11">
        <v>5410</v>
      </c>
      <c r="Q101" s="11"/>
      <c r="R101" s="2">
        <v>-5541</v>
      </c>
      <c r="S101" s="2">
        <v>-2459</v>
      </c>
      <c r="T101" s="2">
        <v>-8000</v>
      </c>
    </row>
    <row r="102" spans="1:20">
      <c r="A102" s="10" t="s">
        <v>127</v>
      </c>
      <c r="B102" s="146">
        <v>6.2696999999999996E-3</v>
      </c>
      <c r="C102" s="146">
        <v>5.8180999999999997E-3</v>
      </c>
      <c r="D102" s="147">
        <v>5119</v>
      </c>
      <c r="E102" s="147">
        <v>-124274.61599999999</v>
      </c>
      <c r="F102" s="11">
        <v>-142114</v>
      </c>
      <c r="G102" s="11"/>
      <c r="H102" s="12">
        <v>1304</v>
      </c>
      <c r="I102" s="12">
        <v>0</v>
      </c>
      <c r="J102" s="12">
        <v>0</v>
      </c>
      <c r="K102" s="11">
        <v>0</v>
      </c>
      <c r="L102" s="11"/>
      <c r="M102" s="12">
        <v>0</v>
      </c>
      <c r="N102" s="12">
        <v>765</v>
      </c>
      <c r="O102" s="12">
        <v>0</v>
      </c>
      <c r="P102" s="11">
        <v>6635</v>
      </c>
      <c r="Q102" s="11"/>
      <c r="R102" s="2">
        <v>-3611</v>
      </c>
      <c r="S102" s="2">
        <v>-3016</v>
      </c>
      <c r="T102" s="2">
        <v>-6627</v>
      </c>
    </row>
    <row r="103" spans="1:20">
      <c r="A103" s="10" t="s">
        <v>128</v>
      </c>
      <c r="B103" s="146">
        <v>4.9004000000000001E-3</v>
      </c>
      <c r="C103" s="146">
        <v>4.7422999999999996E-3</v>
      </c>
      <c r="D103" s="147">
        <v>4001</v>
      </c>
      <c r="E103" s="147">
        <v>-101295.52799999999</v>
      </c>
      <c r="F103" s="11">
        <v>-111075</v>
      </c>
      <c r="G103" s="11"/>
      <c r="H103" s="12">
        <v>1019</v>
      </c>
      <c r="I103" s="12">
        <v>0</v>
      </c>
      <c r="J103" s="12">
        <v>0</v>
      </c>
      <c r="K103" s="11">
        <v>0</v>
      </c>
      <c r="L103" s="11"/>
      <c r="M103" s="12">
        <v>0</v>
      </c>
      <c r="N103" s="12">
        <v>598</v>
      </c>
      <c r="O103" s="12">
        <v>0</v>
      </c>
      <c r="P103" s="11">
        <v>2328</v>
      </c>
      <c r="Q103" s="11"/>
      <c r="R103" s="2">
        <v>-2823</v>
      </c>
      <c r="S103" s="2">
        <v>-1058</v>
      </c>
      <c r="T103" s="2">
        <v>-3881</v>
      </c>
    </row>
    <row r="104" spans="1:20">
      <c r="A104" s="10" t="s">
        <v>129</v>
      </c>
      <c r="B104" s="146">
        <v>3.1513999999999999E-3</v>
      </c>
      <c r="C104" s="146">
        <v>2.9347000000000002E-3</v>
      </c>
      <c r="D104" s="147">
        <v>2573</v>
      </c>
      <c r="E104" s="147">
        <v>-62685.192000000003</v>
      </c>
      <c r="F104" s="11">
        <v>-71434</v>
      </c>
      <c r="G104" s="11"/>
      <c r="H104" s="12">
        <v>656</v>
      </c>
      <c r="I104" s="12">
        <v>0</v>
      </c>
      <c r="J104" s="12">
        <v>0</v>
      </c>
      <c r="K104" s="11">
        <v>0</v>
      </c>
      <c r="L104" s="11"/>
      <c r="M104" s="12">
        <v>0</v>
      </c>
      <c r="N104" s="12">
        <v>384</v>
      </c>
      <c r="O104" s="12">
        <v>0</v>
      </c>
      <c r="P104" s="11">
        <v>3177</v>
      </c>
      <c r="Q104" s="11"/>
      <c r="R104" s="2">
        <v>-1815</v>
      </c>
      <c r="S104" s="2">
        <v>-1444</v>
      </c>
      <c r="T104" s="2">
        <v>-3259</v>
      </c>
    </row>
    <row r="105" spans="1:20">
      <c r="A105" s="10" t="s">
        <v>130</v>
      </c>
      <c r="B105" s="146">
        <v>1.8188E-3</v>
      </c>
      <c r="C105" s="146">
        <v>1.6134999999999999E-3</v>
      </c>
      <c r="D105" s="147">
        <v>1485</v>
      </c>
      <c r="E105" s="147">
        <v>-34464.36</v>
      </c>
      <c r="F105" s="11">
        <v>-41227</v>
      </c>
      <c r="G105" s="11"/>
      <c r="H105" s="12">
        <v>378</v>
      </c>
      <c r="I105" s="12">
        <v>0</v>
      </c>
      <c r="J105" s="12">
        <v>0</v>
      </c>
      <c r="K105" s="11">
        <v>0</v>
      </c>
      <c r="L105" s="11"/>
      <c r="M105" s="12">
        <v>0</v>
      </c>
      <c r="N105" s="12">
        <v>222</v>
      </c>
      <c r="O105" s="12">
        <v>0</v>
      </c>
      <c r="P105" s="11">
        <v>3010</v>
      </c>
      <c r="Q105" s="11"/>
      <c r="R105" s="2">
        <v>-1048</v>
      </c>
      <c r="S105" s="2">
        <v>-1368</v>
      </c>
      <c r="T105" s="2">
        <v>-2416</v>
      </c>
    </row>
    <row r="107" spans="1:20">
      <c r="A107" s="55" t="s">
        <v>2</v>
      </c>
      <c r="B107" s="55"/>
      <c r="C107" s="55"/>
      <c r="D107" s="148">
        <f>SUM(D6:D106)</f>
        <v>816470</v>
      </c>
      <c r="E107" s="2">
        <f>SUM(E6:E105)</f>
        <v>-21359997.864000004</v>
      </c>
      <c r="F107" s="2">
        <f>SUM(F6:F105)</f>
        <v>-22665989</v>
      </c>
      <c r="G107" s="4"/>
      <c r="H107" s="2">
        <f>SUM(H6:H105)</f>
        <v>207999</v>
      </c>
      <c r="I107" s="2">
        <f>SUM(I6:I105)</f>
        <v>0</v>
      </c>
      <c r="J107" s="2">
        <f>SUM(J6:J105)</f>
        <v>0</v>
      </c>
      <c r="K107" s="2">
        <f>SUM(K6:K105)</f>
        <v>413239</v>
      </c>
      <c r="L107" s="4"/>
      <c r="M107" s="2">
        <f>SUM(M6:M105)</f>
        <v>0</v>
      </c>
      <c r="N107" s="2">
        <f>SUM(N6:N105)</f>
        <v>121999</v>
      </c>
      <c r="O107" s="2">
        <f>SUM(O6:O105)</f>
        <v>0</v>
      </c>
      <c r="P107" s="2">
        <f>SUM(P6:P105)</f>
        <v>413241</v>
      </c>
      <c r="Q107" s="4"/>
      <c r="R107" s="2">
        <f>SUM(R6:R105)</f>
        <v>-576003</v>
      </c>
      <c r="S107" s="2">
        <f>SUM(S6:S105)</f>
        <v>-1</v>
      </c>
      <c r="T107" s="2">
        <f>SUM(T6:T105)</f>
        <v>-576004</v>
      </c>
    </row>
  </sheetData>
  <pageMargins left="0.25" right="0.25" top="0.5" bottom="0.5" header="0.3" footer="0.3"/>
  <pageSetup paperSize="5"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Resource_x0020_Category xmlns="b0d8bf0e-b15b-456f-8ae4-2bdf59acac1f" xsi:nil="true"/>
    <Publication_x0020_Date xmlns="b0d8bf0e-b15b-456f-8ae4-2bdf59acac1f" xsi:nil="true"/>
    <Resource_x0020_Group xmlns="b0d8bf0e-b15b-456f-8ae4-2bdf59acac1f" xsi:nil="true"/>
    <Category xmlns="b0d8bf0e-b15b-456f-8ae4-2bdf59acac1f" xsi:nil="true"/>
    <Description0 xmlns="b0d8bf0e-b15b-456f-8ae4-2bdf59acac1f" xsi:nil="true"/>
    <_dlc_DocId xmlns="d4ea4015-5b02-447c-9074-d5807a41497e" xsi:nil="true"/>
  </documentManagement>
</p:properties>
</file>

<file path=customXml/itemProps1.xml><?xml version="1.0" encoding="utf-8"?>
<ds:datastoreItem xmlns:ds="http://schemas.openxmlformats.org/officeDocument/2006/customXml" ds:itemID="{7A82EF88-BD8B-4905-936D-C181847E8BF1}"/>
</file>

<file path=customXml/itemProps2.xml><?xml version="1.0" encoding="utf-8"?>
<ds:datastoreItem xmlns:ds="http://schemas.openxmlformats.org/officeDocument/2006/customXml" ds:itemID="{A75CFC10-6FCE-492E-A07B-CCAE1FC5C4B4}"/>
</file>

<file path=customXml/itemProps3.xml><?xml version="1.0" encoding="utf-8"?>
<ds:datastoreItem xmlns:ds="http://schemas.openxmlformats.org/officeDocument/2006/customXml" ds:itemID="{0C090EAB-2995-4549-A635-1FA1C33EF4A9}"/>
</file>

<file path=customXml/itemProps4.xml><?xml version="1.0" encoding="utf-8"?>
<ds:datastoreItem xmlns:ds="http://schemas.openxmlformats.org/officeDocument/2006/customXml" ds:itemID="{B96E5DBE-86C2-429C-A747-4772DA3D8B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Info</vt:lpstr>
      <vt:lpstr>JE Template</vt:lpstr>
      <vt:lpstr>CY - Summary Exhibit</vt:lpstr>
      <vt:lpstr>PY1 - Summary Exhibit</vt:lpstr>
      <vt:lpstr>PY2 - Summary Exhibit</vt:lpstr>
      <vt:lpstr>'PY1 - Summary Exhibit'!Print_Area</vt:lpstr>
      <vt:lpstr>'PY2 - Summary Exhibit'!Print_Area</vt:lpstr>
      <vt:lpstr>'PY1 - Summary Exhibit'!Print_Titles</vt:lpstr>
      <vt:lpstr>'PY2 - Summary Exhibit'!Print_Titles</vt:lpstr>
    </vt:vector>
  </TitlesOfParts>
  <Company>NCDST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cp:lastModifiedBy>Rita Baker</cp:lastModifiedBy>
  <cp:lastPrinted>2015-03-31T18:27:27Z</cp:lastPrinted>
  <dcterms:created xsi:type="dcterms:W3CDTF">2015-01-07T18:39:17Z</dcterms:created>
  <dcterms:modified xsi:type="dcterms:W3CDTF">2017-06-08T16:38:55Z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