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G:\Norris\Charter Schools - FYE 2020\Owl Charter Inc\Work in Process\"/>
    </mc:Choice>
  </mc:AlternateContent>
  <xr:revisionPtr revIDLastSave="0" documentId="13_ncr:1_{03195F46-E487-48BB-8B9C-F0DA2ABBC494}" xr6:coauthVersionLast="44" xr6:coauthVersionMax="44" xr10:uidLastSave="{00000000-0000-0000-0000-000000000000}"/>
  <bookViews>
    <workbookView xWindow="4140" yWindow="0" windowWidth="21270" windowHeight="15150" tabRatio="868" xr2:uid="{00000000-000D-0000-FFFF-FFFF00000000}"/>
  </bookViews>
  <sheets>
    <sheet name="Check Sheet" sheetId="63" r:id="rId1"/>
    <sheet name="GW Net Position Exh 1" sheetId="45" r:id="rId2"/>
    <sheet name="GW Stmt Activities Exh 2" sheetId="46" r:id="rId3"/>
    <sheet name="Govt Funds Bal Sh Exh 3" sheetId="3" r:id="rId4"/>
    <sheet name="Govt Funds Inc Stmt Exh 4" sheetId="94" r:id="rId5"/>
    <sheet name="Recon Change Net Pos Exh 5" sheetId="51" r:id="rId6"/>
    <sheet name="Enterprise Net Position Exh 6" sheetId="9" r:id="rId7"/>
    <sheet name="Enterprise Income Stmt Exh 7" sheetId="8" r:id="rId8"/>
    <sheet name="Enterprise Cash Flow Exh 8" sheetId="44" r:id="rId9"/>
    <sheet name="Doceo Cnty etc SRF Bal Sh - SI" sheetId="91" r:id="rId10"/>
    <sheet name="Doceo Cnty etc SRF Inc St - SI" sheetId="97" r:id="rId11"/>
    <sheet name="Doceo Enterprise Net Pos - SI" sheetId="105" r:id="rId12"/>
    <sheet name="Doceo Enterprise Inc Stmt - SI" sheetId="106" r:id="rId13"/>
    <sheet name="Doceo Enterprise Cash Flow - SI" sheetId="107" r:id="rId14"/>
    <sheet name="Blank Page (2)" sheetId="114" r:id="rId15"/>
    <sheet name="Erudio Cnty etc SRF Bal Sh - SI" sheetId="92" r:id="rId16"/>
    <sheet name="Erudio Cnty etc SRF Inc St - SI" sheetId="98" r:id="rId17"/>
    <sheet name="Erudio Enterprise Net Pos - SI" sheetId="108" r:id="rId18"/>
    <sheet name="Erudio Enterprise Inc Stmt - SI" sheetId="109" r:id="rId19"/>
    <sheet name="Erudio Enterprise Cash Flow- SI" sheetId="110" r:id="rId20"/>
    <sheet name="Blank Page (3)" sheetId="115" r:id="rId21"/>
    <sheet name="Discite Cnty etc SRF Bal Sh- SI" sheetId="93" r:id="rId22"/>
    <sheet name="Discite Cnty etc SRF Inc St- SI" sheetId="99" r:id="rId23"/>
    <sheet name="Discite Enterprise Net Pos - SI" sheetId="111" r:id="rId24"/>
    <sheet name="Discite Enterprise Inc Stmt- SI" sheetId="112" r:id="rId25"/>
    <sheet name="Discite Enterprise CashFlow- SI" sheetId="113" r:id="rId26"/>
    <sheet name="Blank Page (4)" sheetId="116" r:id="rId27"/>
    <sheet name="Nonprofit - General Fund B-A" sheetId="103" r:id="rId28"/>
    <sheet name="School County etc SRF IS B-A" sheetId="104" r:id="rId29"/>
    <sheet name="State Public School SRF IS B-A" sheetId="82" r:id="rId30"/>
    <sheet name="Fed Grants SRF IS B-A" sheetId="54" r:id="rId31"/>
    <sheet name="Student Activity B-A" sheetId="88" r:id="rId32"/>
    <sheet name="Food Service B-A" sheetId="56" r:id="rId33"/>
    <sheet name="Blank Page" sheetId="87" r:id="rId34"/>
    <sheet name="Major Fund Det" sheetId="25" r:id="rId35"/>
    <sheet name="Child Care B-A" sheetId="57" r:id="rId36"/>
  </sheets>
  <definedNames>
    <definedName name="_Fill" hidden="1">#REF!</definedName>
    <definedName name="_xlnm.Print_Area" localSheetId="33">'Blank Page'!$A$1:$D$3</definedName>
    <definedName name="_xlnm.Print_Area" localSheetId="14">'Blank Page (2)'!$A$1:$D$6</definedName>
    <definedName name="_xlnm.Print_Area" localSheetId="20">'Blank Page (3)'!$A$1:$D$3</definedName>
    <definedName name="_xlnm.Print_Area" localSheetId="26">'Blank Page (4)'!$A$1:$D$3</definedName>
    <definedName name="_xlnm.Print_Area" localSheetId="0">'Check Sheet'!$A$1:$G$200</definedName>
    <definedName name="_xlnm.Print_Area" localSheetId="35">'Child Care B-A'!$A$1:$H$31</definedName>
    <definedName name="_xlnm.Print_Area" localSheetId="21">'Discite Cnty etc SRF Bal Sh- SI'!$A$1:$G$35</definedName>
    <definedName name="_xlnm.Print_Area" localSheetId="22">'Discite Cnty etc SRF Inc St- SI'!$A$1:$G$37</definedName>
    <definedName name="_xlnm.Print_Area" localSheetId="25">'Discite Enterprise CashFlow- SI'!$A$1:$E$34</definedName>
    <definedName name="_xlnm.Print_Area" localSheetId="24">'Discite Enterprise Inc Stmt- SI'!$A$1:$E$33</definedName>
    <definedName name="_xlnm.Print_Area" localSheetId="23">'Discite Enterprise Net Pos - SI'!$A$1:$E$36</definedName>
    <definedName name="_xlnm.Print_Area" localSheetId="9">'Doceo Cnty etc SRF Bal Sh - SI'!$A$1:$G$34</definedName>
    <definedName name="_xlnm.Print_Area" localSheetId="10">'Doceo Cnty etc SRF Inc St - SI'!$A$1:$G$37</definedName>
    <definedName name="_xlnm.Print_Area" localSheetId="13">'Doceo Enterprise Cash Flow - SI'!$A$1:$E$34</definedName>
    <definedName name="_xlnm.Print_Area" localSheetId="12">'Doceo Enterprise Inc Stmt - SI'!$A$1:$E$33</definedName>
    <definedName name="_xlnm.Print_Area" localSheetId="11">'Doceo Enterprise Net Pos - SI'!$A$1:$E$36</definedName>
    <definedName name="_xlnm.Print_Area" localSheetId="8">'Enterprise Cash Flow Exh 8'!$A$1:$F$38</definedName>
    <definedName name="_xlnm.Print_Area" localSheetId="7">'Enterprise Income Stmt Exh 7'!$A$1:$F$40</definedName>
    <definedName name="_xlnm.Print_Area" localSheetId="6">'Enterprise Net Position Exh 6'!$A$1:$F$41</definedName>
    <definedName name="_xlnm.Print_Area" localSheetId="15">'Erudio Cnty etc SRF Bal Sh - SI'!$A$1:$G$33</definedName>
    <definedName name="_xlnm.Print_Area" localSheetId="16">'Erudio Cnty etc SRF Inc St - SI'!$A$1:$G$37</definedName>
    <definedName name="_xlnm.Print_Area" localSheetId="19">'Erudio Enterprise Cash Flow- SI'!$A$1:$E$34</definedName>
    <definedName name="_xlnm.Print_Area" localSheetId="18">'Erudio Enterprise Inc Stmt - SI'!$A$1:$E$33</definedName>
    <definedName name="_xlnm.Print_Area" localSheetId="17">'Erudio Enterprise Net Pos - SI'!$A$1:$E$36</definedName>
    <definedName name="_xlnm.Print_Area" localSheetId="30">'Fed Grants SRF IS B-A'!$A$1:$D$34</definedName>
    <definedName name="_xlnm.Print_Area" localSheetId="32">'Food Service B-A'!$A$1:$L$36</definedName>
    <definedName name="_xlnm.Print_Area" localSheetId="3">'Govt Funds Bal Sh Exh 3'!$A$1:$G$39</definedName>
    <definedName name="_xlnm.Print_Area" localSheetId="4">'Govt Funds Inc Stmt Exh 4'!$A$1:$G$37</definedName>
    <definedName name="_xlnm.Print_Area" localSheetId="1">'GW Net Position Exh 1'!$A$1:$D$45</definedName>
    <definedName name="_xlnm.Print_Area" localSheetId="2">'GW Stmt Activities Exh 2'!$A$1:$I$32</definedName>
    <definedName name="_xlnm.Print_Area" localSheetId="34">'Major Fund Det'!$A$1:$O$34</definedName>
    <definedName name="_xlnm.Print_Area" localSheetId="27">'Nonprofit - General Fund B-A'!$A$1:$D$41</definedName>
    <definedName name="_xlnm.Print_Area" localSheetId="5">'Recon Change Net Pos Exh 5'!$A$1:$F$29</definedName>
    <definedName name="_xlnm.Print_Area" localSheetId="28">'School County etc SRF IS B-A'!$A$1:$L$36</definedName>
    <definedName name="_xlnm.Print_Area" localSheetId="29">'State Public School SRF IS B-A'!$A$1:$L$27</definedName>
    <definedName name="_xlnm.Print_Area" localSheetId="31">'Student Activity B-A'!$A$1:$D$24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2" i="3" l="1"/>
  <c r="I25" i="8" l="1"/>
  <c r="F47" i="51" l="1"/>
  <c r="R10" i="57"/>
  <c r="C37" i="57"/>
  <c r="C42" i="56"/>
  <c r="H33" i="113"/>
  <c r="H32" i="113"/>
  <c r="H31" i="113"/>
  <c r="H30" i="113"/>
  <c r="H29" i="113"/>
  <c r="H28" i="113"/>
  <c r="H27" i="113"/>
  <c r="H25" i="113"/>
  <c r="H23" i="113"/>
  <c r="H21" i="113"/>
  <c r="H20" i="113"/>
  <c r="H19" i="113"/>
  <c r="H18" i="113"/>
  <c r="H17" i="113"/>
  <c r="H16" i="113"/>
  <c r="H14" i="113"/>
  <c r="H12" i="113"/>
  <c r="H11" i="113"/>
  <c r="H10" i="113"/>
  <c r="H9" i="113"/>
  <c r="I33" i="113"/>
  <c r="I32" i="113"/>
  <c r="I31" i="113"/>
  <c r="I30" i="113"/>
  <c r="I29" i="113"/>
  <c r="I28" i="113"/>
  <c r="I27" i="113"/>
  <c r="I25" i="113"/>
  <c r="I23" i="113"/>
  <c r="I21" i="113"/>
  <c r="I20" i="113"/>
  <c r="I19" i="113"/>
  <c r="I18" i="113"/>
  <c r="I17" i="113"/>
  <c r="I16" i="113"/>
  <c r="I14" i="113"/>
  <c r="I12" i="113"/>
  <c r="I11" i="113"/>
  <c r="I10" i="113"/>
  <c r="I9" i="113"/>
  <c r="H31" i="112"/>
  <c r="H29" i="112"/>
  <c r="H28" i="112"/>
  <c r="H26" i="112"/>
  <c r="H25" i="112"/>
  <c r="H22" i="112"/>
  <c r="H21" i="112"/>
  <c r="H20" i="112"/>
  <c r="H19" i="112"/>
  <c r="H18" i="112"/>
  <c r="H17" i="112"/>
  <c r="H16" i="112"/>
  <c r="H15" i="112"/>
  <c r="H14" i="112"/>
  <c r="I31" i="112"/>
  <c r="I29" i="112"/>
  <c r="I28" i="112"/>
  <c r="I26" i="112"/>
  <c r="I25" i="112"/>
  <c r="I22" i="112"/>
  <c r="I21" i="112"/>
  <c r="I20" i="112"/>
  <c r="I19" i="112"/>
  <c r="I18" i="112"/>
  <c r="I17" i="112"/>
  <c r="I16" i="112"/>
  <c r="I15" i="112"/>
  <c r="I14" i="112"/>
  <c r="H35" i="111"/>
  <c r="H34" i="111"/>
  <c r="H33" i="111"/>
  <c r="H31" i="111"/>
  <c r="H30" i="111"/>
  <c r="H29" i="111"/>
  <c r="H27" i="111"/>
  <c r="H26" i="111"/>
  <c r="H25" i="111"/>
  <c r="H24" i="111"/>
  <c r="H21" i="111"/>
  <c r="H20" i="111"/>
  <c r="H19" i="111"/>
  <c r="H18" i="111"/>
  <c r="H17" i="111"/>
  <c r="H14" i="111"/>
  <c r="H13" i="111"/>
  <c r="H12" i="111"/>
  <c r="H11" i="111"/>
  <c r="H10" i="111"/>
  <c r="I35" i="111"/>
  <c r="I34" i="111"/>
  <c r="I33" i="111"/>
  <c r="I31" i="111"/>
  <c r="I30" i="111"/>
  <c r="I29" i="111"/>
  <c r="I27" i="111"/>
  <c r="I26" i="111"/>
  <c r="I25" i="111"/>
  <c r="I24" i="111"/>
  <c r="I21" i="111"/>
  <c r="I20" i="111"/>
  <c r="I19" i="111"/>
  <c r="I18" i="111"/>
  <c r="I17" i="111"/>
  <c r="I14" i="111"/>
  <c r="I13" i="111"/>
  <c r="I12" i="111"/>
  <c r="I11" i="111"/>
  <c r="I10" i="111"/>
  <c r="J33" i="99"/>
  <c r="J31" i="99"/>
  <c r="J30" i="99"/>
  <c r="J29" i="99"/>
  <c r="J28" i="99"/>
  <c r="J27" i="99"/>
  <c r="J24" i="99"/>
  <c r="J23" i="99"/>
  <c r="J22" i="99"/>
  <c r="J20" i="99"/>
  <c r="J19" i="99"/>
  <c r="J18" i="99"/>
  <c r="J17" i="99"/>
  <c r="J13" i="99"/>
  <c r="J12" i="99"/>
  <c r="J10" i="99"/>
  <c r="J9" i="99"/>
  <c r="H33" i="110"/>
  <c r="H32" i="110"/>
  <c r="H31" i="110"/>
  <c r="H30" i="110"/>
  <c r="H29" i="110"/>
  <c r="H28" i="110"/>
  <c r="H27" i="110"/>
  <c r="H25" i="110"/>
  <c r="H23" i="110"/>
  <c r="H21" i="110"/>
  <c r="H20" i="110"/>
  <c r="H19" i="110"/>
  <c r="H18" i="110"/>
  <c r="H17" i="110"/>
  <c r="H16" i="110"/>
  <c r="H14" i="110"/>
  <c r="H12" i="110"/>
  <c r="H11" i="110"/>
  <c r="H10" i="110"/>
  <c r="H9" i="110"/>
  <c r="I33" i="110"/>
  <c r="I32" i="110"/>
  <c r="I31" i="110"/>
  <c r="I30" i="110"/>
  <c r="I29" i="110"/>
  <c r="I28" i="110"/>
  <c r="I27" i="110"/>
  <c r="I25" i="110"/>
  <c r="I23" i="110"/>
  <c r="I21" i="110"/>
  <c r="I20" i="110"/>
  <c r="I19" i="110"/>
  <c r="I18" i="110"/>
  <c r="I17" i="110"/>
  <c r="I16" i="110"/>
  <c r="I14" i="110"/>
  <c r="I12" i="110"/>
  <c r="I11" i="110"/>
  <c r="I10" i="110"/>
  <c r="I9" i="110"/>
  <c r="I9" i="109"/>
  <c r="H10" i="109"/>
  <c r="H32" i="109"/>
  <c r="H31" i="109"/>
  <c r="H30" i="109"/>
  <c r="H29" i="109"/>
  <c r="H28" i="109"/>
  <c r="H27" i="109"/>
  <c r="H26" i="109"/>
  <c r="H25" i="109"/>
  <c r="H23" i="109"/>
  <c r="H22" i="109"/>
  <c r="H21" i="109"/>
  <c r="H20" i="109"/>
  <c r="H19" i="109"/>
  <c r="H18" i="109"/>
  <c r="H17" i="109"/>
  <c r="H16" i="109"/>
  <c r="H15" i="109"/>
  <c r="H14" i="109"/>
  <c r="H11" i="109"/>
  <c r="H9" i="109"/>
  <c r="I32" i="109"/>
  <c r="I31" i="109"/>
  <c r="I30" i="109"/>
  <c r="I29" i="109"/>
  <c r="I28" i="109"/>
  <c r="I27" i="109"/>
  <c r="I26" i="109"/>
  <c r="I25" i="109"/>
  <c r="I23" i="109"/>
  <c r="I22" i="109"/>
  <c r="I21" i="109"/>
  <c r="I20" i="109"/>
  <c r="I19" i="109"/>
  <c r="I18" i="109"/>
  <c r="I17" i="109"/>
  <c r="I16" i="109"/>
  <c r="I15" i="109"/>
  <c r="I14" i="109"/>
  <c r="I11" i="109"/>
  <c r="I10" i="109"/>
  <c r="H35" i="108"/>
  <c r="H34" i="108"/>
  <c r="H33" i="108"/>
  <c r="H31" i="108"/>
  <c r="H30" i="108"/>
  <c r="H29" i="108"/>
  <c r="H27" i="108"/>
  <c r="H26" i="108"/>
  <c r="H25" i="108"/>
  <c r="H24" i="108"/>
  <c r="H21" i="108"/>
  <c r="H20" i="108"/>
  <c r="H19" i="108"/>
  <c r="H18" i="108"/>
  <c r="H17" i="108"/>
  <c r="H14" i="108"/>
  <c r="H13" i="108"/>
  <c r="H12" i="108"/>
  <c r="H11" i="108"/>
  <c r="H10" i="108"/>
  <c r="I35" i="108"/>
  <c r="I34" i="108"/>
  <c r="I33" i="108"/>
  <c r="I31" i="108"/>
  <c r="I30" i="108"/>
  <c r="I29" i="108"/>
  <c r="I27" i="108"/>
  <c r="I26" i="108"/>
  <c r="I25" i="108"/>
  <c r="I24" i="108"/>
  <c r="I21" i="108"/>
  <c r="I20" i="108"/>
  <c r="I19" i="108"/>
  <c r="I18" i="108"/>
  <c r="I17" i="108"/>
  <c r="I14" i="108"/>
  <c r="I13" i="108"/>
  <c r="I12" i="108"/>
  <c r="I11" i="108"/>
  <c r="I10" i="108"/>
  <c r="J34" i="98"/>
  <c r="J33" i="98"/>
  <c r="J32" i="98"/>
  <c r="J31" i="98"/>
  <c r="J30" i="98"/>
  <c r="J29" i="98"/>
  <c r="J28" i="98"/>
  <c r="J27" i="98"/>
  <c r="J25" i="98"/>
  <c r="J24" i="98"/>
  <c r="J23" i="98"/>
  <c r="J22" i="98"/>
  <c r="J20" i="98"/>
  <c r="J19" i="98"/>
  <c r="J18" i="98"/>
  <c r="J17" i="98"/>
  <c r="J14" i="98"/>
  <c r="J13" i="98"/>
  <c r="J12" i="98"/>
  <c r="J11" i="98"/>
  <c r="J10" i="98"/>
  <c r="J9" i="98"/>
  <c r="H32" i="106"/>
  <c r="H31" i="106"/>
  <c r="H30" i="106"/>
  <c r="H29" i="106"/>
  <c r="H28" i="106"/>
  <c r="H27" i="106"/>
  <c r="H25" i="106"/>
  <c r="H26" i="106"/>
  <c r="H23" i="106"/>
  <c r="H22" i="106"/>
  <c r="H21" i="106"/>
  <c r="H20" i="106"/>
  <c r="H19" i="106"/>
  <c r="H18" i="106"/>
  <c r="H17" i="106"/>
  <c r="H16" i="106"/>
  <c r="H14" i="106"/>
  <c r="I32" i="106"/>
  <c r="I31" i="106"/>
  <c r="I30" i="106"/>
  <c r="I29" i="106"/>
  <c r="I28" i="106"/>
  <c r="I27" i="106"/>
  <c r="I26" i="106"/>
  <c r="I25" i="106"/>
  <c r="I23" i="106"/>
  <c r="I22" i="106"/>
  <c r="I21" i="106"/>
  <c r="I20" i="106"/>
  <c r="I19" i="106"/>
  <c r="I18" i="106"/>
  <c r="I17" i="106"/>
  <c r="I16" i="106"/>
  <c r="I15" i="106"/>
  <c r="H15" i="106"/>
  <c r="I14" i="106"/>
  <c r="I11" i="106"/>
  <c r="H11" i="106"/>
  <c r="I10" i="106"/>
  <c r="H10" i="106"/>
  <c r="H9" i="106"/>
  <c r="I9" i="106"/>
  <c r="I11" i="105"/>
  <c r="C13" i="105"/>
  <c r="H35" i="105"/>
  <c r="H34" i="105"/>
  <c r="H33" i="105"/>
  <c r="H31" i="105"/>
  <c r="H30" i="105"/>
  <c r="H29" i="105"/>
  <c r="H27" i="105"/>
  <c r="H26" i="105"/>
  <c r="H25" i="105"/>
  <c r="H24" i="105"/>
  <c r="H20" i="105"/>
  <c r="H19" i="105"/>
  <c r="H18" i="105"/>
  <c r="H17" i="105"/>
  <c r="H12" i="105"/>
  <c r="H11" i="105"/>
  <c r="H10" i="105"/>
  <c r="I35" i="105"/>
  <c r="I34" i="105"/>
  <c r="I33" i="105"/>
  <c r="I31" i="105"/>
  <c r="I30" i="105"/>
  <c r="I29" i="105"/>
  <c r="I27" i="105"/>
  <c r="I26" i="105"/>
  <c r="I25" i="105"/>
  <c r="I24" i="105"/>
  <c r="I20" i="105"/>
  <c r="I19" i="105"/>
  <c r="I18" i="105"/>
  <c r="I17" i="105"/>
  <c r="I12" i="105"/>
  <c r="I10" i="105"/>
  <c r="I9" i="91"/>
  <c r="J34" i="97"/>
  <c r="J33" i="97"/>
  <c r="J32" i="97"/>
  <c r="J31" i="97"/>
  <c r="J30" i="97"/>
  <c r="J29" i="97"/>
  <c r="J28" i="97"/>
  <c r="J27" i="97"/>
  <c r="J25" i="97"/>
  <c r="J24" i="97"/>
  <c r="J23" i="97"/>
  <c r="J22" i="97"/>
  <c r="J20" i="97"/>
  <c r="J19" i="97"/>
  <c r="J18" i="97"/>
  <c r="J17" i="97"/>
  <c r="J14" i="97"/>
  <c r="J13" i="97"/>
  <c r="J12" i="97"/>
  <c r="J11" i="97"/>
  <c r="J10" i="97"/>
  <c r="J9" i="97"/>
  <c r="I9" i="97"/>
  <c r="B17" i="8"/>
  <c r="J60" i="63"/>
  <c r="D30" i="108"/>
  <c r="E30" i="111"/>
  <c r="D30" i="111"/>
  <c r="C30" i="111"/>
  <c r="D27" i="111"/>
  <c r="C27" i="111"/>
  <c r="E26" i="111"/>
  <c r="E25" i="111"/>
  <c r="E27" i="111"/>
  <c r="D25" i="111"/>
  <c r="C25" i="111"/>
  <c r="D26" i="111"/>
  <c r="C26" i="111"/>
  <c r="B27" i="111"/>
  <c r="B26" i="111"/>
  <c r="B25" i="111"/>
  <c r="D27" i="108"/>
  <c r="C27" i="108"/>
  <c r="C26" i="108"/>
  <c r="C25" i="108"/>
  <c r="B26" i="108"/>
  <c r="E26" i="108"/>
  <c r="E27" i="108"/>
  <c r="E31" i="108"/>
  <c r="E45" i="108"/>
  <c r="E110" i="63"/>
  <c r="B25" i="108"/>
  <c r="E25" i="108"/>
  <c r="E26" i="105"/>
  <c r="E25" i="105"/>
  <c r="C26" i="105"/>
  <c r="C25" i="105"/>
  <c r="B26" i="105"/>
  <c r="B25" i="105"/>
  <c r="H32" i="9"/>
  <c r="F32" i="9"/>
  <c r="E32" i="9"/>
  <c r="D32" i="9"/>
  <c r="C32" i="9"/>
  <c r="B32" i="9"/>
  <c r="P32" i="9"/>
  <c r="O32" i="9"/>
  <c r="N32" i="9"/>
  <c r="M32" i="9"/>
  <c r="L32" i="9"/>
  <c r="K32" i="9"/>
  <c r="K29" i="9"/>
  <c r="D28" i="9"/>
  <c r="C28" i="9"/>
  <c r="B28" i="9"/>
  <c r="F28" i="9"/>
  <c r="F27" i="9"/>
  <c r="I27" i="9"/>
  <c r="K11" i="94"/>
  <c r="K34" i="94"/>
  <c r="K33" i="94"/>
  <c r="K32" i="94"/>
  <c r="K31" i="94"/>
  <c r="K30" i="94"/>
  <c r="K29" i="94"/>
  <c r="K28" i="94"/>
  <c r="K27" i="94"/>
  <c r="K25" i="94"/>
  <c r="K24" i="94"/>
  <c r="K23" i="94"/>
  <c r="K22" i="94"/>
  <c r="K20" i="94"/>
  <c r="K19" i="94"/>
  <c r="K18" i="94"/>
  <c r="K17" i="94"/>
  <c r="K14" i="94"/>
  <c r="K13" i="94"/>
  <c r="K12" i="94"/>
  <c r="K10" i="94"/>
  <c r="K9" i="94"/>
  <c r="K27" i="3"/>
  <c r="K24" i="3"/>
  <c r="J24" i="91"/>
  <c r="K30" i="3"/>
  <c r="K29" i="3"/>
  <c r="K28" i="3"/>
  <c r="K26" i="3"/>
  <c r="K25" i="3"/>
  <c r="K22" i="3"/>
  <c r="K16" i="3"/>
  <c r="K14" i="3"/>
  <c r="K13" i="3"/>
  <c r="K12" i="3"/>
  <c r="K11" i="3"/>
  <c r="K10" i="3"/>
  <c r="K9" i="3"/>
  <c r="F38" i="45"/>
  <c r="F37" i="45"/>
  <c r="F36" i="45"/>
  <c r="F33" i="45"/>
  <c r="F30" i="45"/>
  <c r="F27" i="45"/>
  <c r="F22" i="45"/>
  <c r="F17" i="45"/>
  <c r="F16" i="45"/>
  <c r="F15" i="45"/>
  <c r="F12" i="45"/>
  <c r="F8" i="45"/>
  <c r="F7" i="45"/>
  <c r="B12" i="91"/>
  <c r="J27" i="92"/>
  <c r="B25" i="93"/>
  <c r="B26" i="93"/>
  <c r="C11" i="92"/>
  <c r="D11" i="91"/>
  <c r="E10" i="99"/>
  <c r="G10" i="99"/>
  <c r="E17" i="93"/>
  <c r="E19" i="93"/>
  <c r="A75" i="63"/>
  <c r="F60" i="63"/>
  <c r="E60" i="63"/>
  <c r="D60" i="63"/>
  <c r="C60" i="63"/>
  <c r="B60" i="63"/>
  <c r="B33" i="44"/>
  <c r="B27" i="44"/>
  <c r="E47" i="44"/>
  <c r="D47" i="44"/>
  <c r="C47" i="44"/>
  <c r="B47" i="44"/>
  <c r="B34" i="108"/>
  <c r="K35" i="8"/>
  <c r="J35" i="8"/>
  <c r="L14" i="9"/>
  <c r="B12" i="108"/>
  <c r="K14" i="9"/>
  <c r="Q49" i="9"/>
  <c r="D36" i="9"/>
  <c r="D26" i="9"/>
  <c r="N30" i="44"/>
  <c r="M30" i="44"/>
  <c r="B30" i="44"/>
  <c r="L29" i="44"/>
  <c r="K29" i="44"/>
  <c r="B27" i="110"/>
  <c r="J29" i="44"/>
  <c r="B27" i="107"/>
  <c r="B12" i="44"/>
  <c r="O27" i="44"/>
  <c r="C25" i="113"/>
  <c r="N27" i="44"/>
  <c r="M27" i="44"/>
  <c r="L27" i="44"/>
  <c r="K27" i="44"/>
  <c r="J27" i="44"/>
  <c r="B22" i="8"/>
  <c r="N16" i="3"/>
  <c r="G35" i="3"/>
  <c r="I35" i="3"/>
  <c r="G33" i="3"/>
  <c r="G44" i="3"/>
  <c r="B22" i="45"/>
  <c r="N23" i="94"/>
  <c r="N17" i="94"/>
  <c r="D17" i="94"/>
  <c r="C13" i="45"/>
  <c r="C18" i="45"/>
  <c r="B13" i="45"/>
  <c r="B18" i="45"/>
  <c r="F18" i="45"/>
  <c r="C28" i="45"/>
  <c r="C31" i="45"/>
  <c r="B28" i="45"/>
  <c r="B31" i="45"/>
  <c r="D27" i="45"/>
  <c r="D26" i="45"/>
  <c r="F26" i="45"/>
  <c r="A2" i="63"/>
  <c r="A3" i="25"/>
  <c r="A5" i="57"/>
  <c r="P54" i="9"/>
  <c r="M54" i="9"/>
  <c r="J6" i="57"/>
  <c r="F6" i="57"/>
  <c r="B6" i="57"/>
  <c r="J6" i="56"/>
  <c r="F6" i="56"/>
  <c r="B6" i="56"/>
  <c r="B6" i="88"/>
  <c r="B6" i="54"/>
  <c r="J6" i="82"/>
  <c r="F6" i="82"/>
  <c r="B6" i="82"/>
  <c r="B6" i="104"/>
  <c r="F6" i="104"/>
  <c r="J6" i="104"/>
  <c r="B5" i="113"/>
  <c r="B5" i="112"/>
  <c r="B5" i="111"/>
  <c r="B5" i="99"/>
  <c r="B5" i="93"/>
  <c r="B5" i="110"/>
  <c r="B5" i="109"/>
  <c r="B5" i="108"/>
  <c r="B5" i="98"/>
  <c r="B5" i="92"/>
  <c r="B5" i="107"/>
  <c r="B5" i="106"/>
  <c r="B5" i="105"/>
  <c r="B5" i="91"/>
  <c r="B5" i="97"/>
  <c r="L9" i="8"/>
  <c r="D9" i="44"/>
  <c r="O9" i="44"/>
  <c r="C9" i="44"/>
  <c r="B9" i="44"/>
  <c r="M9" i="44"/>
  <c r="D9" i="8"/>
  <c r="O9" i="8"/>
  <c r="C9" i="8"/>
  <c r="K9" i="8"/>
  <c r="B9" i="8"/>
  <c r="J9" i="8"/>
  <c r="D9" i="9"/>
  <c r="P9" i="9"/>
  <c r="C9" i="9"/>
  <c r="O9" i="9"/>
  <c r="B9" i="9"/>
  <c r="E7" i="94"/>
  <c r="R7" i="94"/>
  <c r="X7" i="94"/>
  <c r="D7" i="94"/>
  <c r="C7" i="94"/>
  <c r="P7" i="94"/>
  <c r="X7" i="3"/>
  <c r="W7" i="3"/>
  <c r="V7" i="3"/>
  <c r="U7" i="3"/>
  <c r="T7" i="3"/>
  <c r="S7" i="3"/>
  <c r="R7" i="3"/>
  <c r="O7" i="3"/>
  <c r="Q7" i="3"/>
  <c r="P7" i="3"/>
  <c r="N7" i="3"/>
  <c r="M7" i="3"/>
  <c r="A4" i="107"/>
  <c r="A4" i="91"/>
  <c r="A4" i="106"/>
  <c r="A7" i="63"/>
  <c r="A8" i="63"/>
  <c r="C14" i="107"/>
  <c r="E14" i="107"/>
  <c r="H14" i="107"/>
  <c r="C25" i="106"/>
  <c r="C26" i="106"/>
  <c r="C18" i="105"/>
  <c r="C29" i="97"/>
  <c r="C31" i="113"/>
  <c r="C30" i="113"/>
  <c r="C29" i="113"/>
  <c r="E29" i="113"/>
  <c r="C28" i="113"/>
  <c r="C27" i="113"/>
  <c r="C20" i="113"/>
  <c r="C17" i="113"/>
  <c r="C18" i="113"/>
  <c r="C19" i="113"/>
  <c r="C21" i="113"/>
  <c r="C16" i="113"/>
  <c r="C14" i="113"/>
  <c r="C11" i="113"/>
  <c r="C10" i="113"/>
  <c r="C9" i="113"/>
  <c r="C12" i="113"/>
  <c r="B31" i="113"/>
  <c r="E31" i="113"/>
  <c r="B29" i="113"/>
  <c r="B28" i="113"/>
  <c r="B27" i="113"/>
  <c r="E27" i="113"/>
  <c r="B25" i="113"/>
  <c r="B20" i="113"/>
  <c r="E20" i="113"/>
  <c r="B17" i="113"/>
  <c r="B18" i="113"/>
  <c r="B16" i="113"/>
  <c r="B14" i="113"/>
  <c r="B11" i="113"/>
  <c r="B10" i="113"/>
  <c r="E10" i="113"/>
  <c r="B9" i="113"/>
  <c r="B31" i="112"/>
  <c r="B29" i="112"/>
  <c r="B28" i="112"/>
  <c r="E28" i="112"/>
  <c r="B25" i="112"/>
  <c r="B26" i="112"/>
  <c r="B21" i="112"/>
  <c r="B20" i="112"/>
  <c r="E20" i="112"/>
  <c r="B19" i="112"/>
  <c r="B18" i="112"/>
  <c r="B17" i="112"/>
  <c r="E17" i="112"/>
  <c r="B16" i="112"/>
  <c r="B15" i="112"/>
  <c r="E15" i="112"/>
  <c r="B14" i="112"/>
  <c r="B10" i="112"/>
  <c r="B11" i="112"/>
  <c r="B9" i="112"/>
  <c r="C31" i="112"/>
  <c r="E31" i="112"/>
  <c r="C29" i="112"/>
  <c r="E29" i="112"/>
  <c r="C28" i="112"/>
  <c r="C25" i="112"/>
  <c r="C21" i="112"/>
  <c r="E21" i="112"/>
  <c r="C20" i="112"/>
  <c r="C19" i="112"/>
  <c r="E19" i="112"/>
  <c r="C18" i="112"/>
  <c r="C17" i="112"/>
  <c r="C16" i="112"/>
  <c r="C15" i="112"/>
  <c r="C22" i="112"/>
  <c r="C14" i="112"/>
  <c r="C10" i="112"/>
  <c r="C9" i="112"/>
  <c r="C11" i="112"/>
  <c r="C34" i="111"/>
  <c r="D29" i="111"/>
  <c r="C29" i="111"/>
  <c r="C24" i="111"/>
  <c r="C19" i="111"/>
  <c r="D18" i="111"/>
  <c r="D20" i="111"/>
  <c r="C18" i="111"/>
  <c r="C17" i="111"/>
  <c r="C13" i="111"/>
  <c r="E13" i="111"/>
  <c r="C12" i="111"/>
  <c r="C11" i="111"/>
  <c r="C10" i="111"/>
  <c r="C42" i="113"/>
  <c r="C150" i="63"/>
  <c r="B34" i="111"/>
  <c r="B29" i="111"/>
  <c r="B30" i="111"/>
  <c r="B24" i="111"/>
  <c r="B19" i="111"/>
  <c r="B18" i="111"/>
  <c r="B17" i="111"/>
  <c r="B13" i="111"/>
  <c r="B12" i="111"/>
  <c r="B11" i="111"/>
  <c r="B10" i="111"/>
  <c r="D33" i="113"/>
  <c r="D32" i="113"/>
  <c r="D18" i="113"/>
  <c r="E16" i="113"/>
  <c r="D12" i="113"/>
  <c r="E11" i="113"/>
  <c r="A4" i="113"/>
  <c r="A1" i="113"/>
  <c r="D26" i="112"/>
  <c r="D22" i="112"/>
  <c r="D11" i="112"/>
  <c r="A4" i="112"/>
  <c r="A1" i="112"/>
  <c r="D35" i="111"/>
  <c r="D14" i="111"/>
  <c r="A4" i="111"/>
  <c r="A1" i="111"/>
  <c r="C31" i="110"/>
  <c r="C30" i="110"/>
  <c r="C29" i="110"/>
  <c r="C28" i="110"/>
  <c r="C27" i="110"/>
  <c r="C25" i="110"/>
  <c r="C20" i="110"/>
  <c r="C17" i="110"/>
  <c r="C16" i="110"/>
  <c r="C18" i="110"/>
  <c r="C14" i="110"/>
  <c r="C11" i="110"/>
  <c r="C10" i="110"/>
  <c r="E10" i="110"/>
  <c r="B31" i="110"/>
  <c r="B29" i="110"/>
  <c r="B28" i="110"/>
  <c r="E28" i="110"/>
  <c r="B25" i="110"/>
  <c r="E25" i="110"/>
  <c r="B20" i="110"/>
  <c r="E20" i="110"/>
  <c r="B17" i="110"/>
  <c r="E17" i="110"/>
  <c r="B16" i="110"/>
  <c r="B18" i="110"/>
  <c r="B14" i="110"/>
  <c r="B11" i="110"/>
  <c r="E11" i="110"/>
  <c r="B10" i="110"/>
  <c r="B9" i="110"/>
  <c r="D32" i="110"/>
  <c r="D33" i="110"/>
  <c r="D18" i="110"/>
  <c r="D12" i="110"/>
  <c r="D44" i="110"/>
  <c r="D123" i="63"/>
  <c r="D19" i="110"/>
  <c r="D21" i="110"/>
  <c r="D42" i="110"/>
  <c r="D121" i="63"/>
  <c r="A4" i="110"/>
  <c r="A1" i="110"/>
  <c r="C31" i="109"/>
  <c r="C29" i="109"/>
  <c r="C28" i="109"/>
  <c r="C25" i="109"/>
  <c r="C21" i="109"/>
  <c r="C20" i="109"/>
  <c r="E20" i="109"/>
  <c r="C19" i="109"/>
  <c r="E19" i="109"/>
  <c r="C18" i="109"/>
  <c r="C17" i="109"/>
  <c r="C15" i="109"/>
  <c r="C14" i="109"/>
  <c r="C10" i="109"/>
  <c r="C9" i="109"/>
  <c r="E9" i="109"/>
  <c r="B31" i="109"/>
  <c r="E31" i="109"/>
  <c r="E32" i="109"/>
  <c r="B29" i="109"/>
  <c r="E29" i="109"/>
  <c r="B28" i="109"/>
  <c r="E28" i="109"/>
  <c r="B25" i="109"/>
  <c r="E25" i="109"/>
  <c r="E26" i="109"/>
  <c r="B21" i="109"/>
  <c r="E21" i="109"/>
  <c r="B20" i="109"/>
  <c r="B19" i="109"/>
  <c r="B18" i="109"/>
  <c r="B17" i="109"/>
  <c r="E17" i="109"/>
  <c r="B16" i="109"/>
  <c r="B15" i="109"/>
  <c r="B14" i="109"/>
  <c r="B10" i="109"/>
  <c r="E10" i="109"/>
  <c r="B9" i="109"/>
  <c r="D26" i="109"/>
  <c r="D22" i="109"/>
  <c r="D11" i="109"/>
  <c r="D23" i="109"/>
  <c r="A4" i="109"/>
  <c r="A1" i="109"/>
  <c r="C34" i="108"/>
  <c r="C29" i="108"/>
  <c r="C30" i="108"/>
  <c r="C24" i="108"/>
  <c r="C19" i="108"/>
  <c r="C18" i="108"/>
  <c r="C17" i="108"/>
  <c r="C13" i="108"/>
  <c r="C11" i="108"/>
  <c r="B29" i="108"/>
  <c r="B30" i="108"/>
  <c r="B24" i="108"/>
  <c r="B27" i="108"/>
  <c r="B19" i="108"/>
  <c r="E19" i="108"/>
  <c r="B18" i="108"/>
  <c r="B17" i="108"/>
  <c r="E17" i="108"/>
  <c r="B13" i="108"/>
  <c r="E13" i="108"/>
  <c r="B11" i="108"/>
  <c r="B10" i="108"/>
  <c r="D35" i="108"/>
  <c r="D29" i="108"/>
  <c r="D18" i="108"/>
  <c r="D20" i="108"/>
  <c r="D21" i="108"/>
  <c r="D14" i="108"/>
  <c r="A4" i="108"/>
  <c r="A1" i="108"/>
  <c r="D32" i="107"/>
  <c r="D33" i="107"/>
  <c r="D44" i="107"/>
  <c r="D92" i="63"/>
  <c r="C31" i="107"/>
  <c r="B31" i="107"/>
  <c r="E31" i="107"/>
  <c r="H31" i="107"/>
  <c r="C30" i="107"/>
  <c r="C29" i="107"/>
  <c r="B29" i="107"/>
  <c r="I29" i="107"/>
  <c r="E29" i="107"/>
  <c r="H29" i="107"/>
  <c r="C28" i="107"/>
  <c r="B28" i="107"/>
  <c r="C27" i="107"/>
  <c r="C25" i="107"/>
  <c r="B25" i="107"/>
  <c r="B20" i="107"/>
  <c r="E20" i="107"/>
  <c r="H20" i="107"/>
  <c r="C20" i="107"/>
  <c r="D18" i="107"/>
  <c r="D19" i="107"/>
  <c r="D21" i="107"/>
  <c r="D42" i="107"/>
  <c r="D90" i="63"/>
  <c r="C17" i="107"/>
  <c r="B17" i="107"/>
  <c r="E17" i="107"/>
  <c r="C16" i="107"/>
  <c r="C18" i="107"/>
  <c r="B16" i="107"/>
  <c r="E16" i="107"/>
  <c r="H16" i="107"/>
  <c r="B14" i="107"/>
  <c r="D12" i="107"/>
  <c r="C11" i="107"/>
  <c r="B11" i="107"/>
  <c r="E11" i="107"/>
  <c r="H11" i="107"/>
  <c r="C10" i="107"/>
  <c r="B10" i="107"/>
  <c r="E10" i="107"/>
  <c r="H10" i="107"/>
  <c r="B9" i="107"/>
  <c r="A1" i="107"/>
  <c r="C29" i="106"/>
  <c r="B29" i="106"/>
  <c r="C28" i="106"/>
  <c r="B28" i="106"/>
  <c r="E28" i="106"/>
  <c r="C31" i="106"/>
  <c r="B31" i="106"/>
  <c r="D26" i="106"/>
  <c r="B25" i="106"/>
  <c r="D22" i="106"/>
  <c r="F11" i="106"/>
  <c r="D11" i="106"/>
  <c r="C21" i="106"/>
  <c r="E21" i="106"/>
  <c r="B21" i="106"/>
  <c r="C20" i="106"/>
  <c r="B20" i="106"/>
  <c r="C19" i="106"/>
  <c r="B19" i="106"/>
  <c r="E19" i="106"/>
  <c r="C18" i="106"/>
  <c r="B18" i="106"/>
  <c r="E18" i="106"/>
  <c r="C17" i="106"/>
  <c r="E17" i="106"/>
  <c r="B17" i="106"/>
  <c r="B16" i="106"/>
  <c r="C15" i="106"/>
  <c r="B15" i="106"/>
  <c r="C14" i="106"/>
  <c r="B14" i="106"/>
  <c r="B10" i="106"/>
  <c r="B11" i="106"/>
  <c r="C10" i="106"/>
  <c r="C9" i="106"/>
  <c r="B9" i="106"/>
  <c r="B10" i="105"/>
  <c r="A1" i="106"/>
  <c r="D35" i="105"/>
  <c r="D29" i="105"/>
  <c r="D30" i="105"/>
  <c r="D27" i="105"/>
  <c r="D18" i="105"/>
  <c r="D20" i="105"/>
  <c r="D14" i="105"/>
  <c r="C34" i="105"/>
  <c r="C29" i="105"/>
  <c r="C30" i="105"/>
  <c r="C24" i="105"/>
  <c r="C19" i="105"/>
  <c r="C17" i="105"/>
  <c r="C20" i="105"/>
  <c r="C11" i="105"/>
  <c r="E11" i="105"/>
  <c r="B34" i="105"/>
  <c r="E34" i="105"/>
  <c r="B29" i="105"/>
  <c r="B30" i="105"/>
  <c r="B24" i="105"/>
  <c r="B19" i="105"/>
  <c r="B18" i="105"/>
  <c r="B17" i="105"/>
  <c r="B13" i="105"/>
  <c r="B12" i="105"/>
  <c r="E12" i="105"/>
  <c r="B11" i="105"/>
  <c r="A4" i="105"/>
  <c r="A1" i="105"/>
  <c r="A5" i="56"/>
  <c r="A5" i="88"/>
  <c r="A5" i="54"/>
  <c r="A4" i="94"/>
  <c r="A4" i="99"/>
  <c r="A4" i="98"/>
  <c r="A4" i="97"/>
  <c r="A5" i="82"/>
  <c r="C10" i="54"/>
  <c r="C24" i="54"/>
  <c r="C9" i="103"/>
  <c r="C19" i="103"/>
  <c r="G28" i="104"/>
  <c r="C28" i="104"/>
  <c r="D28" i="104"/>
  <c r="C17" i="82"/>
  <c r="B19" i="99"/>
  <c r="I21" i="99"/>
  <c r="D17" i="92"/>
  <c r="C20" i="98"/>
  <c r="D10" i="98"/>
  <c r="D11" i="92"/>
  <c r="E11" i="97"/>
  <c r="D20" i="97"/>
  <c r="E18" i="91"/>
  <c r="E10" i="91"/>
  <c r="D9" i="92"/>
  <c r="I21" i="98"/>
  <c r="I27" i="92"/>
  <c r="I21" i="97"/>
  <c r="L32" i="44"/>
  <c r="D32" i="44"/>
  <c r="K32" i="44"/>
  <c r="J32" i="44"/>
  <c r="L20" i="57"/>
  <c r="E44" i="46"/>
  <c r="E22" i="63"/>
  <c r="T20" i="8"/>
  <c r="R11" i="8"/>
  <c r="R13" i="8"/>
  <c r="C43" i="46"/>
  <c r="C21" i="63"/>
  <c r="S35" i="8"/>
  <c r="R35" i="8"/>
  <c r="S32" i="8"/>
  <c r="R32" i="8"/>
  <c r="E43" i="46"/>
  <c r="S30" i="8"/>
  <c r="D44" i="46"/>
  <c r="D22" i="63"/>
  <c r="S29" i="8"/>
  <c r="R29" i="8"/>
  <c r="R30" i="8"/>
  <c r="D43" i="46"/>
  <c r="S17" i="8"/>
  <c r="R17" i="8"/>
  <c r="S24" i="8"/>
  <c r="S23" i="8"/>
  <c r="S22" i="8"/>
  <c r="S21" i="8"/>
  <c r="S20" i="8"/>
  <c r="S18" i="8"/>
  <c r="S12" i="8"/>
  <c r="S11" i="8"/>
  <c r="S13" i="8"/>
  <c r="C44" i="46"/>
  <c r="C22" i="63"/>
  <c r="R12" i="8"/>
  <c r="R24" i="8"/>
  <c r="R23" i="8"/>
  <c r="R25" i="8"/>
  <c r="B43" i="46"/>
  <c r="R22" i="8"/>
  <c r="R21" i="8"/>
  <c r="R20" i="8"/>
  <c r="R19" i="8"/>
  <c r="R18" i="8"/>
  <c r="G10" i="46"/>
  <c r="F10" i="57"/>
  <c r="H10" i="57"/>
  <c r="K29" i="57"/>
  <c r="G29" i="57"/>
  <c r="C29" i="57"/>
  <c r="K34" i="56"/>
  <c r="C34" i="56"/>
  <c r="G34" i="56"/>
  <c r="L22" i="56"/>
  <c r="B23" i="54"/>
  <c r="B24" i="54"/>
  <c r="B41" i="54"/>
  <c r="K17" i="82"/>
  <c r="L17" i="82"/>
  <c r="K29" i="104"/>
  <c r="G17" i="82"/>
  <c r="H17" i="82"/>
  <c r="J25" i="104"/>
  <c r="K13" i="56"/>
  <c r="C13" i="56"/>
  <c r="C17" i="56"/>
  <c r="K12" i="56"/>
  <c r="G13" i="56"/>
  <c r="G12" i="56"/>
  <c r="O32" i="56"/>
  <c r="O30" i="56"/>
  <c r="R30" i="56"/>
  <c r="O29" i="56"/>
  <c r="R29" i="56"/>
  <c r="O22" i="56"/>
  <c r="O24" i="56"/>
  <c r="N24" i="56"/>
  <c r="N18" i="56"/>
  <c r="O18" i="56"/>
  <c r="O14" i="56"/>
  <c r="R14" i="56"/>
  <c r="O15" i="56"/>
  <c r="R15" i="56"/>
  <c r="O16" i="56"/>
  <c r="R16" i="56"/>
  <c r="N17" i="56"/>
  <c r="O10" i="56"/>
  <c r="R10" i="56"/>
  <c r="N10" i="56"/>
  <c r="K31" i="56"/>
  <c r="C31" i="56"/>
  <c r="G31" i="56"/>
  <c r="O25" i="57"/>
  <c r="O20" i="57"/>
  <c r="O17" i="57"/>
  <c r="R17" i="57"/>
  <c r="O14" i="57"/>
  <c r="R14" i="57"/>
  <c r="O13" i="57"/>
  <c r="R13" i="57"/>
  <c r="O12" i="57"/>
  <c r="R12" i="57"/>
  <c r="O10" i="57"/>
  <c r="F20" i="57"/>
  <c r="N20" i="57"/>
  <c r="P20" i="57"/>
  <c r="F17" i="57"/>
  <c r="H17" i="57"/>
  <c r="F14" i="57"/>
  <c r="N14" i="57"/>
  <c r="P14" i="57"/>
  <c r="F13" i="57"/>
  <c r="N13" i="57"/>
  <c r="F12" i="57"/>
  <c r="N12" i="57"/>
  <c r="O14" i="9"/>
  <c r="C12" i="108"/>
  <c r="O12" i="9"/>
  <c r="C10" i="108"/>
  <c r="N14" i="9"/>
  <c r="B14" i="9"/>
  <c r="N12" i="9"/>
  <c r="C10" i="105"/>
  <c r="N11" i="44"/>
  <c r="M11" i="44"/>
  <c r="C9" i="107"/>
  <c r="E9" i="107"/>
  <c r="N19" i="8"/>
  <c r="M19" i="8"/>
  <c r="D12" i="57"/>
  <c r="D10" i="57"/>
  <c r="D20" i="99"/>
  <c r="C26" i="93"/>
  <c r="D25" i="92"/>
  <c r="C26" i="92"/>
  <c r="C28" i="97"/>
  <c r="G28" i="97"/>
  <c r="I28" i="97"/>
  <c r="D28" i="97"/>
  <c r="D28" i="99"/>
  <c r="D28" i="98"/>
  <c r="D25" i="91"/>
  <c r="C27" i="97"/>
  <c r="D29" i="97"/>
  <c r="C30" i="97"/>
  <c r="E26" i="91"/>
  <c r="C25" i="91"/>
  <c r="C26" i="91"/>
  <c r="G26" i="91"/>
  <c r="I26" i="91"/>
  <c r="C28" i="99"/>
  <c r="C27" i="99"/>
  <c r="C29" i="99"/>
  <c r="O34" i="44"/>
  <c r="B13" i="44"/>
  <c r="D18" i="3"/>
  <c r="K11" i="82"/>
  <c r="L11" i="82"/>
  <c r="C21" i="82"/>
  <c r="C23" i="82"/>
  <c r="G21" i="82"/>
  <c r="H21" i="82"/>
  <c r="K21" i="82"/>
  <c r="L21" i="82"/>
  <c r="C11" i="82"/>
  <c r="D11" i="82"/>
  <c r="K25" i="82"/>
  <c r="K22" i="82"/>
  <c r="L22" i="82"/>
  <c r="K16" i="82"/>
  <c r="L16" i="82"/>
  <c r="K15" i="82"/>
  <c r="K18" i="82"/>
  <c r="K10" i="82"/>
  <c r="L10" i="82"/>
  <c r="G25" i="82"/>
  <c r="G22" i="82"/>
  <c r="H22" i="82"/>
  <c r="G16" i="82"/>
  <c r="H16" i="82"/>
  <c r="G15" i="82"/>
  <c r="H15" i="82"/>
  <c r="G11" i="82"/>
  <c r="H11" i="82"/>
  <c r="G10" i="82"/>
  <c r="C25" i="82"/>
  <c r="C22" i="82"/>
  <c r="D22" i="82"/>
  <c r="D17" i="82"/>
  <c r="C16" i="82"/>
  <c r="D16" i="82"/>
  <c r="C15" i="82"/>
  <c r="D15" i="82"/>
  <c r="C10" i="82"/>
  <c r="D10" i="82"/>
  <c r="K34" i="104"/>
  <c r="K31" i="104"/>
  <c r="K32" i="104"/>
  <c r="K30" i="104"/>
  <c r="L30" i="104"/>
  <c r="L29" i="104"/>
  <c r="K28" i="104"/>
  <c r="K24" i="104"/>
  <c r="L24" i="104"/>
  <c r="K23" i="104"/>
  <c r="L23" i="104"/>
  <c r="K21" i="104"/>
  <c r="L21" i="104"/>
  <c r="K20" i="104"/>
  <c r="L20" i="104"/>
  <c r="K19" i="104"/>
  <c r="L19" i="104"/>
  <c r="K18" i="104"/>
  <c r="K14" i="104"/>
  <c r="L14" i="104"/>
  <c r="K13" i="104"/>
  <c r="L13" i="104"/>
  <c r="K12" i="104"/>
  <c r="L12" i="104"/>
  <c r="K11" i="104"/>
  <c r="K15" i="104"/>
  <c r="K10" i="104"/>
  <c r="L10" i="104"/>
  <c r="G34" i="104"/>
  <c r="G31" i="104"/>
  <c r="H31" i="104"/>
  <c r="G30" i="104"/>
  <c r="H30" i="104"/>
  <c r="H32" i="104"/>
  <c r="G29" i="104"/>
  <c r="H29" i="104"/>
  <c r="H28" i="104"/>
  <c r="G24" i="104"/>
  <c r="H24" i="104"/>
  <c r="G23" i="104"/>
  <c r="H23" i="104"/>
  <c r="G21" i="104"/>
  <c r="G25" i="104"/>
  <c r="H25" i="104"/>
  <c r="G20" i="104"/>
  <c r="H20" i="104"/>
  <c r="G19" i="104"/>
  <c r="H19" i="104"/>
  <c r="G18" i="104"/>
  <c r="H18" i="104"/>
  <c r="G14" i="104"/>
  <c r="H14" i="104"/>
  <c r="G13" i="104"/>
  <c r="H13" i="104"/>
  <c r="G12" i="104"/>
  <c r="H12" i="104"/>
  <c r="G11" i="104"/>
  <c r="H11" i="104"/>
  <c r="G10" i="104"/>
  <c r="G15" i="104"/>
  <c r="C34" i="104"/>
  <c r="C31" i="104"/>
  <c r="D31" i="104"/>
  <c r="C30" i="104"/>
  <c r="C29" i="104"/>
  <c r="D29" i="104"/>
  <c r="C24" i="104"/>
  <c r="D24" i="104"/>
  <c r="C23" i="104"/>
  <c r="D23" i="104"/>
  <c r="C21" i="104"/>
  <c r="D21" i="104"/>
  <c r="C20" i="104"/>
  <c r="D20" i="104"/>
  <c r="C19" i="104"/>
  <c r="D19" i="104"/>
  <c r="C18" i="104"/>
  <c r="D18" i="104"/>
  <c r="C14" i="104"/>
  <c r="D14" i="104"/>
  <c r="C13" i="104"/>
  <c r="D13" i="104"/>
  <c r="C12" i="104"/>
  <c r="D12" i="104"/>
  <c r="C10" i="104"/>
  <c r="D10" i="104"/>
  <c r="C11" i="104"/>
  <c r="D11" i="104"/>
  <c r="B28" i="98"/>
  <c r="B29" i="97"/>
  <c r="B28" i="97"/>
  <c r="J32" i="104"/>
  <c r="F32" i="104"/>
  <c r="B32" i="104"/>
  <c r="F25" i="104"/>
  <c r="F26" i="104"/>
  <c r="B25" i="104"/>
  <c r="J15" i="104"/>
  <c r="J26" i="104"/>
  <c r="J33" i="104"/>
  <c r="J53" i="104"/>
  <c r="F15" i="104"/>
  <c r="B15" i="104"/>
  <c r="A5" i="104"/>
  <c r="A1" i="104"/>
  <c r="C29" i="103"/>
  <c r="D29" i="103"/>
  <c r="C30" i="103"/>
  <c r="C31" i="103"/>
  <c r="C32" i="103"/>
  <c r="C28" i="103"/>
  <c r="D28" i="103"/>
  <c r="C27" i="103"/>
  <c r="C23" i="103"/>
  <c r="D23" i="103"/>
  <c r="C22" i="103"/>
  <c r="C20" i="103"/>
  <c r="D20" i="103"/>
  <c r="D19" i="103"/>
  <c r="C18" i="103"/>
  <c r="D18" i="103"/>
  <c r="C17" i="103"/>
  <c r="C12" i="103"/>
  <c r="D12" i="103"/>
  <c r="C11" i="103"/>
  <c r="D11" i="103"/>
  <c r="C10" i="103"/>
  <c r="D10" i="103"/>
  <c r="B31" i="103"/>
  <c r="B24" i="103"/>
  <c r="D22" i="103"/>
  <c r="B14" i="103"/>
  <c r="B25" i="103"/>
  <c r="B32" i="103"/>
  <c r="B52" i="103"/>
  <c r="A5" i="103"/>
  <c r="A1" i="103"/>
  <c r="C28" i="98"/>
  <c r="D26" i="92"/>
  <c r="E29" i="97"/>
  <c r="G29" i="97"/>
  <c r="I29" i="97"/>
  <c r="E28" i="91"/>
  <c r="G28" i="46"/>
  <c r="I28" i="46"/>
  <c r="B37" i="45"/>
  <c r="D22" i="44"/>
  <c r="C22" i="44"/>
  <c r="K14" i="44"/>
  <c r="D12" i="44"/>
  <c r="D33" i="44"/>
  <c r="F33" i="44"/>
  <c r="C33" i="44"/>
  <c r="D31" i="44"/>
  <c r="F31" i="44"/>
  <c r="C31" i="44"/>
  <c r="B31" i="44"/>
  <c r="D30" i="44"/>
  <c r="C30" i="44"/>
  <c r="D29" i="44"/>
  <c r="C29" i="44"/>
  <c r="B29" i="44"/>
  <c r="D27" i="44"/>
  <c r="D34" i="44"/>
  <c r="D35" i="44"/>
  <c r="D46" i="44"/>
  <c r="D59" i="63"/>
  <c r="B22" i="44"/>
  <c r="D19" i="44"/>
  <c r="C19" i="44"/>
  <c r="C20" i="44"/>
  <c r="B19" i="44"/>
  <c r="D18" i="44"/>
  <c r="C18" i="44"/>
  <c r="B18" i="44"/>
  <c r="B20" i="44"/>
  <c r="D16" i="44"/>
  <c r="C16" i="44"/>
  <c r="B16" i="44"/>
  <c r="D13" i="44"/>
  <c r="C13" i="44"/>
  <c r="D11" i="44"/>
  <c r="B11" i="44"/>
  <c r="D35" i="8"/>
  <c r="C35" i="8"/>
  <c r="B35" i="8"/>
  <c r="D32" i="8"/>
  <c r="C32" i="8"/>
  <c r="B32" i="8"/>
  <c r="F32" i="8"/>
  <c r="T32" i="8"/>
  <c r="D29" i="8"/>
  <c r="D30" i="8"/>
  <c r="C29" i="8"/>
  <c r="F29" i="8"/>
  <c r="C30" i="8"/>
  <c r="B29" i="8"/>
  <c r="B30" i="8"/>
  <c r="D24" i="8"/>
  <c r="C24" i="8"/>
  <c r="B24" i="8"/>
  <c r="D23" i="8"/>
  <c r="C23" i="8"/>
  <c r="B23" i="8"/>
  <c r="D22" i="8"/>
  <c r="C22" i="8"/>
  <c r="F22" i="8"/>
  <c r="T22" i="8"/>
  <c r="D21" i="8"/>
  <c r="C21" i="8"/>
  <c r="F21" i="8"/>
  <c r="T21" i="8"/>
  <c r="B21" i="8"/>
  <c r="D20" i="8"/>
  <c r="C20" i="8"/>
  <c r="B20" i="8"/>
  <c r="B25" i="8"/>
  <c r="D19" i="8"/>
  <c r="B19" i="8"/>
  <c r="D18" i="8"/>
  <c r="C18" i="8"/>
  <c r="B18" i="8"/>
  <c r="D17" i="8"/>
  <c r="C17" i="8"/>
  <c r="D12" i="8"/>
  <c r="F12" i="8"/>
  <c r="T12" i="8"/>
  <c r="C12" i="8"/>
  <c r="B12" i="8"/>
  <c r="D11" i="8"/>
  <c r="D13" i="8"/>
  <c r="C11" i="8"/>
  <c r="B11" i="8"/>
  <c r="G25" i="63"/>
  <c r="G26" i="63"/>
  <c r="F26" i="63"/>
  <c r="E26" i="63"/>
  <c r="D45" i="63"/>
  <c r="D26" i="63"/>
  <c r="A106" i="63"/>
  <c r="C26" i="63"/>
  <c r="B163" i="63"/>
  <c r="B26" i="63"/>
  <c r="B29" i="3"/>
  <c r="B33" i="94"/>
  <c r="B9" i="3"/>
  <c r="D14" i="9"/>
  <c r="N30" i="8"/>
  <c r="N34" i="44"/>
  <c r="M34" i="44"/>
  <c r="O20" i="44"/>
  <c r="N20" i="44"/>
  <c r="M20" i="44"/>
  <c r="M21" i="44"/>
  <c r="M23" i="44"/>
  <c r="L20" i="44"/>
  <c r="K20" i="44"/>
  <c r="K21" i="44"/>
  <c r="K23" i="44"/>
  <c r="K44" i="44"/>
  <c r="J20" i="44"/>
  <c r="O14" i="44"/>
  <c r="M14" i="44"/>
  <c r="J14" i="44"/>
  <c r="O30" i="8"/>
  <c r="M30" i="8"/>
  <c r="M13" i="8"/>
  <c r="N13" i="8"/>
  <c r="O13" i="8"/>
  <c r="L30" i="8"/>
  <c r="K30" i="8"/>
  <c r="J30" i="8"/>
  <c r="K25" i="8"/>
  <c r="K13" i="8"/>
  <c r="K26" i="8"/>
  <c r="C36" i="9"/>
  <c r="B36" i="9"/>
  <c r="D31" i="9"/>
  <c r="C31" i="9"/>
  <c r="B31" i="9"/>
  <c r="D29" i="9"/>
  <c r="C26" i="9"/>
  <c r="C29" i="9"/>
  <c r="B26" i="9"/>
  <c r="I26" i="9"/>
  <c r="B29" i="9"/>
  <c r="D21" i="9"/>
  <c r="C21" i="9"/>
  <c r="F21" i="9"/>
  <c r="B21" i="9"/>
  <c r="D20" i="9"/>
  <c r="C20" i="9"/>
  <c r="B20" i="9"/>
  <c r="D19" i="9"/>
  <c r="C19" i="9"/>
  <c r="F19" i="9"/>
  <c r="B19" i="9"/>
  <c r="D15" i="9"/>
  <c r="C15" i="9"/>
  <c r="B15" i="9"/>
  <c r="D13" i="9"/>
  <c r="C13" i="9"/>
  <c r="B13" i="9"/>
  <c r="D12" i="9"/>
  <c r="D44" i="44"/>
  <c r="D57" i="63"/>
  <c r="O29" i="9"/>
  <c r="Q47" i="9"/>
  <c r="M22" i="9"/>
  <c r="M35" i="9"/>
  <c r="K22" i="9"/>
  <c r="P29" i="9"/>
  <c r="P33" i="9"/>
  <c r="N29" i="9"/>
  <c r="M29" i="9"/>
  <c r="M33" i="9"/>
  <c r="L29" i="9"/>
  <c r="P22" i="9"/>
  <c r="N22" i="9"/>
  <c r="N35" i="9"/>
  <c r="N37" i="9"/>
  <c r="P16" i="9"/>
  <c r="D30" i="99"/>
  <c r="G30" i="99"/>
  <c r="I30" i="99"/>
  <c r="B11" i="93"/>
  <c r="C27" i="98"/>
  <c r="D27" i="98"/>
  <c r="C30" i="99"/>
  <c r="C23" i="99"/>
  <c r="C22" i="99"/>
  <c r="C20" i="99"/>
  <c r="C24" i="99"/>
  <c r="C19" i="99"/>
  <c r="C18" i="99"/>
  <c r="C17" i="99"/>
  <c r="C13" i="99"/>
  <c r="C12" i="99"/>
  <c r="C11" i="99"/>
  <c r="C10" i="99"/>
  <c r="E33" i="99"/>
  <c r="G33" i="99"/>
  <c r="I33" i="99"/>
  <c r="D33" i="99"/>
  <c r="B33" i="99"/>
  <c r="C30" i="98"/>
  <c r="C29" i="98"/>
  <c r="C31" i="98"/>
  <c r="C23" i="98"/>
  <c r="C22" i="98"/>
  <c r="C19" i="98"/>
  <c r="C18" i="98"/>
  <c r="G18" i="98"/>
  <c r="I18" i="98"/>
  <c r="C17" i="98"/>
  <c r="C13" i="98"/>
  <c r="C12" i="98"/>
  <c r="C11" i="98"/>
  <c r="C10" i="98"/>
  <c r="E33" i="98"/>
  <c r="D33" i="98"/>
  <c r="B33" i="98"/>
  <c r="G33" i="98"/>
  <c r="I33" i="98"/>
  <c r="C23" i="97"/>
  <c r="C22" i="97"/>
  <c r="C20" i="97"/>
  <c r="C19" i="97"/>
  <c r="C18" i="97"/>
  <c r="C17" i="97"/>
  <c r="C13" i="97"/>
  <c r="C12" i="97"/>
  <c r="G12" i="97"/>
  <c r="I12" i="97"/>
  <c r="C11" i="97"/>
  <c r="C10" i="97"/>
  <c r="E33" i="97"/>
  <c r="D33" i="97"/>
  <c r="B33" i="97"/>
  <c r="M14" i="94"/>
  <c r="M24" i="94"/>
  <c r="M31" i="94"/>
  <c r="E30" i="99"/>
  <c r="E29" i="99"/>
  <c r="E28" i="99"/>
  <c r="E27" i="99"/>
  <c r="E23" i="99"/>
  <c r="E22" i="99"/>
  <c r="E20" i="99"/>
  <c r="E24" i="99"/>
  <c r="E19" i="99"/>
  <c r="E18" i="99"/>
  <c r="E17" i="99"/>
  <c r="E13" i="99"/>
  <c r="E12" i="99"/>
  <c r="E11" i="99"/>
  <c r="E9" i="99"/>
  <c r="D29" i="99"/>
  <c r="D31" i="99"/>
  <c r="D27" i="99"/>
  <c r="D23" i="99"/>
  <c r="D22" i="99"/>
  <c r="D19" i="99"/>
  <c r="D18" i="99"/>
  <c r="D17" i="99"/>
  <c r="D13" i="99"/>
  <c r="D14" i="99"/>
  <c r="D25" i="99"/>
  <c r="D32" i="99"/>
  <c r="D34" i="99"/>
  <c r="D47" i="99"/>
  <c r="D133" i="63"/>
  <c r="D12" i="99"/>
  <c r="D11" i="99"/>
  <c r="D10" i="99"/>
  <c r="D9" i="99"/>
  <c r="C9" i="99"/>
  <c r="G9" i="99"/>
  <c r="B30" i="99"/>
  <c r="B29" i="99"/>
  <c r="B31" i="99"/>
  <c r="B28" i="99"/>
  <c r="B27" i="99"/>
  <c r="B23" i="99"/>
  <c r="B22" i="99"/>
  <c r="B20" i="99"/>
  <c r="B18" i="99"/>
  <c r="G18" i="99"/>
  <c r="I18" i="99"/>
  <c r="B17" i="99"/>
  <c r="G17" i="99"/>
  <c r="B13" i="99"/>
  <c r="B12" i="99"/>
  <c r="B11" i="99"/>
  <c r="B10" i="99"/>
  <c r="B9" i="99"/>
  <c r="E30" i="98"/>
  <c r="E29" i="98"/>
  <c r="E28" i="98"/>
  <c r="E31" i="98"/>
  <c r="E27" i="98"/>
  <c r="E23" i="98"/>
  <c r="E22" i="98"/>
  <c r="E20" i="98"/>
  <c r="E19" i="98"/>
  <c r="E18" i="98"/>
  <c r="E17" i="98"/>
  <c r="E13" i="98"/>
  <c r="E12" i="98"/>
  <c r="E11" i="98"/>
  <c r="E10" i="98"/>
  <c r="E9" i="98"/>
  <c r="D30" i="98"/>
  <c r="G30" i="98"/>
  <c r="I30" i="98"/>
  <c r="D29" i="98"/>
  <c r="D23" i="98"/>
  <c r="D22" i="98"/>
  <c r="D20" i="98"/>
  <c r="D19" i="98"/>
  <c r="G19" i="98"/>
  <c r="I19" i="98"/>
  <c r="D18" i="98"/>
  <c r="D17" i="98"/>
  <c r="G17" i="98"/>
  <c r="D13" i="98"/>
  <c r="D12" i="98"/>
  <c r="D11" i="98"/>
  <c r="D9" i="98"/>
  <c r="C9" i="98"/>
  <c r="B30" i="98"/>
  <c r="B29" i="98"/>
  <c r="B27" i="98"/>
  <c r="B31" i="98"/>
  <c r="B23" i="98"/>
  <c r="B22" i="98"/>
  <c r="B20" i="98"/>
  <c r="B19" i="98"/>
  <c r="B18" i="98"/>
  <c r="B17" i="98"/>
  <c r="B13" i="98"/>
  <c r="G13" i="98"/>
  <c r="I13" i="98"/>
  <c r="B12" i="98"/>
  <c r="B11" i="98"/>
  <c r="B10" i="98"/>
  <c r="B9" i="98"/>
  <c r="F31" i="99"/>
  <c r="F24" i="99"/>
  <c r="F14" i="99"/>
  <c r="A1" i="99"/>
  <c r="F31" i="98"/>
  <c r="F24" i="98"/>
  <c r="F14" i="98"/>
  <c r="A1" i="98"/>
  <c r="E30" i="97"/>
  <c r="D30" i="97"/>
  <c r="G30" i="97"/>
  <c r="I30" i="97"/>
  <c r="B30" i="97"/>
  <c r="E28" i="97"/>
  <c r="E27" i="97"/>
  <c r="E31" i="97"/>
  <c r="D27" i="97"/>
  <c r="B27" i="97"/>
  <c r="G27" i="97"/>
  <c r="E23" i="97"/>
  <c r="D23" i="97"/>
  <c r="G23" i="97"/>
  <c r="I23" i="97"/>
  <c r="B23" i="97"/>
  <c r="E22" i="97"/>
  <c r="D22" i="97"/>
  <c r="B22" i="97"/>
  <c r="E20" i="97"/>
  <c r="E24" i="97"/>
  <c r="B20" i="97"/>
  <c r="E19" i="97"/>
  <c r="D19" i="97"/>
  <c r="B19" i="97"/>
  <c r="E18" i="97"/>
  <c r="D18" i="97"/>
  <c r="B18" i="97"/>
  <c r="B24" i="97"/>
  <c r="B25" i="97"/>
  <c r="B32" i="97"/>
  <c r="B34" i="97"/>
  <c r="E17" i="97"/>
  <c r="D17" i="97"/>
  <c r="B17" i="97"/>
  <c r="E13" i="97"/>
  <c r="D13" i="97"/>
  <c r="B13" i="97"/>
  <c r="E12" i="97"/>
  <c r="D12" i="97"/>
  <c r="B12" i="97"/>
  <c r="D11" i="97"/>
  <c r="B11" i="97"/>
  <c r="G11" i="97"/>
  <c r="E10" i="97"/>
  <c r="E14" i="97"/>
  <c r="E9" i="97"/>
  <c r="D10" i="97"/>
  <c r="D14" i="97"/>
  <c r="D25" i="97"/>
  <c r="D9" i="97"/>
  <c r="C9" i="97"/>
  <c r="C14" i="97"/>
  <c r="C25" i="97"/>
  <c r="C32" i="97"/>
  <c r="C34" i="97"/>
  <c r="B10" i="97"/>
  <c r="B9" i="97"/>
  <c r="F31" i="97"/>
  <c r="F24" i="97"/>
  <c r="F25" i="97"/>
  <c r="F14" i="97"/>
  <c r="A1" i="97"/>
  <c r="E30" i="94"/>
  <c r="D30" i="94"/>
  <c r="C30" i="94"/>
  <c r="G30" i="94"/>
  <c r="E29" i="94"/>
  <c r="D29" i="94"/>
  <c r="C29" i="94"/>
  <c r="D28" i="94"/>
  <c r="D31" i="94"/>
  <c r="C28" i="94"/>
  <c r="G28" i="94"/>
  <c r="E27" i="94"/>
  <c r="E31" i="94"/>
  <c r="D27" i="94"/>
  <c r="C27" i="94"/>
  <c r="G27" i="94"/>
  <c r="E33" i="94"/>
  <c r="D33" i="94"/>
  <c r="E23" i="94"/>
  <c r="D23" i="94"/>
  <c r="E22" i="94"/>
  <c r="D22" i="94"/>
  <c r="E20" i="94"/>
  <c r="D20" i="94"/>
  <c r="E19" i="94"/>
  <c r="D19" i="94"/>
  <c r="E18" i="94"/>
  <c r="D18" i="94"/>
  <c r="E17" i="94"/>
  <c r="E13" i="94"/>
  <c r="D13" i="94"/>
  <c r="E12" i="94"/>
  <c r="D12" i="94"/>
  <c r="G12" i="94"/>
  <c r="E11" i="94"/>
  <c r="D11" i="94"/>
  <c r="E10" i="94"/>
  <c r="D10" i="94"/>
  <c r="G10" i="94"/>
  <c r="I10" i="94"/>
  <c r="E9" i="94"/>
  <c r="E14" i="94"/>
  <c r="D9" i="94"/>
  <c r="C17" i="94"/>
  <c r="G17" i="94"/>
  <c r="C19" i="94"/>
  <c r="C18" i="94"/>
  <c r="C10" i="94"/>
  <c r="C33" i="94"/>
  <c r="C23" i="94"/>
  <c r="C22" i="94"/>
  <c r="C20" i="94"/>
  <c r="G20" i="94"/>
  <c r="C13" i="94"/>
  <c r="C14" i="94"/>
  <c r="C12" i="94"/>
  <c r="C11" i="94"/>
  <c r="C9" i="94"/>
  <c r="G9" i="94"/>
  <c r="I9" i="94"/>
  <c r="F32" i="97"/>
  <c r="F34" i="97"/>
  <c r="X31" i="94"/>
  <c r="W31" i="94"/>
  <c r="V31" i="94"/>
  <c r="U31" i="94"/>
  <c r="T31" i="94"/>
  <c r="S31" i="94"/>
  <c r="R31" i="94"/>
  <c r="Q31" i="94"/>
  <c r="Q32" i="94"/>
  <c r="P31" i="94"/>
  <c r="O31" i="94"/>
  <c r="N31" i="94"/>
  <c r="X24" i="94"/>
  <c r="W24" i="94"/>
  <c r="V24" i="94"/>
  <c r="U24" i="94"/>
  <c r="U25" i="94"/>
  <c r="U32" i="94"/>
  <c r="T24" i="94"/>
  <c r="S24" i="94"/>
  <c r="R24" i="94"/>
  <c r="Q24" i="94"/>
  <c r="Q25" i="94"/>
  <c r="P24" i="94"/>
  <c r="P25" i="94"/>
  <c r="P32" i="94"/>
  <c r="C33" i="97"/>
  <c r="G33" i="97"/>
  <c r="I33" i="97"/>
  <c r="O24" i="94"/>
  <c r="N24" i="94"/>
  <c r="X14" i="94"/>
  <c r="X25" i="94"/>
  <c r="X32" i="94"/>
  <c r="X34" i="94"/>
  <c r="W14" i="94"/>
  <c r="W25" i="94"/>
  <c r="W32" i="94"/>
  <c r="W34" i="94"/>
  <c r="V14" i="94"/>
  <c r="V25" i="94"/>
  <c r="V32" i="94"/>
  <c r="V34" i="94"/>
  <c r="U14" i="94"/>
  <c r="U34" i="94"/>
  <c r="T14" i="94"/>
  <c r="T25" i="94"/>
  <c r="T32" i="94"/>
  <c r="T34" i="94"/>
  <c r="S14" i="94"/>
  <c r="R14" i="94"/>
  <c r="Q14" i="94"/>
  <c r="P14" i="94"/>
  <c r="O14" i="94"/>
  <c r="O25" i="94"/>
  <c r="O32" i="94"/>
  <c r="O34" i="94"/>
  <c r="N14" i="94"/>
  <c r="B13" i="94"/>
  <c r="C13" i="103"/>
  <c r="D13" i="103"/>
  <c r="B31" i="94"/>
  <c r="B24" i="94"/>
  <c r="A1" i="94"/>
  <c r="E22" i="93"/>
  <c r="E28" i="93"/>
  <c r="E30" i="93"/>
  <c r="E29" i="93"/>
  <c r="E26" i="93"/>
  <c r="E25" i="93"/>
  <c r="E20" i="93"/>
  <c r="E18" i="93"/>
  <c r="E16" i="93"/>
  <c r="E21" i="93"/>
  <c r="E31" i="93"/>
  <c r="E13" i="93"/>
  <c r="E12" i="93"/>
  <c r="E11" i="93"/>
  <c r="E10" i="93"/>
  <c r="E9" i="93"/>
  <c r="E14" i="93"/>
  <c r="D22" i="93"/>
  <c r="D29" i="93"/>
  <c r="D28" i="93"/>
  <c r="D30" i="93"/>
  <c r="D26" i="93"/>
  <c r="D25" i="93"/>
  <c r="D20" i="93"/>
  <c r="D19" i="93"/>
  <c r="D18" i="93"/>
  <c r="D17" i="93"/>
  <c r="D16" i="93"/>
  <c r="D13" i="93"/>
  <c r="D12" i="93"/>
  <c r="D11" i="93"/>
  <c r="D10" i="93"/>
  <c r="D9" i="93"/>
  <c r="D14" i="93"/>
  <c r="C29" i="93"/>
  <c r="C28" i="93"/>
  <c r="C25" i="93"/>
  <c r="C30" i="93"/>
  <c r="C22" i="93"/>
  <c r="C20" i="93"/>
  <c r="C19" i="93"/>
  <c r="C18" i="93"/>
  <c r="C16" i="93"/>
  <c r="G16" i="93"/>
  <c r="I16" i="93"/>
  <c r="C13" i="93"/>
  <c r="C12" i="93"/>
  <c r="C11" i="93"/>
  <c r="C10" i="93"/>
  <c r="C9" i="93"/>
  <c r="B22" i="93"/>
  <c r="J22" i="93"/>
  <c r="G22" i="93"/>
  <c r="I22" i="93"/>
  <c r="B28" i="93"/>
  <c r="G28" i="93"/>
  <c r="I28" i="93"/>
  <c r="B20" i="93"/>
  <c r="B19" i="93"/>
  <c r="B18" i="93"/>
  <c r="B17" i="93"/>
  <c r="B16" i="93"/>
  <c r="J16" i="93"/>
  <c r="B13" i="93"/>
  <c r="G13" i="93"/>
  <c r="I13" i="93"/>
  <c r="B12" i="93"/>
  <c r="G12" i="93"/>
  <c r="I12" i="93"/>
  <c r="B10" i="93"/>
  <c r="J10" i="93"/>
  <c r="B9" i="93"/>
  <c r="J9" i="93"/>
  <c r="F30" i="93"/>
  <c r="R48" i="93"/>
  <c r="F21" i="93"/>
  <c r="F14" i="93"/>
  <c r="F44" i="93"/>
  <c r="F129" i="63"/>
  <c r="A4" i="93"/>
  <c r="A1" i="93"/>
  <c r="C29" i="92"/>
  <c r="C28" i="92"/>
  <c r="C27" i="92"/>
  <c r="C25" i="92"/>
  <c r="C22" i="92"/>
  <c r="C20" i="92"/>
  <c r="C19" i="92"/>
  <c r="C18" i="92"/>
  <c r="C16" i="92"/>
  <c r="C13" i="92"/>
  <c r="C12" i="92"/>
  <c r="C10" i="92"/>
  <c r="C9" i="92"/>
  <c r="C14" i="92"/>
  <c r="E29" i="92"/>
  <c r="E30" i="92"/>
  <c r="E28" i="92"/>
  <c r="E26" i="92"/>
  <c r="E25" i="92"/>
  <c r="E22" i="92"/>
  <c r="E20" i="92"/>
  <c r="E19" i="92"/>
  <c r="E18" i="92"/>
  <c r="E17" i="92"/>
  <c r="E16" i="92"/>
  <c r="E13" i="92"/>
  <c r="E12" i="92"/>
  <c r="E11" i="92"/>
  <c r="E10" i="92"/>
  <c r="E9" i="92"/>
  <c r="E14" i="92"/>
  <c r="D29" i="92"/>
  <c r="D28" i="92"/>
  <c r="D22" i="92"/>
  <c r="D20" i="92"/>
  <c r="G20" i="92"/>
  <c r="J20" i="92"/>
  <c r="D19" i="92"/>
  <c r="D18" i="92"/>
  <c r="D16" i="92"/>
  <c r="D13" i="92"/>
  <c r="D12" i="92"/>
  <c r="D10" i="92"/>
  <c r="D14" i="92"/>
  <c r="B28" i="92"/>
  <c r="B26" i="92"/>
  <c r="J26" i="92"/>
  <c r="B25" i="92"/>
  <c r="J25" i="92"/>
  <c r="J24" i="92"/>
  <c r="B22" i="92"/>
  <c r="J22" i="92"/>
  <c r="G22" i="92"/>
  <c r="I22" i="92"/>
  <c r="B20" i="92"/>
  <c r="B19" i="92"/>
  <c r="G19" i="92"/>
  <c r="B18" i="92"/>
  <c r="B17" i="92"/>
  <c r="B16" i="92"/>
  <c r="J16" i="92"/>
  <c r="B13" i="92"/>
  <c r="J13" i="92"/>
  <c r="G13" i="92"/>
  <c r="I13" i="92"/>
  <c r="B12" i="92"/>
  <c r="J12" i="92"/>
  <c r="B11" i="92"/>
  <c r="G11" i="92"/>
  <c r="I11" i="92"/>
  <c r="B10" i="92"/>
  <c r="B9" i="92"/>
  <c r="J9" i="92"/>
  <c r="F30" i="92"/>
  <c r="F47" i="98"/>
  <c r="F104" i="63"/>
  <c r="R51" i="92"/>
  <c r="F21" i="92"/>
  <c r="F14" i="92"/>
  <c r="A4" i="92"/>
  <c r="A1" i="92"/>
  <c r="F30" i="91"/>
  <c r="F47" i="97"/>
  <c r="E29" i="91"/>
  <c r="E25" i="91"/>
  <c r="E22" i="91"/>
  <c r="E20" i="91"/>
  <c r="E19" i="91"/>
  <c r="E17" i="91"/>
  <c r="E16" i="91"/>
  <c r="E21" i="91"/>
  <c r="E13" i="91"/>
  <c r="E12" i="91"/>
  <c r="E14" i="91"/>
  <c r="E11" i="91"/>
  <c r="E9" i="91"/>
  <c r="D29" i="91"/>
  <c r="D28" i="91"/>
  <c r="D30" i="91"/>
  <c r="D22" i="91"/>
  <c r="D20" i="91"/>
  <c r="D19" i="91"/>
  <c r="D18" i="91"/>
  <c r="D17" i="91"/>
  <c r="D16" i="91"/>
  <c r="D13" i="91"/>
  <c r="D12" i="91"/>
  <c r="D10" i="91"/>
  <c r="D14" i="91"/>
  <c r="D9" i="91"/>
  <c r="C29" i="91"/>
  <c r="C28" i="91"/>
  <c r="C22" i="91"/>
  <c r="C20" i="91"/>
  <c r="C19" i="91"/>
  <c r="C18" i="91"/>
  <c r="C16" i="91"/>
  <c r="C13" i="91"/>
  <c r="C12" i="91"/>
  <c r="C11" i="91"/>
  <c r="G11" i="91"/>
  <c r="I11" i="91"/>
  <c r="C10" i="91"/>
  <c r="C9" i="91"/>
  <c r="C14" i="91"/>
  <c r="B28" i="91"/>
  <c r="J28" i="91"/>
  <c r="J27" i="91"/>
  <c r="B26" i="91"/>
  <c r="J26" i="91"/>
  <c r="B25" i="91"/>
  <c r="G25" i="91"/>
  <c r="I25" i="91"/>
  <c r="B22" i="91"/>
  <c r="J22" i="91"/>
  <c r="G22" i="91"/>
  <c r="I22" i="91"/>
  <c r="B20" i="91"/>
  <c r="B21" i="91"/>
  <c r="B19" i="91"/>
  <c r="G19" i="91"/>
  <c r="J19" i="91"/>
  <c r="B18" i="91"/>
  <c r="G18" i="91"/>
  <c r="B17" i="91"/>
  <c r="B16" i="91"/>
  <c r="J16" i="91"/>
  <c r="B13" i="91"/>
  <c r="B11" i="91"/>
  <c r="J11" i="91"/>
  <c r="B10" i="91"/>
  <c r="J10" i="91"/>
  <c r="G10" i="91"/>
  <c r="B9" i="91"/>
  <c r="F21" i="91"/>
  <c r="F14" i="91"/>
  <c r="A1" i="91"/>
  <c r="E11" i="3"/>
  <c r="D11" i="3"/>
  <c r="C11" i="3"/>
  <c r="E22" i="3"/>
  <c r="D22" i="3"/>
  <c r="C22" i="3"/>
  <c r="G22" i="3"/>
  <c r="I22" i="3"/>
  <c r="E28" i="3"/>
  <c r="D28" i="3"/>
  <c r="G28" i="3"/>
  <c r="E26" i="3"/>
  <c r="D26" i="3"/>
  <c r="C26" i="3"/>
  <c r="E25" i="3"/>
  <c r="D25" i="3"/>
  <c r="C25" i="3"/>
  <c r="G25" i="3"/>
  <c r="D20" i="3"/>
  <c r="C20" i="3"/>
  <c r="G20" i="3"/>
  <c r="I20" i="3"/>
  <c r="D19" i="3"/>
  <c r="C19" i="3"/>
  <c r="E18" i="3"/>
  <c r="G18" i="3"/>
  <c r="I18" i="3"/>
  <c r="C18" i="3"/>
  <c r="K18" i="3"/>
  <c r="E16" i="3"/>
  <c r="D16" i="3"/>
  <c r="G16" i="3"/>
  <c r="I16" i="3"/>
  <c r="C16" i="3"/>
  <c r="E13" i="3"/>
  <c r="D13" i="3"/>
  <c r="C13" i="3"/>
  <c r="G13" i="3"/>
  <c r="I13" i="3"/>
  <c r="E12" i="3"/>
  <c r="D12" i="3"/>
  <c r="C12" i="3"/>
  <c r="G12" i="3"/>
  <c r="I12" i="3"/>
  <c r="E10" i="3"/>
  <c r="D10" i="3"/>
  <c r="C10" i="3"/>
  <c r="G10" i="3"/>
  <c r="I10" i="3"/>
  <c r="E9" i="3"/>
  <c r="D9" i="3"/>
  <c r="W30" i="3"/>
  <c r="X30" i="3"/>
  <c r="V30" i="3"/>
  <c r="X21" i="3"/>
  <c r="X46" i="3"/>
  <c r="G30" i="63"/>
  <c r="W21" i="3"/>
  <c r="W31" i="3"/>
  <c r="V21" i="3"/>
  <c r="V31" i="3"/>
  <c r="X14" i="3"/>
  <c r="W14" i="3"/>
  <c r="V14" i="3"/>
  <c r="V46" i="3"/>
  <c r="E30" i="63"/>
  <c r="U30" i="3"/>
  <c r="U21" i="3"/>
  <c r="U46" i="3"/>
  <c r="U14" i="3"/>
  <c r="S30" i="3"/>
  <c r="S21" i="3"/>
  <c r="S46" i="3"/>
  <c r="S14" i="3"/>
  <c r="M29" i="3"/>
  <c r="M30" i="3"/>
  <c r="O29" i="3"/>
  <c r="N29" i="3"/>
  <c r="T30" i="3"/>
  <c r="T21" i="3"/>
  <c r="T31" i="3"/>
  <c r="T14" i="3"/>
  <c r="R30" i="3"/>
  <c r="Q30" i="3"/>
  <c r="Q47" i="3"/>
  <c r="P30" i="3"/>
  <c r="R14" i="3"/>
  <c r="R17" i="3"/>
  <c r="R21" i="3"/>
  <c r="R46" i="3"/>
  <c r="Q14" i="3"/>
  <c r="P14" i="3"/>
  <c r="P17" i="3"/>
  <c r="C17" i="3"/>
  <c r="B30" i="3"/>
  <c r="N21" i="3"/>
  <c r="N31" i="3"/>
  <c r="J23" i="82"/>
  <c r="F23" i="82"/>
  <c r="C21" i="88"/>
  <c r="C17" i="88"/>
  <c r="D17" i="88"/>
  <c r="C21" i="54"/>
  <c r="B18" i="88"/>
  <c r="B22" i="88"/>
  <c r="B33" i="88"/>
  <c r="B21" i="88"/>
  <c r="D13" i="57"/>
  <c r="D17" i="57"/>
  <c r="R23" i="56"/>
  <c r="B24" i="56"/>
  <c r="J24" i="56"/>
  <c r="F12" i="82"/>
  <c r="F19" i="82"/>
  <c r="F24" i="82"/>
  <c r="F38" i="82"/>
  <c r="F18" i="82"/>
  <c r="J18" i="82"/>
  <c r="B23" i="82"/>
  <c r="D23" i="82"/>
  <c r="A1" i="82"/>
  <c r="B7" i="45"/>
  <c r="D7" i="45"/>
  <c r="F21" i="51"/>
  <c r="F53" i="51"/>
  <c r="F54" i="51"/>
  <c r="D54" i="51"/>
  <c r="F48" i="51"/>
  <c r="G23" i="46"/>
  <c r="I23" i="46"/>
  <c r="B9" i="46"/>
  <c r="G9" i="46"/>
  <c r="I9" i="46"/>
  <c r="D15" i="25"/>
  <c r="C16" i="25"/>
  <c r="B18" i="25"/>
  <c r="E18" i="25"/>
  <c r="E20" i="25"/>
  <c r="H18" i="25"/>
  <c r="H20" i="25"/>
  <c r="K18" i="25"/>
  <c r="K32" i="25"/>
  <c r="B20" i="25"/>
  <c r="K20" i="25"/>
  <c r="L25" i="25"/>
  <c r="B27" i="25"/>
  <c r="B29" i="25"/>
  <c r="E27" i="25"/>
  <c r="H27" i="25"/>
  <c r="H29" i="25"/>
  <c r="I25" i="25"/>
  <c r="K27" i="25"/>
  <c r="E29" i="25"/>
  <c r="K29" i="25"/>
  <c r="L24" i="25"/>
  <c r="B32" i="25"/>
  <c r="E32" i="25"/>
  <c r="H32" i="25"/>
  <c r="H34" i="25"/>
  <c r="B34" i="25"/>
  <c r="D16" i="25"/>
  <c r="E34" i="25"/>
  <c r="K34" i="25"/>
  <c r="P23" i="56"/>
  <c r="D22" i="54"/>
  <c r="F14" i="3"/>
  <c r="A1" i="44"/>
  <c r="A4" i="44"/>
  <c r="E14" i="44"/>
  <c r="E20" i="44"/>
  <c r="E21" i="44"/>
  <c r="E23" i="44"/>
  <c r="E44" i="44"/>
  <c r="E57" i="63"/>
  <c r="E34" i="44"/>
  <c r="A1" i="8"/>
  <c r="A4" i="8"/>
  <c r="E13" i="8"/>
  <c r="E25" i="8"/>
  <c r="E26" i="8"/>
  <c r="E30" i="8"/>
  <c r="F33" i="8"/>
  <c r="T33" i="8"/>
  <c r="A1" i="9"/>
  <c r="A4" i="9"/>
  <c r="E16" i="9"/>
  <c r="E22" i="9"/>
  <c r="E29" i="9"/>
  <c r="E33" i="9"/>
  <c r="A1" i="51"/>
  <c r="A4" i="51"/>
  <c r="D45" i="51"/>
  <c r="F45" i="51"/>
  <c r="F12" i="51"/>
  <c r="A1" i="3"/>
  <c r="A4" i="3"/>
  <c r="N14" i="3"/>
  <c r="F21" i="3"/>
  <c r="F31" i="3"/>
  <c r="B21" i="3"/>
  <c r="F22" i="3"/>
  <c r="A1" i="46"/>
  <c r="G8" i="46"/>
  <c r="G11" i="46"/>
  <c r="I10" i="46"/>
  <c r="C11" i="46"/>
  <c r="D11" i="46"/>
  <c r="E11" i="46"/>
  <c r="H11" i="46"/>
  <c r="H14" i="46"/>
  <c r="H15" i="46"/>
  <c r="B16" i="46"/>
  <c r="C16" i="46"/>
  <c r="D16" i="46"/>
  <c r="D17" i="46"/>
  <c r="E16" i="46"/>
  <c r="G16" i="46"/>
  <c r="I20" i="46"/>
  <c r="I21" i="46"/>
  <c r="I22" i="46"/>
  <c r="I24" i="46"/>
  <c r="G25" i="46"/>
  <c r="I25" i="46"/>
  <c r="H26" i="46"/>
  <c r="D8" i="45"/>
  <c r="D9" i="45"/>
  <c r="F9" i="45"/>
  <c r="D10" i="45"/>
  <c r="F10" i="45"/>
  <c r="D11" i="45"/>
  <c r="F11" i="45"/>
  <c r="D12" i="45"/>
  <c r="D15" i="45"/>
  <c r="D16" i="45"/>
  <c r="B17" i="45"/>
  <c r="B36" i="45"/>
  <c r="C17" i="45"/>
  <c r="D22" i="45"/>
  <c r="D23" i="45"/>
  <c r="F23" i="45"/>
  <c r="D24" i="45"/>
  <c r="F24" i="45"/>
  <c r="D25" i="45"/>
  <c r="F25" i="45"/>
  <c r="D30" i="45"/>
  <c r="D33" i="45"/>
  <c r="C36" i="45"/>
  <c r="C38" i="45"/>
  <c r="C37" i="45"/>
  <c r="M21" i="3"/>
  <c r="M46" i="3"/>
  <c r="C30" i="63"/>
  <c r="J12" i="82"/>
  <c r="B12" i="82"/>
  <c r="B19" i="82"/>
  <c r="B24" i="82"/>
  <c r="B38" i="82"/>
  <c r="B18" i="82"/>
  <c r="H23" i="56"/>
  <c r="B19" i="56"/>
  <c r="B20" i="56"/>
  <c r="B25" i="56"/>
  <c r="B44" i="56"/>
  <c r="B192" i="63"/>
  <c r="F19" i="56"/>
  <c r="F20" i="56"/>
  <c r="D23" i="56"/>
  <c r="B11" i="46"/>
  <c r="L23" i="56"/>
  <c r="J19" i="56"/>
  <c r="J20" i="56"/>
  <c r="L17" i="57"/>
  <c r="D20" i="57"/>
  <c r="H10" i="82"/>
  <c r="B15" i="57"/>
  <c r="B18" i="57"/>
  <c r="B19" i="57"/>
  <c r="O14" i="3"/>
  <c r="O21" i="3"/>
  <c r="C9" i="3"/>
  <c r="C14" i="3"/>
  <c r="M14" i="3"/>
  <c r="F30" i="3"/>
  <c r="G11" i="3"/>
  <c r="C29" i="3"/>
  <c r="C30" i="3"/>
  <c r="B29" i="91"/>
  <c r="J29" i="91"/>
  <c r="E14" i="3"/>
  <c r="S25" i="94"/>
  <c r="S32" i="94"/>
  <c r="S34" i="94"/>
  <c r="S44" i="94"/>
  <c r="F31" i="94"/>
  <c r="Q17" i="3"/>
  <c r="Q21" i="3"/>
  <c r="F24" i="94"/>
  <c r="F25" i="94"/>
  <c r="F32" i="94"/>
  <c r="F34" i="94"/>
  <c r="F14" i="94"/>
  <c r="O25" i="8"/>
  <c r="O26" i="8"/>
  <c r="J25" i="8"/>
  <c r="L13" i="8"/>
  <c r="J13" i="8"/>
  <c r="J26" i="8"/>
  <c r="J31" i="8"/>
  <c r="J34" i="8"/>
  <c r="L25" i="8"/>
  <c r="L22" i="9"/>
  <c r="O22" i="9"/>
  <c r="M16" i="9"/>
  <c r="M23" i="9"/>
  <c r="K16" i="9"/>
  <c r="K23" i="9"/>
  <c r="L33" i="9"/>
  <c r="F49" i="51"/>
  <c r="D49" i="51"/>
  <c r="E37" i="9"/>
  <c r="N33" i="9"/>
  <c r="F24" i="8"/>
  <c r="T24" i="8"/>
  <c r="D14" i="57"/>
  <c r="P21" i="3"/>
  <c r="P31" i="3"/>
  <c r="G26" i="3"/>
  <c r="D29" i="3"/>
  <c r="L14" i="44"/>
  <c r="C12" i="44"/>
  <c r="F17" i="8"/>
  <c r="F20" i="8"/>
  <c r="H18" i="56"/>
  <c r="B13" i="8"/>
  <c r="B26" i="8"/>
  <c r="B31" i="8"/>
  <c r="G15" i="57"/>
  <c r="G18" i="57"/>
  <c r="G19" i="57"/>
  <c r="L13" i="57"/>
  <c r="D30" i="3"/>
  <c r="H22" i="56"/>
  <c r="D18" i="56"/>
  <c r="D22" i="56"/>
  <c r="D24" i="56"/>
  <c r="C24" i="56"/>
  <c r="G24" i="56"/>
  <c r="D10" i="56"/>
  <c r="H10" i="56"/>
  <c r="K24" i="56"/>
  <c r="G22" i="94"/>
  <c r="M25" i="94"/>
  <c r="M32" i="94"/>
  <c r="M34" i="94"/>
  <c r="M44" i="94"/>
  <c r="D24" i="94"/>
  <c r="D25" i="94"/>
  <c r="D32" i="94"/>
  <c r="D34" i="94"/>
  <c r="B14" i="94"/>
  <c r="B25" i="94"/>
  <c r="B32" i="94"/>
  <c r="B34" i="94"/>
  <c r="G19" i="97"/>
  <c r="I19" i="97"/>
  <c r="D14" i="3"/>
  <c r="L10" i="56"/>
  <c r="L18" i="56"/>
  <c r="J15" i="57"/>
  <c r="J18" i="57"/>
  <c r="J19" i="57"/>
  <c r="J21" i="57"/>
  <c r="J39" i="57"/>
  <c r="D199" i="63"/>
  <c r="L14" i="57"/>
  <c r="C15" i="57"/>
  <c r="C18" i="57"/>
  <c r="C19" i="57"/>
  <c r="C21" i="57"/>
  <c r="C28" i="57"/>
  <c r="L12" i="57"/>
  <c r="K15" i="57"/>
  <c r="K18" i="57"/>
  <c r="K19" i="57"/>
  <c r="K21" i="57"/>
  <c r="K28" i="57"/>
  <c r="L10" i="57"/>
  <c r="O27" i="57"/>
  <c r="R27" i="57"/>
  <c r="O26" i="57"/>
  <c r="R26" i="57"/>
  <c r="H20" i="57"/>
  <c r="I15" i="46"/>
  <c r="H16" i="46"/>
  <c r="H17" i="46"/>
  <c r="C13" i="8"/>
  <c r="C12" i="9"/>
  <c r="F35" i="8"/>
  <c r="T35" i="8"/>
  <c r="R25" i="57"/>
  <c r="N10" i="57"/>
  <c r="P10" i="57"/>
  <c r="H12" i="57"/>
  <c r="R20" i="57"/>
  <c r="D15" i="57"/>
  <c r="D18" i="57"/>
  <c r="L15" i="57"/>
  <c r="L18" i="57"/>
  <c r="P13" i="57"/>
  <c r="H13" i="57"/>
  <c r="F15" i="57"/>
  <c r="F18" i="57"/>
  <c r="F19" i="57"/>
  <c r="F21" i="57"/>
  <c r="F39" i="57"/>
  <c r="C199" i="63"/>
  <c r="O15" i="57"/>
  <c r="O18" i="57"/>
  <c r="O19" i="57"/>
  <c r="H14" i="57"/>
  <c r="G17" i="56"/>
  <c r="G19" i="56"/>
  <c r="G20" i="56"/>
  <c r="H20" i="56"/>
  <c r="H17" i="56"/>
  <c r="H19" i="56"/>
  <c r="L24" i="56"/>
  <c r="O12" i="56"/>
  <c r="D17" i="56"/>
  <c r="D19" i="56"/>
  <c r="C19" i="56"/>
  <c r="C20" i="56"/>
  <c r="D20" i="56"/>
  <c r="F25" i="56"/>
  <c r="F44" i="56"/>
  <c r="C192" i="63"/>
  <c r="J25" i="56"/>
  <c r="J44" i="56"/>
  <c r="D192" i="63"/>
  <c r="J192" i="63"/>
  <c r="N19" i="56"/>
  <c r="N20" i="56"/>
  <c r="N25" i="56"/>
  <c r="N44" i="56"/>
  <c r="K17" i="56"/>
  <c r="L17" i="56"/>
  <c r="L19" i="56"/>
  <c r="P22" i="56"/>
  <c r="P24" i="56"/>
  <c r="O13" i="56"/>
  <c r="O31" i="56"/>
  <c r="R31" i="56"/>
  <c r="P10" i="56"/>
  <c r="H24" i="56"/>
  <c r="H25" i="56"/>
  <c r="R22" i="56"/>
  <c r="J19" i="82"/>
  <c r="J24" i="82"/>
  <c r="J38" i="82"/>
  <c r="D27" i="103"/>
  <c r="D9" i="103"/>
  <c r="L18" i="104"/>
  <c r="D30" i="104"/>
  <c r="D32" i="104"/>
  <c r="K19" i="56"/>
  <c r="K20" i="56"/>
  <c r="K25" i="56"/>
  <c r="K33" i="56"/>
  <c r="K35" i="56"/>
  <c r="L20" i="56"/>
  <c r="G25" i="56"/>
  <c r="G33" i="56"/>
  <c r="R32" i="56"/>
  <c r="D20" i="88"/>
  <c r="D21" i="88"/>
  <c r="S47" i="3"/>
  <c r="P34" i="94"/>
  <c r="P44" i="94"/>
  <c r="X44" i="94"/>
  <c r="X47" i="3"/>
  <c r="T44" i="94"/>
  <c r="T47" i="3"/>
  <c r="Q34" i="94"/>
  <c r="C33" i="98"/>
  <c r="U47" i="3"/>
  <c r="U44" i="94"/>
  <c r="V44" i="94"/>
  <c r="V47" i="3"/>
  <c r="W47" i="3"/>
  <c r="W44" i="94"/>
  <c r="G11" i="94"/>
  <c r="I11" i="94"/>
  <c r="B14" i="99"/>
  <c r="C24" i="94"/>
  <c r="C25" i="94"/>
  <c r="C32" i="94"/>
  <c r="C34" i="94"/>
  <c r="D14" i="98"/>
  <c r="G23" i="99"/>
  <c r="I23" i="99"/>
  <c r="C24" i="97"/>
  <c r="K25" i="104"/>
  <c r="L25" i="104"/>
  <c r="B24" i="99"/>
  <c r="B25" i="99"/>
  <c r="B32" i="99"/>
  <c r="G13" i="97"/>
  <c r="I13" i="97"/>
  <c r="G23" i="98"/>
  <c r="I23" i="98"/>
  <c r="C32" i="104"/>
  <c r="G19" i="99"/>
  <c r="I19" i="99"/>
  <c r="G33" i="94"/>
  <c r="E24" i="94"/>
  <c r="E25" i="94"/>
  <c r="E32" i="94"/>
  <c r="E34" i="94"/>
  <c r="C33" i="103"/>
  <c r="C24" i="103"/>
  <c r="D24" i="103"/>
  <c r="C31" i="94"/>
  <c r="D21" i="82"/>
  <c r="M47" i="3"/>
  <c r="E14" i="98"/>
  <c r="E24" i="98"/>
  <c r="E25" i="98"/>
  <c r="E32" i="98"/>
  <c r="E34" i="98"/>
  <c r="E47" i="98"/>
  <c r="E104" i="63"/>
  <c r="G12" i="99"/>
  <c r="I12" i="99"/>
  <c r="C24" i="98"/>
  <c r="G9" i="97"/>
  <c r="B31" i="97"/>
  <c r="B24" i="98"/>
  <c r="G9" i="98"/>
  <c r="I9" i="98"/>
  <c r="G12" i="98"/>
  <c r="I12" i="98"/>
  <c r="G13" i="99"/>
  <c r="I13" i="99"/>
  <c r="D24" i="99"/>
  <c r="G22" i="99"/>
  <c r="I22" i="99"/>
  <c r="C15" i="104"/>
  <c r="D15" i="104"/>
  <c r="G27" i="99"/>
  <c r="I27" i="99"/>
  <c r="C31" i="97"/>
  <c r="G10" i="98"/>
  <c r="C12" i="88"/>
  <c r="D12" i="88"/>
  <c r="D18" i="88"/>
  <c r="C16" i="54"/>
  <c r="C23" i="54"/>
  <c r="D16" i="54"/>
  <c r="D23" i="54"/>
  <c r="C31" i="99"/>
  <c r="G11" i="98"/>
  <c r="I11" i="98"/>
  <c r="G23" i="82"/>
  <c r="H23" i="82"/>
  <c r="C14" i="99"/>
  <c r="C25" i="99"/>
  <c r="C32" i="99"/>
  <c r="C34" i="99"/>
  <c r="C47" i="99"/>
  <c r="C133" i="63"/>
  <c r="G12" i="82"/>
  <c r="H12" i="82"/>
  <c r="I9" i="99"/>
  <c r="G17" i="97"/>
  <c r="C14" i="98"/>
  <c r="C25" i="98"/>
  <c r="L15" i="82"/>
  <c r="D17" i="103"/>
  <c r="G28" i="99"/>
  <c r="G18" i="97"/>
  <c r="I18" i="97"/>
  <c r="C12" i="82"/>
  <c r="C36" i="82"/>
  <c r="B172" i="63"/>
  <c r="C19" i="82"/>
  <c r="D19" i="82"/>
  <c r="C25" i="104"/>
  <c r="D25" i="104"/>
  <c r="I11" i="97"/>
  <c r="G32" i="104"/>
  <c r="L28" i="104"/>
  <c r="F46" i="3"/>
  <c r="X31" i="3"/>
  <c r="W46" i="3"/>
  <c r="F30" i="63"/>
  <c r="U31" i="3"/>
  <c r="B31" i="3"/>
  <c r="G26" i="92"/>
  <c r="I26" i="92"/>
  <c r="C14" i="93"/>
  <c r="O25" i="44"/>
  <c r="O31" i="8"/>
  <c r="O34" i="8"/>
  <c r="K31" i="8"/>
  <c r="K34" i="8"/>
  <c r="K36" i="8"/>
  <c r="K25" i="44"/>
  <c r="B23" i="110"/>
  <c r="K45" i="44"/>
  <c r="E31" i="8"/>
  <c r="E34" i="8"/>
  <c r="E36" i="8"/>
  <c r="E47" i="8"/>
  <c r="E53" i="63"/>
  <c r="E25" i="44"/>
  <c r="E45" i="44"/>
  <c r="E58" i="63"/>
  <c r="B34" i="8"/>
  <c r="B36" i="8"/>
  <c r="B25" i="44"/>
  <c r="R26" i="8"/>
  <c r="R31" i="8"/>
  <c r="R34" i="8"/>
  <c r="D25" i="8"/>
  <c r="D26" i="8"/>
  <c r="D25" i="44"/>
  <c r="J25" i="44"/>
  <c r="F33" i="104"/>
  <c r="F53" i="104"/>
  <c r="B26" i="104"/>
  <c r="B33" i="104"/>
  <c r="B53" i="104"/>
  <c r="F31" i="93"/>
  <c r="F25" i="98"/>
  <c r="F32" i="98"/>
  <c r="F34" i="98"/>
  <c r="E35" i="44"/>
  <c r="F29" i="44"/>
  <c r="D20" i="44"/>
  <c r="O21" i="44"/>
  <c r="O23" i="44"/>
  <c r="O44" i="44"/>
  <c r="F22" i="44"/>
  <c r="L34" i="44"/>
  <c r="F13" i="44"/>
  <c r="L21" i="44"/>
  <c r="L23" i="44"/>
  <c r="L44" i="44"/>
  <c r="C32" i="44"/>
  <c r="E46" i="44"/>
  <c r="E59" i="63"/>
  <c r="J21" i="44"/>
  <c r="J23" i="44"/>
  <c r="J44" i="44"/>
  <c r="D14" i="44"/>
  <c r="D21" i="44"/>
  <c r="D23" i="44"/>
  <c r="N14" i="44"/>
  <c r="N21" i="44"/>
  <c r="F19" i="44"/>
  <c r="F18" i="44"/>
  <c r="C25" i="56"/>
  <c r="C33" i="56"/>
  <c r="B190" i="63"/>
  <c r="D21" i="54"/>
  <c r="H10" i="104"/>
  <c r="C18" i="82"/>
  <c r="D18" i="82"/>
  <c r="K12" i="82"/>
  <c r="K23" i="82"/>
  <c r="L23" i="82"/>
  <c r="D22" i="88"/>
  <c r="I10" i="98"/>
  <c r="Q44" i="94"/>
  <c r="C18" i="88"/>
  <c r="C22" i="88"/>
  <c r="C24" i="88"/>
  <c r="C32" i="88"/>
  <c r="D183" i="63"/>
  <c r="J183" i="63"/>
  <c r="C39" i="54"/>
  <c r="B177" i="63"/>
  <c r="J177" i="63"/>
  <c r="B45" i="44"/>
  <c r="B58" i="63"/>
  <c r="J58" i="63"/>
  <c r="F20" i="44"/>
  <c r="N23" i="44"/>
  <c r="N44" i="44"/>
  <c r="C35" i="56"/>
  <c r="L12" i="82"/>
  <c r="C31" i="88"/>
  <c r="D182" i="63"/>
  <c r="J182" i="63"/>
  <c r="E18" i="112"/>
  <c r="E9" i="112"/>
  <c r="E11" i="112"/>
  <c r="E16" i="110"/>
  <c r="E18" i="110"/>
  <c r="E31" i="110"/>
  <c r="E14" i="110"/>
  <c r="E18" i="109"/>
  <c r="E17" i="113"/>
  <c r="E18" i="113"/>
  <c r="B12" i="113"/>
  <c r="D23" i="106"/>
  <c r="D43" i="107"/>
  <c r="D91" i="63"/>
  <c r="D43" i="110"/>
  <c r="D122" i="63"/>
  <c r="D27" i="109"/>
  <c r="D30" i="109"/>
  <c r="D32" i="109"/>
  <c r="D43" i="109"/>
  <c r="D116" i="63"/>
  <c r="E11" i="109"/>
  <c r="C26" i="109"/>
  <c r="E15" i="109"/>
  <c r="E14" i="109"/>
  <c r="C11" i="109"/>
  <c r="C23" i="112"/>
  <c r="C27" i="112"/>
  <c r="C30" i="112"/>
  <c r="C32" i="112"/>
  <c r="E25" i="112"/>
  <c r="E26" i="112"/>
  <c r="E16" i="112"/>
  <c r="E22" i="112"/>
  <c r="D23" i="112"/>
  <c r="D43" i="113"/>
  <c r="D151" i="63"/>
  <c r="C26" i="112"/>
  <c r="E10" i="112"/>
  <c r="E14" i="112"/>
  <c r="B22" i="112"/>
  <c r="B11" i="109"/>
  <c r="B22" i="109"/>
  <c r="E31" i="106"/>
  <c r="E10" i="106"/>
  <c r="E9" i="106"/>
  <c r="E11" i="106"/>
  <c r="B22" i="106"/>
  <c r="B23" i="106"/>
  <c r="E14" i="106"/>
  <c r="E15" i="106"/>
  <c r="E29" i="106"/>
  <c r="C11" i="106"/>
  <c r="O33" i="9"/>
  <c r="F26" i="9"/>
  <c r="C12" i="105"/>
  <c r="B19" i="113"/>
  <c r="B21" i="113"/>
  <c r="B42" i="113"/>
  <c r="B150" i="63"/>
  <c r="D46" i="108"/>
  <c r="D111" i="63"/>
  <c r="B23" i="109"/>
  <c r="B18" i="107"/>
  <c r="E19" i="105"/>
  <c r="F47" i="92"/>
  <c r="F100" i="63"/>
  <c r="M9" i="8"/>
  <c r="G9" i="92"/>
  <c r="I9" i="92"/>
  <c r="G11" i="93"/>
  <c r="J11" i="93"/>
  <c r="N9" i="8"/>
  <c r="G16" i="92"/>
  <c r="I16" i="92"/>
  <c r="C30" i="92"/>
  <c r="G28" i="92"/>
  <c r="J28" i="92"/>
  <c r="G10" i="93"/>
  <c r="I10" i="93"/>
  <c r="T7" i="94"/>
  <c r="N7" i="94"/>
  <c r="U7" i="94"/>
  <c r="B14" i="93"/>
  <c r="G16" i="91"/>
  <c r="V7" i="94"/>
  <c r="B30" i="91"/>
  <c r="M7" i="94"/>
  <c r="S7" i="94"/>
  <c r="G25" i="92"/>
  <c r="I25" i="92"/>
  <c r="O7" i="94"/>
  <c r="C17" i="46"/>
  <c r="H27" i="46"/>
  <c r="H29" i="46"/>
  <c r="E17" i="46"/>
  <c r="G26" i="46"/>
  <c r="B17" i="46"/>
  <c r="I12" i="94"/>
  <c r="B21" i="63"/>
  <c r="I26" i="46"/>
  <c r="G17" i="46"/>
  <c r="G27" i="46"/>
  <c r="E21" i="63"/>
  <c r="I8" i="46"/>
  <c r="I11" i="46"/>
  <c r="I17" i="46"/>
  <c r="I14" i="46"/>
  <c r="I16" i="46"/>
  <c r="D21" i="63"/>
  <c r="C50" i="45"/>
  <c r="C8" i="63"/>
  <c r="I27" i="46"/>
  <c r="I29" i="46"/>
  <c r="F33" i="51"/>
  <c r="G29" i="46"/>
  <c r="G35" i="56"/>
  <c r="G43" i="56"/>
  <c r="C191" i="63"/>
  <c r="G42" i="56"/>
  <c r="C190" i="63"/>
  <c r="B27" i="109"/>
  <c r="B30" i="109"/>
  <c r="B32" i="109"/>
  <c r="R36" i="8"/>
  <c r="H43" i="46"/>
  <c r="F21" i="63"/>
  <c r="J36" i="8"/>
  <c r="C43" i="56"/>
  <c r="B191" i="63"/>
  <c r="H37" i="46"/>
  <c r="C13" i="63"/>
  <c r="B43" i="110"/>
  <c r="B122" i="63"/>
  <c r="C23" i="109"/>
  <c r="C27" i="109"/>
  <c r="C30" i="109"/>
  <c r="C32" i="109"/>
  <c r="O36" i="8"/>
  <c r="C23" i="113"/>
  <c r="O35" i="44"/>
  <c r="O46" i="44"/>
  <c r="L25" i="56"/>
  <c r="T17" i="8"/>
  <c r="L13" i="25"/>
  <c r="L14" i="25"/>
  <c r="L16" i="25"/>
  <c r="L15" i="25"/>
  <c r="D27" i="106"/>
  <c r="D30" i="106"/>
  <c r="D32" i="106"/>
  <c r="K36" i="82"/>
  <c r="D172" i="63"/>
  <c r="P47" i="3"/>
  <c r="I17" i="97"/>
  <c r="D31" i="8"/>
  <c r="D34" i="8"/>
  <c r="D36" i="8"/>
  <c r="B23" i="107"/>
  <c r="J45" i="44"/>
  <c r="I28" i="99"/>
  <c r="O45" i="44"/>
  <c r="M25" i="25"/>
  <c r="M13" i="25"/>
  <c r="M15" i="25"/>
  <c r="M16" i="25"/>
  <c r="M24" i="25"/>
  <c r="M14" i="25"/>
  <c r="D45" i="44"/>
  <c r="D58" i="63"/>
  <c r="D25" i="56"/>
  <c r="G31" i="94"/>
  <c r="T29" i="8"/>
  <c r="F30" i="8"/>
  <c r="T30" i="8"/>
  <c r="L26" i="8"/>
  <c r="C17" i="92"/>
  <c r="D17" i="3"/>
  <c r="G14" i="25"/>
  <c r="G15" i="25"/>
  <c r="G16" i="25"/>
  <c r="G24" i="25"/>
  <c r="C14" i="25"/>
  <c r="C15" i="25"/>
  <c r="G28" i="91"/>
  <c r="I28" i="91"/>
  <c r="G12" i="92"/>
  <c r="I12" i="92"/>
  <c r="D24" i="97"/>
  <c r="N26" i="8"/>
  <c r="C16" i="109"/>
  <c r="C22" i="109"/>
  <c r="N25" i="8"/>
  <c r="S19" i="8"/>
  <c r="C19" i="8"/>
  <c r="R12" i="56"/>
  <c r="O17" i="56"/>
  <c r="P17" i="56"/>
  <c r="I10" i="91"/>
  <c r="J13" i="25"/>
  <c r="J14" i="25"/>
  <c r="J15" i="25"/>
  <c r="J24" i="25"/>
  <c r="J25" i="25"/>
  <c r="C24" i="25"/>
  <c r="C25" i="25"/>
  <c r="I13" i="25"/>
  <c r="I14" i="25"/>
  <c r="I15" i="25"/>
  <c r="I16" i="25"/>
  <c r="B14" i="92"/>
  <c r="G9" i="93"/>
  <c r="I9" i="93"/>
  <c r="B14" i="3"/>
  <c r="G9" i="3"/>
  <c r="E25" i="107"/>
  <c r="H25" i="107"/>
  <c r="E28" i="113"/>
  <c r="B32" i="113"/>
  <c r="F15" i="25"/>
  <c r="F16" i="25"/>
  <c r="O16" i="25"/>
  <c r="F13" i="25"/>
  <c r="F14" i="25"/>
  <c r="E30" i="3"/>
  <c r="G30" i="3"/>
  <c r="E21" i="92"/>
  <c r="E31" i="92"/>
  <c r="G26" i="93"/>
  <c r="I26" i="93"/>
  <c r="G22" i="98"/>
  <c r="I22" i="98"/>
  <c r="D17" i="45"/>
  <c r="G25" i="25"/>
  <c r="C17" i="93"/>
  <c r="C21" i="93"/>
  <c r="E17" i="3"/>
  <c r="E21" i="3"/>
  <c r="N30" i="3"/>
  <c r="B29" i="92"/>
  <c r="J29" i="92"/>
  <c r="G10" i="92"/>
  <c r="I10" i="92"/>
  <c r="G25" i="93"/>
  <c r="I25" i="93"/>
  <c r="P18" i="56"/>
  <c r="Q7" i="94"/>
  <c r="W7" i="94"/>
  <c r="G29" i="91"/>
  <c r="I29" i="91"/>
  <c r="G13" i="25"/>
  <c r="B29" i="93"/>
  <c r="B30" i="93"/>
  <c r="E29" i="3"/>
  <c r="G29" i="3"/>
  <c r="O30" i="3"/>
  <c r="O31" i="3"/>
  <c r="B14" i="97"/>
  <c r="P46" i="3"/>
  <c r="L58" i="8"/>
  <c r="F24" i="25"/>
  <c r="F25" i="25"/>
  <c r="I24" i="25"/>
  <c r="J16" i="25"/>
  <c r="C13" i="25"/>
  <c r="G23" i="94"/>
  <c r="E16" i="106"/>
  <c r="E22" i="106"/>
  <c r="E23" i="106"/>
  <c r="E27" i="106"/>
  <c r="E30" i="106"/>
  <c r="D14" i="25"/>
  <c r="E31" i="99"/>
  <c r="C32" i="110"/>
  <c r="E9" i="113"/>
  <c r="E12" i="113"/>
  <c r="L56" i="8"/>
  <c r="D13" i="25"/>
  <c r="G20" i="93"/>
  <c r="J20" i="93"/>
  <c r="F25" i="99"/>
  <c r="F32" i="99"/>
  <c r="F34" i="99"/>
  <c r="F47" i="99"/>
  <c r="F133" i="63"/>
  <c r="G20" i="98"/>
  <c r="I20" i="98"/>
  <c r="D31" i="98"/>
  <c r="F11" i="8"/>
  <c r="D30" i="92"/>
  <c r="C9" i="110"/>
  <c r="C11" i="44"/>
  <c r="S25" i="8"/>
  <c r="C14" i="103"/>
  <c r="E20" i="106"/>
  <c r="B12" i="110"/>
  <c r="B30" i="113"/>
  <c r="E30" i="113"/>
  <c r="G11" i="99"/>
  <c r="J11" i="99"/>
  <c r="I11" i="99"/>
  <c r="B32" i="44"/>
  <c r="J34" i="44"/>
  <c r="J35" i="44"/>
  <c r="J46" i="44"/>
  <c r="B30" i="107"/>
  <c r="E25" i="106"/>
  <c r="E26" i="106"/>
  <c r="E16" i="109"/>
  <c r="E22" i="109"/>
  <c r="E23" i="109"/>
  <c r="E27" i="109"/>
  <c r="E30" i="109"/>
  <c r="G13" i="94"/>
  <c r="I13" i="94"/>
  <c r="G18" i="94"/>
  <c r="B30" i="110"/>
  <c r="E30" i="110"/>
  <c r="K34" i="44"/>
  <c r="K35" i="44"/>
  <c r="K46" i="44"/>
  <c r="D25" i="25"/>
  <c r="B21" i="93"/>
  <c r="N25" i="94"/>
  <c r="N32" i="94"/>
  <c r="N34" i="94"/>
  <c r="R25" i="94"/>
  <c r="R32" i="94"/>
  <c r="G19" i="94"/>
  <c r="G29" i="94"/>
  <c r="O56" i="8"/>
  <c r="B26" i="109"/>
  <c r="E29" i="110"/>
  <c r="D19" i="113"/>
  <c r="D21" i="113"/>
  <c r="D42" i="113"/>
  <c r="D150" i="63"/>
  <c r="D44" i="113"/>
  <c r="D152" i="63"/>
  <c r="K9" i="44"/>
  <c r="N9" i="44"/>
  <c r="D24" i="25"/>
  <c r="B14" i="98"/>
  <c r="B25" i="98"/>
  <c r="B32" i="98"/>
  <c r="B34" i="98"/>
  <c r="B47" i="98"/>
  <c r="B104" i="63"/>
  <c r="G29" i="98"/>
  <c r="I29" i="98"/>
  <c r="F18" i="8"/>
  <c r="T18" i="8"/>
  <c r="F23" i="8"/>
  <c r="T23" i="8"/>
  <c r="B26" i="106"/>
  <c r="B27" i="106"/>
  <c r="B30" i="106"/>
  <c r="B32" i="106"/>
  <c r="E14" i="113"/>
  <c r="E19" i="113"/>
  <c r="E21" i="113"/>
  <c r="D14" i="94"/>
  <c r="G22" i="97"/>
  <c r="I22" i="97"/>
  <c r="F16" i="44"/>
  <c r="M25" i="8"/>
  <c r="M26" i="8"/>
  <c r="C16" i="106"/>
  <c r="C22" i="106"/>
  <c r="C23" i="106"/>
  <c r="C27" i="106"/>
  <c r="C30" i="106"/>
  <c r="C32" i="106"/>
  <c r="J9" i="44"/>
  <c r="M25" i="44"/>
  <c r="O58" i="8"/>
  <c r="M31" i="8"/>
  <c r="M34" i="8"/>
  <c r="E44" i="106"/>
  <c r="E86" i="63"/>
  <c r="J86" i="63"/>
  <c r="E32" i="106"/>
  <c r="C14" i="44"/>
  <c r="F11" i="44"/>
  <c r="P19" i="56"/>
  <c r="D46" i="105"/>
  <c r="D80" i="63"/>
  <c r="D43" i="106"/>
  <c r="D85" i="63"/>
  <c r="C12" i="110"/>
  <c r="E9" i="110"/>
  <c r="E12" i="110"/>
  <c r="T11" i="8"/>
  <c r="F13" i="8"/>
  <c r="P56" i="8"/>
  <c r="O13" i="25"/>
  <c r="B46" i="3"/>
  <c r="B30" i="63"/>
  <c r="G14" i="3"/>
  <c r="O25" i="25"/>
  <c r="F32" i="44"/>
  <c r="G17" i="92"/>
  <c r="I17" i="92"/>
  <c r="B19" i="110"/>
  <c r="B21" i="110"/>
  <c r="B42" i="110"/>
  <c r="B121" i="63"/>
  <c r="I9" i="3"/>
  <c r="B51" i="45"/>
  <c r="B9" i="63"/>
  <c r="F19" i="8"/>
  <c r="C25" i="8"/>
  <c r="C26" i="8"/>
  <c r="O24" i="25"/>
  <c r="B43" i="107"/>
  <c r="B91" i="63"/>
  <c r="G14" i="94"/>
  <c r="C33" i="99"/>
  <c r="R34" i="94"/>
  <c r="G24" i="94"/>
  <c r="G25" i="94"/>
  <c r="G32" i="94"/>
  <c r="G29" i="92"/>
  <c r="I29" i="92"/>
  <c r="B30" i="92"/>
  <c r="G30" i="92"/>
  <c r="O15" i="25"/>
  <c r="L31" i="8"/>
  <c r="L34" i="8"/>
  <c r="L25" i="44"/>
  <c r="D14" i="103"/>
  <c r="C25" i="103"/>
  <c r="N31" i="8"/>
  <c r="N34" i="8"/>
  <c r="N25" i="44"/>
  <c r="N45" i="44"/>
  <c r="O46" i="3"/>
  <c r="O44" i="94"/>
  <c r="O47" i="3"/>
  <c r="O14" i="25"/>
  <c r="B44" i="46"/>
  <c r="B22" i="63"/>
  <c r="S26" i="8"/>
  <c r="S31" i="8"/>
  <c r="S34" i="8"/>
  <c r="O19" i="56"/>
  <c r="O20" i="56"/>
  <c r="B23" i="113"/>
  <c r="L35" i="44"/>
  <c r="L46" i="44"/>
  <c r="K42" i="56"/>
  <c r="D190" i="63"/>
  <c r="L36" i="8"/>
  <c r="K48" i="8"/>
  <c r="L54" i="8"/>
  <c r="O54" i="8"/>
  <c r="N48" i="8"/>
  <c r="M36" i="8"/>
  <c r="I14" i="94"/>
  <c r="C25" i="44"/>
  <c r="C31" i="8"/>
  <c r="C34" i="8"/>
  <c r="C45" i="44"/>
  <c r="C58" i="63"/>
  <c r="C21" i="44"/>
  <c r="C23" i="44"/>
  <c r="P20" i="56"/>
  <c r="P25" i="56"/>
  <c r="O25" i="56"/>
  <c r="O33" i="56"/>
  <c r="T19" i="8"/>
  <c r="F25" i="8"/>
  <c r="T25" i="8"/>
  <c r="C23" i="107"/>
  <c r="C43" i="107"/>
  <c r="C91" i="63"/>
  <c r="M35" i="44"/>
  <c r="M46" i="44"/>
  <c r="S36" i="8"/>
  <c r="H44" i="46"/>
  <c r="F22" i="63"/>
  <c r="N35" i="44"/>
  <c r="N46" i="44"/>
  <c r="C23" i="110"/>
  <c r="T13" i="8"/>
  <c r="F26" i="8"/>
  <c r="M45" i="44"/>
  <c r="N36" i="8"/>
  <c r="D25" i="103"/>
  <c r="E19" i="110"/>
  <c r="E21" i="110"/>
  <c r="L45" i="44"/>
  <c r="R47" i="3"/>
  <c r="R44" i="94"/>
  <c r="C19" i="110"/>
  <c r="C21" i="110"/>
  <c r="C43" i="110"/>
  <c r="C122" i="63"/>
  <c r="E23" i="110"/>
  <c r="C33" i="110"/>
  <c r="C44" i="110"/>
  <c r="C123" i="63"/>
  <c r="F34" i="8"/>
  <c r="C36" i="8"/>
  <c r="E44" i="109"/>
  <c r="E117" i="63"/>
  <c r="J117" i="63"/>
  <c r="T26" i="8"/>
  <c r="F31" i="8"/>
  <c r="T31" i="8"/>
  <c r="P58" i="8"/>
  <c r="R33" i="56"/>
  <c r="O42" i="56"/>
  <c r="E190" i="63" s="1"/>
  <c r="J190" i="63" s="1"/>
  <c r="O41" i="56"/>
  <c r="E189" i="63"/>
  <c r="J189" i="63"/>
  <c r="F25" i="44"/>
  <c r="E23" i="113"/>
  <c r="B33" i="113"/>
  <c r="B44" i="113"/>
  <c r="B152" i="63"/>
  <c r="K43" i="56"/>
  <c r="D191" i="63"/>
  <c r="F36" i="8"/>
  <c r="H38" i="46"/>
  <c r="C15" i="63"/>
  <c r="J15" i="63"/>
  <c r="F48" i="8"/>
  <c r="T34" i="8"/>
  <c r="E43" i="110"/>
  <c r="E122" i="63"/>
  <c r="H25" i="44"/>
  <c r="F45" i="44"/>
  <c r="F58" i="63"/>
  <c r="P54" i="8"/>
  <c r="T36" i="8"/>
  <c r="H39" i="46"/>
  <c r="C16" i="63"/>
  <c r="J16" i="63"/>
  <c r="B21" i="92"/>
  <c r="Q46" i="3"/>
  <c r="Q31" i="3"/>
  <c r="D21" i="3"/>
  <c r="D46" i="3"/>
  <c r="G17" i="93"/>
  <c r="G18" i="92"/>
  <c r="J18" i="92"/>
  <c r="I18" i="92"/>
  <c r="C17" i="91"/>
  <c r="G17" i="91"/>
  <c r="I17" i="91"/>
  <c r="R31" i="3"/>
  <c r="D28" i="45"/>
  <c r="D31" i="45"/>
  <c r="N47" i="3"/>
  <c r="N44" i="94"/>
  <c r="D13" i="45"/>
  <c r="D18" i="45"/>
  <c r="D36" i="45"/>
  <c r="B38" i="45"/>
  <c r="D37" i="45"/>
  <c r="G37" i="46"/>
  <c r="B13" i="63"/>
  <c r="B50" i="45"/>
  <c r="B8" i="63"/>
  <c r="D38" i="45"/>
  <c r="I37" i="46"/>
  <c r="D13" i="63"/>
  <c r="D50" i="45"/>
  <c r="D8" i="63"/>
  <c r="F30" i="44"/>
  <c r="C32" i="107"/>
  <c r="C33" i="107"/>
  <c r="E27" i="110"/>
  <c r="E32" i="110"/>
  <c r="E33" i="110"/>
  <c r="E44" i="110"/>
  <c r="E123" i="63"/>
  <c r="B32" i="110"/>
  <c r="B33" i="110"/>
  <c r="B44" i="110"/>
  <c r="B123" i="63"/>
  <c r="E27" i="107"/>
  <c r="H27" i="107"/>
  <c r="B32" i="107"/>
  <c r="B33" i="107"/>
  <c r="B14" i="44"/>
  <c r="B21" i="44"/>
  <c r="B23" i="44"/>
  <c r="F12" i="44"/>
  <c r="F14" i="44"/>
  <c r="F21" i="44"/>
  <c r="F23" i="44"/>
  <c r="B12" i="107"/>
  <c r="B19" i="107"/>
  <c r="C32" i="113"/>
  <c r="C33" i="113"/>
  <c r="C44" i="113"/>
  <c r="C152" i="63"/>
  <c r="E25" i="113"/>
  <c r="E32" i="113"/>
  <c r="E33" i="113"/>
  <c r="E44" i="113"/>
  <c r="E152" i="63"/>
  <c r="J152" i="63"/>
  <c r="C27" i="44"/>
  <c r="C34" i="44"/>
  <c r="C35" i="44"/>
  <c r="C46" i="44"/>
  <c r="C59" i="63"/>
  <c r="F27" i="44"/>
  <c r="F47" i="44"/>
  <c r="B34" i="44"/>
  <c r="B35" i="44"/>
  <c r="B46" i="44"/>
  <c r="B59" i="63"/>
  <c r="J123" i="63"/>
  <c r="D21" i="111"/>
  <c r="B31" i="108"/>
  <c r="C27" i="105"/>
  <c r="B27" i="105"/>
  <c r="I21" i="9"/>
  <c r="F31" i="9"/>
  <c r="E18" i="111"/>
  <c r="F29" i="9"/>
  <c r="H29" i="9"/>
  <c r="I19" i="9"/>
  <c r="L16" i="9"/>
  <c r="L23" i="9"/>
  <c r="F13" i="9"/>
  <c r="H13" i="9"/>
  <c r="B22" i="9"/>
  <c r="I28" i="9"/>
  <c r="F15" i="9"/>
  <c r="H15" i="9"/>
  <c r="I31" i="9"/>
  <c r="I29" i="9"/>
  <c r="K33" i="9"/>
  <c r="D33" i="9"/>
  <c r="E17" i="105"/>
  <c r="C31" i="105"/>
  <c r="D31" i="111"/>
  <c r="D45" i="111"/>
  <c r="D139" i="63"/>
  <c r="E11" i="111"/>
  <c r="I15" i="9"/>
  <c r="K9" i="9"/>
  <c r="B14" i="105"/>
  <c r="E24" i="111"/>
  <c r="B12" i="9"/>
  <c r="B33" i="9"/>
  <c r="E29" i="111"/>
  <c r="E18" i="108"/>
  <c r="E20" i="108"/>
  <c r="C22" i="9"/>
  <c r="I22" i="9"/>
  <c r="F36" i="9"/>
  <c r="H36" i="9"/>
  <c r="D16" i="9"/>
  <c r="C33" i="9"/>
  <c r="D22" i="9"/>
  <c r="N16" i="9"/>
  <c r="N23" i="9"/>
  <c r="N47" i="9"/>
  <c r="E23" i="9"/>
  <c r="E47" i="9"/>
  <c r="E48" i="63"/>
  <c r="N49" i="9"/>
  <c r="L9" i="9"/>
  <c r="E29" i="105"/>
  <c r="E30" i="105"/>
  <c r="M44" i="44"/>
  <c r="P23" i="9"/>
  <c r="E11" i="108"/>
  <c r="E19" i="111"/>
  <c r="E12" i="108"/>
  <c r="B20" i="111"/>
  <c r="C31" i="108"/>
  <c r="C14" i="105"/>
  <c r="C21" i="105"/>
  <c r="E10" i="105"/>
  <c r="M47" i="8"/>
  <c r="C42" i="110"/>
  <c r="C121" i="63"/>
  <c r="E10" i="108"/>
  <c r="E42" i="110"/>
  <c r="E121" i="63"/>
  <c r="D48" i="105"/>
  <c r="D21" i="105"/>
  <c r="B33" i="111"/>
  <c r="M37" i="9"/>
  <c r="M49" i="9"/>
  <c r="C20" i="111"/>
  <c r="O16" i="9"/>
  <c r="O23" i="9"/>
  <c r="C14" i="111"/>
  <c r="O35" i="9"/>
  <c r="C33" i="105"/>
  <c r="C35" i="105"/>
  <c r="C46" i="105"/>
  <c r="C80" i="63"/>
  <c r="E18" i="105"/>
  <c r="C14" i="9"/>
  <c r="F14" i="9"/>
  <c r="H14" i="9"/>
  <c r="P35" i="9"/>
  <c r="D35" i="9"/>
  <c r="C44" i="44"/>
  <c r="C57" i="63"/>
  <c r="F20" i="9"/>
  <c r="F22" i="9"/>
  <c r="H22" i="9"/>
  <c r="B31" i="105"/>
  <c r="K35" i="9"/>
  <c r="K49" i="9"/>
  <c r="F12" i="9"/>
  <c r="F16" i="9"/>
  <c r="L35" i="9"/>
  <c r="E13" i="105"/>
  <c r="H13" i="105"/>
  <c r="D31" i="108"/>
  <c r="D45" i="108"/>
  <c r="D110" i="63"/>
  <c r="B20" i="108"/>
  <c r="C20" i="108"/>
  <c r="E29" i="108"/>
  <c r="E30" i="108"/>
  <c r="E34" i="108"/>
  <c r="E12" i="111"/>
  <c r="E17" i="111"/>
  <c r="C14" i="108"/>
  <c r="M9" i="9"/>
  <c r="E24" i="105"/>
  <c r="E27" i="105"/>
  <c r="D48" i="108"/>
  <c r="E10" i="111"/>
  <c r="E42" i="113"/>
  <c r="E150" i="63"/>
  <c r="J150" i="63"/>
  <c r="D31" i="105"/>
  <c r="G34" i="94"/>
  <c r="F9" i="51"/>
  <c r="F44" i="94"/>
  <c r="F47" i="3"/>
  <c r="F47" i="94"/>
  <c r="F34" i="63"/>
  <c r="L15" i="104"/>
  <c r="K26" i="104"/>
  <c r="D31" i="103"/>
  <c r="D32" i="103"/>
  <c r="E47" i="94"/>
  <c r="E34" i="63"/>
  <c r="E44" i="94"/>
  <c r="E47" i="3"/>
  <c r="E32" i="63"/>
  <c r="C47" i="3"/>
  <c r="C38" i="63"/>
  <c r="C47" i="94"/>
  <c r="C34" i="63"/>
  <c r="C44" i="94"/>
  <c r="I17" i="98"/>
  <c r="G24" i="98"/>
  <c r="I24" i="98"/>
  <c r="E25" i="97"/>
  <c r="E32" i="97"/>
  <c r="E34" i="97"/>
  <c r="C26" i="54"/>
  <c r="C40" i="54"/>
  <c r="B178" i="63"/>
  <c r="J178" i="63"/>
  <c r="I10" i="99"/>
  <c r="G14" i="99"/>
  <c r="I14" i="99"/>
  <c r="B47" i="3"/>
  <c r="B44" i="94"/>
  <c r="B47" i="94"/>
  <c r="B34" i="63"/>
  <c r="G26" i="104"/>
  <c r="H15" i="104"/>
  <c r="C32" i="98"/>
  <c r="C34" i="98"/>
  <c r="C47" i="98"/>
  <c r="C104" i="63"/>
  <c r="D47" i="3"/>
  <c r="D44" i="94"/>
  <c r="D47" i="94"/>
  <c r="D34" i="63"/>
  <c r="G31" i="97"/>
  <c r="I31" i="97"/>
  <c r="I27" i="97"/>
  <c r="I17" i="99"/>
  <c r="G24" i="99"/>
  <c r="I24" i="99"/>
  <c r="C50" i="103"/>
  <c r="B159" i="63"/>
  <c r="J159" i="63"/>
  <c r="C34" i="103"/>
  <c r="C51" i="103"/>
  <c r="B160" i="63"/>
  <c r="J160" i="63"/>
  <c r="L18" i="82"/>
  <c r="K19" i="82"/>
  <c r="G20" i="99"/>
  <c r="I20" i="99"/>
  <c r="D24" i="98"/>
  <c r="D25" i="98"/>
  <c r="D32" i="98"/>
  <c r="D34" i="98"/>
  <c r="D47" i="98"/>
  <c r="D104" i="63"/>
  <c r="G27" i="98"/>
  <c r="G10" i="97"/>
  <c r="D31" i="97"/>
  <c r="D32" i="97"/>
  <c r="D34" i="97"/>
  <c r="D47" i="97"/>
  <c r="D73" i="63"/>
  <c r="G28" i="98"/>
  <c r="I28" i="98"/>
  <c r="D30" i="103"/>
  <c r="D12" i="82"/>
  <c r="G14" i="98"/>
  <c r="D10" i="54"/>
  <c r="D24" i="54"/>
  <c r="B47" i="97"/>
  <c r="B73" i="63"/>
  <c r="G18" i="82"/>
  <c r="H18" i="82"/>
  <c r="C26" i="104"/>
  <c r="G29" i="99"/>
  <c r="G20" i="97"/>
  <c r="C24" i="82"/>
  <c r="G36" i="82"/>
  <c r="C172" i="63"/>
  <c r="J172" i="63"/>
  <c r="H21" i="104"/>
  <c r="L11" i="104"/>
  <c r="L31" i="104"/>
  <c r="L32" i="104"/>
  <c r="E14" i="99"/>
  <c r="E25" i="99"/>
  <c r="E32" i="99"/>
  <c r="E34" i="99"/>
  <c r="E47" i="99"/>
  <c r="E133" i="63"/>
  <c r="E31" i="3"/>
  <c r="E46" i="3"/>
  <c r="K17" i="3"/>
  <c r="D21" i="92"/>
  <c r="D31" i="92"/>
  <c r="J17" i="92"/>
  <c r="G18" i="93"/>
  <c r="I18" i="93"/>
  <c r="M31" i="3"/>
  <c r="D21" i="91"/>
  <c r="D31" i="91"/>
  <c r="G19" i="93"/>
  <c r="G17" i="3"/>
  <c r="I17" i="3"/>
  <c r="G19" i="3"/>
  <c r="I11" i="3"/>
  <c r="I19" i="3"/>
  <c r="I19" i="92"/>
  <c r="C21" i="92"/>
  <c r="C31" i="92"/>
  <c r="J17" i="93"/>
  <c r="C21" i="91"/>
  <c r="C31" i="91"/>
  <c r="E47" i="92"/>
  <c r="E100" i="63"/>
  <c r="K20" i="3"/>
  <c r="C21" i="3"/>
  <c r="J17" i="91"/>
  <c r="I17" i="93"/>
  <c r="I18" i="91"/>
  <c r="G20" i="91"/>
  <c r="D21" i="93"/>
  <c r="D31" i="93"/>
  <c r="I19" i="93"/>
  <c r="J19" i="93"/>
  <c r="E44" i="93"/>
  <c r="E129" i="63"/>
  <c r="E31" i="91"/>
  <c r="J20" i="91"/>
  <c r="I20" i="91"/>
  <c r="J9" i="91"/>
  <c r="C31" i="93"/>
  <c r="J25" i="91"/>
  <c r="C163" i="63"/>
  <c r="D31" i="3"/>
  <c r="E30" i="91"/>
  <c r="E47" i="97"/>
  <c r="F73" i="63"/>
  <c r="A96" i="63"/>
  <c r="D163" i="63"/>
  <c r="G21" i="3"/>
  <c r="G46" i="3"/>
  <c r="J30" i="92"/>
  <c r="C32" i="63"/>
  <c r="G9" i="91"/>
  <c r="L9" i="44"/>
  <c r="C45" i="63"/>
  <c r="G12" i="91"/>
  <c r="I12" i="91"/>
  <c r="I33" i="3"/>
  <c r="C30" i="91"/>
  <c r="C47" i="97"/>
  <c r="C73" i="63"/>
  <c r="N46" i="3"/>
  <c r="D30" i="63"/>
  <c r="S31" i="3"/>
  <c r="A125" i="63"/>
  <c r="J12" i="93"/>
  <c r="J10" i="92"/>
  <c r="G29" i="93"/>
  <c r="I29" i="93"/>
  <c r="G36" i="3"/>
  <c r="A135" i="63"/>
  <c r="J13" i="93"/>
  <c r="E38" i="63"/>
  <c r="I20" i="93"/>
  <c r="B14" i="91"/>
  <c r="B45" i="63"/>
  <c r="I20" i="92"/>
  <c r="T46" i="3"/>
  <c r="G14" i="93"/>
  <c r="I14" i="93"/>
  <c r="G13" i="91"/>
  <c r="I13" i="91"/>
  <c r="A65" i="63"/>
  <c r="F31" i="45"/>
  <c r="F28" i="45"/>
  <c r="D49" i="45"/>
  <c r="D7" i="63"/>
  <c r="C49" i="45"/>
  <c r="C7" i="63"/>
  <c r="J7" i="63"/>
  <c r="B49" i="45"/>
  <c r="B7" i="63"/>
  <c r="F13" i="45"/>
  <c r="I11" i="93"/>
  <c r="C44" i="93"/>
  <c r="C129" i="63"/>
  <c r="J28" i="93"/>
  <c r="J27" i="93"/>
  <c r="J14" i="92"/>
  <c r="I30" i="92"/>
  <c r="F31" i="92"/>
  <c r="D47" i="92"/>
  <c r="D100" i="63"/>
  <c r="I28" i="92"/>
  <c r="J19" i="92"/>
  <c r="B31" i="92"/>
  <c r="J11" i="92"/>
  <c r="B47" i="92"/>
  <c r="B100" i="63"/>
  <c r="R43" i="91"/>
  <c r="F39" i="91"/>
  <c r="F69" i="63"/>
  <c r="J18" i="91"/>
  <c r="I19" i="91"/>
  <c r="I16" i="91"/>
  <c r="F31" i="91"/>
  <c r="B39" i="91"/>
  <c r="B69" i="63"/>
  <c r="G30" i="91"/>
  <c r="J30" i="91"/>
  <c r="B31" i="91"/>
  <c r="G30" i="93"/>
  <c r="I30" i="93"/>
  <c r="B44" i="93"/>
  <c r="B129" i="63"/>
  <c r="B31" i="93"/>
  <c r="J25" i="93"/>
  <c r="J26" i="93"/>
  <c r="J30" i="93"/>
  <c r="G14" i="92"/>
  <c r="J21" i="63"/>
  <c r="J8" i="63"/>
  <c r="J13" i="63"/>
  <c r="J122" i="63"/>
  <c r="J30" i="63"/>
  <c r="J22" i="63"/>
  <c r="F34" i="44"/>
  <c r="J191" i="63"/>
  <c r="M47" i="9"/>
  <c r="E34" i="111"/>
  <c r="B20" i="105"/>
  <c r="B14" i="108"/>
  <c r="B31" i="111"/>
  <c r="B14" i="111"/>
  <c r="B21" i="111"/>
  <c r="E24" i="108"/>
  <c r="F33" i="9"/>
  <c r="C31" i="111"/>
  <c r="B21" i="105"/>
  <c r="E20" i="105"/>
  <c r="I13" i="9"/>
  <c r="P49" i="9"/>
  <c r="I36" i="9"/>
  <c r="I32" i="9"/>
  <c r="I33" i="9"/>
  <c r="I14" i="9"/>
  <c r="F23" i="9"/>
  <c r="H23" i="9"/>
  <c r="I12" i="9"/>
  <c r="I20" i="9"/>
  <c r="J121" i="63"/>
  <c r="E31" i="105"/>
  <c r="B21" i="108"/>
  <c r="C16" i="9"/>
  <c r="C23" i="9"/>
  <c r="B48" i="111"/>
  <c r="E31" i="111"/>
  <c r="D23" i="9"/>
  <c r="B16" i="9"/>
  <c r="B44" i="44"/>
  <c r="B57" i="63"/>
  <c r="E14" i="111"/>
  <c r="D45" i="105"/>
  <c r="D79" i="63"/>
  <c r="E20" i="111"/>
  <c r="D49" i="9"/>
  <c r="D37" i="9"/>
  <c r="B33" i="108"/>
  <c r="B48" i="108"/>
  <c r="L37" i="9"/>
  <c r="C35" i="9"/>
  <c r="E14" i="108"/>
  <c r="E21" i="108"/>
  <c r="C33" i="108"/>
  <c r="C35" i="108"/>
  <c r="O37" i="9"/>
  <c r="O47" i="9"/>
  <c r="L47" i="8"/>
  <c r="C21" i="111"/>
  <c r="B35" i="111"/>
  <c r="B45" i="111"/>
  <c r="B139" i="63"/>
  <c r="L49" i="9"/>
  <c r="B35" i="9"/>
  <c r="K37" i="9"/>
  <c r="B33" i="105"/>
  <c r="B48" i="105"/>
  <c r="C43" i="106"/>
  <c r="C85" i="63"/>
  <c r="C21" i="108"/>
  <c r="C33" i="111"/>
  <c r="C35" i="111"/>
  <c r="P37" i="9"/>
  <c r="C48" i="105"/>
  <c r="O49" i="9"/>
  <c r="C51" i="45"/>
  <c r="C9" i="63"/>
  <c r="H12" i="9"/>
  <c r="D51" i="45"/>
  <c r="D9" i="63"/>
  <c r="F44" i="44"/>
  <c r="F57" i="63"/>
  <c r="D38" i="63"/>
  <c r="D32" i="63"/>
  <c r="G24" i="97"/>
  <c r="I24" i="97"/>
  <c r="I20" i="97"/>
  <c r="I14" i="98"/>
  <c r="G25" i="98"/>
  <c r="I10" i="97"/>
  <c r="G14" i="97"/>
  <c r="C26" i="82"/>
  <c r="C37" i="82"/>
  <c r="B173" i="63"/>
  <c r="D24" i="82"/>
  <c r="G19" i="82"/>
  <c r="I27" i="98"/>
  <c r="G31" i="98"/>
  <c r="I31" i="98"/>
  <c r="F38" i="63"/>
  <c r="F32" i="63"/>
  <c r="E73" i="63"/>
  <c r="I29" i="99"/>
  <c r="G31" i="99"/>
  <c r="I31" i="99"/>
  <c r="D26" i="104"/>
  <c r="D33" i="104"/>
  <c r="C33" i="104"/>
  <c r="H26" i="104"/>
  <c r="H33" i="104"/>
  <c r="G33" i="104"/>
  <c r="K24" i="82"/>
  <c r="L19" i="82"/>
  <c r="B32" i="63"/>
  <c r="B38" i="63"/>
  <c r="K33" i="104"/>
  <c r="L26" i="104"/>
  <c r="L33" i="104"/>
  <c r="G47" i="3"/>
  <c r="G44" i="94"/>
  <c r="G47" i="94"/>
  <c r="G34" i="63"/>
  <c r="G21" i="93"/>
  <c r="C39" i="91"/>
  <c r="C69" i="63"/>
  <c r="D39" i="91"/>
  <c r="D69" i="63"/>
  <c r="C31" i="3"/>
  <c r="K31" i="3"/>
  <c r="C46" i="3"/>
  <c r="D44" i="93"/>
  <c r="D129" i="63"/>
  <c r="K19" i="3"/>
  <c r="G21" i="91"/>
  <c r="I21" i="91"/>
  <c r="G21" i="92"/>
  <c r="J21" i="92"/>
  <c r="J18" i="93"/>
  <c r="C47" i="92"/>
  <c r="C100" i="63"/>
  <c r="K21" i="3"/>
  <c r="G14" i="91"/>
  <c r="I14" i="91"/>
  <c r="J14" i="93"/>
  <c r="J29" i="93"/>
  <c r="J24" i="93"/>
  <c r="J13" i="91"/>
  <c r="G48" i="3"/>
  <c r="I36" i="3"/>
  <c r="J12" i="91"/>
  <c r="E39" i="91"/>
  <c r="E69" i="63"/>
  <c r="J21" i="91"/>
  <c r="I30" i="91"/>
  <c r="I14" i="92"/>
  <c r="F35" i="44"/>
  <c r="H34" i="44"/>
  <c r="H33" i="9"/>
  <c r="B23" i="9"/>
  <c r="I23" i="9"/>
  <c r="I16" i="9"/>
  <c r="J57" i="63"/>
  <c r="E21" i="111"/>
  <c r="O47" i="8"/>
  <c r="P47" i="9"/>
  <c r="C43" i="109"/>
  <c r="C116" i="63"/>
  <c r="C46" i="108"/>
  <c r="C111" i="63"/>
  <c r="C45" i="108"/>
  <c r="C110" i="63"/>
  <c r="C49" i="9"/>
  <c r="C37" i="9"/>
  <c r="E33" i="111"/>
  <c r="E35" i="111"/>
  <c r="K47" i="8"/>
  <c r="L47" i="9"/>
  <c r="J47" i="8"/>
  <c r="K47" i="9"/>
  <c r="C45" i="111"/>
  <c r="C139" i="63"/>
  <c r="E33" i="108"/>
  <c r="B35" i="108"/>
  <c r="B35" i="105"/>
  <c r="E33" i="105"/>
  <c r="D47" i="9"/>
  <c r="D48" i="63"/>
  <c r="D47" i="8"/>
  <c r="D53" i="63"/>
  <c r="M52" i="9"/>
  <c r="B37" i="9"/>
  <c r="B49" i="9"/>
  <c r="F35" i="9"/>
  <c r="I35" i="9"/>
  <c r="N47" i="8"/>
  <c r="P52" i="9"/>
  <c r="C48" i="108"/>
  <c r="G32" i="98"/>
  <c r="I25" i="98"/>
  <c r="C51" i="104"/>
  <c r="B167" i="63"/>
  <c r="C35" i="104"/>
  <c r="C52" i="104"/>
  <c r="B168" i="63"/>
  <c r="K35" i="104"/>
  <c r="H19" i="82"/>
  <c r="G24" i="82"/>
  <c r="K26" i="82"/>
  <c r="L24" i="82"/>
  <c r="K37" i="82"/>
  <c r="D173" i="63"/>
  <c r="I14" i="97"/>
  <c r="G25" i="97"/>
  <c r="G32" i="63"/>
  <c r="J32" i="63"/>
  <c r="G38" i="63"/>
  <c r="J38" i="63"/>
  <c r="G51" i="104"/>
  <c r="C167" i="63"/>
  <c r="G35" i="104"/>
  <c r="G52" i="104"/>
  <c r="C168" i="63"/>
  <c r="G44" i="93"/>
  <c r="G129" i="63"/>
  <c r="J129" i="63"/>
  <c r="I21" i="93"/>
  <c r="G31" i="93"/>
  <c r="I21" i="92"/>
  <c r="G31" i="92"/>
  <c r="I31" i="92"/>
  <c r="G47" i="92"/>
  <c r="G100" i="63"/>
  <c r="J100" i="63"/>
  <c r="J21" i="93"/>
  <c r="G31" i="91"/>
  <c r="I31" i="91"/>
  <c r="G39" i="91"/>
  <c r="G69" i="63"/>
  <c r="J69" i="63"/>
  <c r="J14" i="91"/>
  <c r="F46" i="44"/>
  <c r="F59" i="63"/>
  <c r="J59" i="63"/>
  <c r="H35" i="44"/>
  <c r="B46" i="108"/>
  <c r="B111" i="63"/>
  <c r="B43" i="109"/>
  <c r="B116" i="63"/>
  <c r="B45" i="108"/>
  <c r="B110" i="63"/>
  <c r="E35" i="108"/>
  <c r="E48" i="108"/>
  <c r="C47" i="8"/>
  <c r="C53" i="63"/>
  <c r="C47" i="9"/>
  <c r="C48" i="63"/>
  <c r="E35" i="105"/>
  <c r="E48" i="105"/>
  <c r="E45" i="111"/>
  <c r="E139" i="63"/>
  <c r="J139" i="63"/>
  <c r="E47" i="111"/>
  <c r="E141" i="63"/>
  <c r="J141" i="63"/>
  <c r="B47" i="8"/>
  <c r="B53" i="63"/>
  <c r="B47" i="9"/>
  <c r="B48" i="63"/>
  <c r="B46" i="105"/>
  <c r="B80" i="63"/>
  <c r="J80" i="63"/>
  <c r="B43" i="106"/>
  <c r="B85" i="63"/>
  <c r="B45" i="105"/>
  <c r="B79" i="63"/>
  <c r="F37" i="9"/>
  <c r="Q52" i="9"/>
  <c r="H35" i="9"/>
  <c r="F49" i="9"/>
  <c r="I25" i="97"/>
  <c r="G32" i="97"/>
  <c r="G37" i="82"/>
  <c r="C173" i="63"/>
  <c r="J173" i="63"/>
  <c r="H24" i="82"/>
  <c r="G26" i="82"/>
  <c r="I32" i="98"/>
  <c r="G34" i="98"/>
  <c r="J31" i="91"/>
  <c r="J31" i="92"/>
  <c r="I31" i="93"/>
  <c r="J31" i="93"/>
  <c r="I37" i="9"/>
  <c r="E46" i="105"/>
  <c r="E80" i="63"/>
  <c r="E47" i="105"/>
  <c r="E81" i="63"/>
  <c r="J81" i="63"/>
  <c r="E43" i="106"/>
  <c r="E85" i="63"/>
  <c r="F48" i="9"/>
  <c r="F49" i="63"/>
  <c r="J49" i="63"/>
  <c r="H37" i="9"/>
  <c r="F47" i="8"/>
  <c r="F53" i="63"/>
  <c r="J53" i="63"/>
  <c r="F47" i="9"/>
  <c r="F48" i="63"/>
  <c r="J48" i="63"/>
  <c r="E47" i="108"/>
  <c r="E112" i="63"/>
  <c r="J112" i="63"/>
  <c r="E43" i="109"/>
  <c r="E116" i="63"/>
  <c r="J116" i="63"/>
  <c r="E46" i="108"/>
  <c r="E111" i="63"/>
  <c r="J111" i="63"/>
  <c r="I34" i="98"/>
  <c r="G47" i="98"/>
  <c r="G104" i="63"/>
  <c r="J104" i="63"/>
  <c r="I32" i="97"/>
  <c r="G34" i="97"/>
  <c r="I34" i="97"/>
  <c r="G47" i="97"/>
  <c r="G73" i="63"/>
  <c r="J73" i="63"/>
  <c r="F19" i="51"/>
  <c r="C46" i="111"/>
  <c r="C140" i="63"/>
  <c r="C43" i="112"/>
  <c r="C145" i="63"/>
  <c r="H11" i="112"/>
  <c r="E23" i="112"/>
  <c r="D27" i="112"/>
  <c r="D30" i="112"/>
  <c r="D32" i="112"/>
  <c r="I11" i="112"/>
  <c r="C43" i="113"/>
  <c r="C151" i="63"/>
  <c r="I10" i="112"/>
  <c r="H10" i="112"/>
  <c r="B23" i="112"/>
  <c r="I9" i="112"/>
  <c r="H9" i="112"/>
  <c r="J25" i="99"/>
  <c r="J14" i="99"/>
  <c r="G25" i="99"/>
  <c r="K51" i="104"/>
  <c r="D167" i="63"/>
  <c r="J167" i="63"/>
  <c r="B34" i="99"/>
  <c r="H17" i="107"/>
  <c r="E18" i="107"/>
  <c r="B21" i="107"/>
  <c r="H9" i="107"/>
  <c r="E12" i="107"/>
  <c r="C12" i="107"/>
  <c r="I16" i="107"/>
  <c r="I31" i="107"/>
  <c r="I9" i="107"/>
  <c r="I11" i="107"/>
  <c r="E28" i="107"/>
  <c r="I23" i="107"/>
  <c r="I27" i="107"/>
  <c r="B44" i="107"/>
  <c r="B92" i="63"/>
  <c r="I17" i="107"/>
  <c r="I20" i="107"/>
  <c r="I12" i="107"/>
  <c r="I14" i="107"/>
  <c r="I25" i="107"/>
  <c r="E23" i="107"/>
  <c r="E30" i="107"/>
  <c r="H30" i="107"/>
  <c r="I18" i="107"/>
  <c r="I10" i="107"/>
  <c r="E14" i="105"/>
  <c r="H14" i="105"/>
  <c r="C45" i="105"/>
  <c r="C79" i="63"/>
  <c r="I14" i="105"/>
  <c r="I13" i="105"/>
  <c r="J85" i="63"/>
  <c r="N15" i="57"/>
  <c r="P12" i="57"/>
  <c r="P15" i="57"/>
  <c r="H15" i="57"/>
  <c r="H18" i="57"/>
  <c r="C30" i="57"/>
  <c r="C38" i="57"/>
  <c r="B198" i="63"/>
  <c r="B197" i="63"/>
  <c r="O21" i="57"/>
  <c r="O28" i="57"/>
  <c r="R28" i="57"/>
  <c r="G21" i="57"/>
  <c r="G28" i="57"/>
  <c r="H19" i="57"/>
  <c r="H21" i="57"/>
  <c r="B21" i="57"/>
  <c r="B39" i="57"/>
  <c r="B199" i="63"/>
  <c r="J199" i="63"/>
  <c r="D19" i="57"/>
  <c r="D21" i="57"/>
  <c r="N17" i="57"/>
  <c r="L19" i="57"/>
  <c r="L21" i="57"/>
  <c r="K30" i="57"/>
  <c r="K38" i="57"/>
  <c r="D198" i="63"/>
  <c r="K37" i="57"/>
  <c r="D197" i="63"/>
  <c r="J110" i="63"/>
  <c r="F26" i="51"/>
  <c r="F35" i="51"/>
  <c r="D41" i="63"/>
  <c r="J41" i="63"/>
  <c r="F37" i="51"/>
  <c r="D43" i="112"/>
  <c r="D145" i="63"/>
  <c r="D46" i="111"/>
  <c r="D140" i="63"/>
  <c r="H23" i="112"/>
  <c r="E27" i="112"/>
  <c r="E43" i="113"/>
  <c r="E151" i="63"/>
  <c r="I23" i="112"/>
  <c r="B27" i="112"/>
  <c r="B43" i="113"/>
  <c r="B151" i="63"/>
  <c r="J151" i="63"/>
  <c r="K52" i="104"/>
  <c r="D168" i="63"/>
  <c r="J168" i="63"/>
  <c r="B47" i="99"/>
  <c r="B133" i="63"/>
  <c r="G32" i="99"/>
  <c r="I25" i="99"/>
  <c r="I30" i="107"/>
  <c r="H28" i="107"/>
  <c r="E32" i="107"/>
  <c r="H12" i="107"/>
  <c r="B42" i="107"/>
  <c r="B90" i="63"/>
  <c r="I28" i="107"/>
  <c r="H23" i="107"/>
  <c r="E43" i="107"/>
  <c r="E91" i="63"/>
  <c r="J91" i="63"/>
  <c r="C44" i="107"/>
  <c r="C92" i="63"/>
  <c r="C19" i="107"/>
  <c r="H18" i="107"/>
  <c r="E19" i="107"/>
  <c r="E21" i="105"/>
  <c r="E45" i="105"/>
  <c r="E79" i="63"/>
  <c r="J79" i="63"/>
  <c r="H21" i="105"/>
  <c r="O36" i="57"/>
  <c r="E196" i="63"/>
  <c r="J196" i="63"/>
  <c r="O37" i="57"/>
  <c r="E197" i="63" s="1"/>
  <c r="J197" i="63" s="1"/>
  <c r="N18" i="57"/>
  <c r="N19" i="57"/>
  <c r="P17" i="57"/>
  <c r="P18" i="57"/>
  <c r="G37" i="57"/>
  <c r="C197" i="63"/>
  <c r="G30" i="57"/>
  <c r="G38" i="57"/>
  <c r="C198" i="63"/>
  <c r="J198" i="63"/>
  <c r="H27" i="112"/>
  <c r="E30" i="112"/>
  <c r="I27" i="112"/>
  <c r="B30" i="112"/>
  <c r="G34" i="99"/>
  <c r="I32" i="99"/>
  <c r="J32" i="99"/>
  <c r="H19" i="107"/>
  <c r="E21" i="107"/>
  <c r="C21" i="107"/>
  <c r="I19" i="107"/>
  <c r="H32" i="107"/>
  <c r="E33" i="107"/>
  <c r="I32" i="107"/>
  <c r="I21" i="105"/>
  <c r="N21" i="57"/>
  <c r="P19" i="57"/>
  <c r="P21" i="57"/>
  <c r="I30" i="112"/>
  <c r="B32" i="112"/>
  <c r="H30" i="112"/>
  <c r="E32" i="112"/>
  <c r="E44" i="112"/>
  <c r="E146" i="63"/>
  <c r="J146" i="63"/>
  <c r="G47" i="99"/>
  <c r="G133" i="63"/>
  <c r="J133" i="63"/>
  <c r="I34" i="99"/>
  <c r="J34" i="99"/>
  <c r="H33" i="107"/>
  <c r="I33" i="107"/>
  <c r="E44" i="107"/>
  <c r="E92" i="63"/>
  <c r="J92" i="63"/>
  <c r="H21" i="107"/>
  <c r="E42" i="107"/>
  <c r="E90" i="63"/>
  <c r="C42" i="107"/>
  <c r="C90" i="63"/>
  <c r="I21" i="107"/>
  <c r="H32" i="112"/>
  <c r="E46" i="111"/>
  <c r="E140" i="63"/>
  <c r="E43" i="112"/>
  <c r="E145" i="63"/>
  <c r="I32" i="112"/>
  <c r="B43" i="112"/>
  <c r="B145" i="63"/>
  <c r="J145" i="63"/>
  <c r="B46" i="111"/>
  <c r="B140" i="63"/>
  <c r="J90" i="63"/>
  <c r="J140" i="63"/>
  <c r="C1" i="63" l="1"/>
</calcChain>
</file>

<file path=xl/sharedStrings.xml><?xml version="1.0" encoding="utf-8"?>
<sst xmlns="http://schemas.openxmlformats.org/spreadsheetml/2006/main" count="1489" uniqueCount="414">
  <si>
    <t>Total</t>
  </si>
  <si>
    <t>Cash and cash equivalents</t>
  </si>
  <si>
    <t>Inventories</t>
  </si>
  <si>
    <t>Total assets</t>
  </si>
  <si>
    <t>Total liabilities</t>
  </si>
  <si>
    <t>Expenses</t>
  </si>
  <si>
    <t>Balance Sheet</t>
  </si>
  <si>
    <t>Governmental Funds</t>
  </si>
  <si>
    <t>Total Governmental Funds</t>
  </si>
  <si>
    <t>Due to other funds</t>
  </si>
  <si>
    <t>Total fund balances</t>
  </si>
  <si>
    <t>Statement of Revenues, Expenditures, and Changes in Fund Balance</t>
  </si>
  <si>
    <t>General Fund</t>
  </si>
  <si>
    <t>Total revenues</t>
  </si>
  <si>
    <t>Debt service:</t>
  </si>
  <si>
    <t>Principal</t>
  </si>
  <si>
    <t>Interest and other charges</t>
  </si>
  <si>
    <t>Capital outlay</t>
  </si>
  <si>
    <t>Total expenditures</t>
  </si>
  <si>
    <t>Proprietary Funds</t>
  </si>
  <si>
    <t>Enterprise Funds</t>
  </si>
  <si>
    <t>Total current assets</t>
  </si>
  <si>
    <t>Total noncurrent assets</t>
  </si>
  <si>
    <t>Compensated absences</t>
  </si>
  <si>
    <t>Total current liabilities</t>
  </si>
  <si>
    <t>Total operating revenues</t>
  </si>
  <si>
    <t>Depreciation</t>
  </si>
  <si>
    <t>Operating income (loss)</t>
  </si>
  <si>
    <t>Total nonoperating revenue (expenses)</t>
  </si>
  <si>
    <t>Income (loss) before contributions and transfers</t>
  </si>
  <si>
    <t>Total other financing sources  (uses)</t>
  </si>
  <si>
    <t>Enterprise Funds:</t>
  </si>
  <si>
    <t>GASB 34 CALCULATION OF MAJOR FUNDS</t>
  </si>
  <si>
    <t>Type of Fund</t>
  </si>
  <si>
    <t>10% Rule</t>
  </si>
  <si>
    <t>5% Rule</t>
  </si>
  <si>
    <t>Revenue</t>
  </si>
  <si>
    <t>Columns, Then Fund is a Major Fund</t>
  </si>
  <si>
    <t>N/A</t>
  </si>
  <si>
    <t>YES, ALWAYS MAJOR</t>
  </si>
  <si>
    <t>10 % of Total Governmental Funds</t>
  </si>
  <si>
    <t>Total Enterprise Funds</t>
  </si>
  <si>
    <t>10% of Total Enterprise Funds</t>
  </si>
  <si>
    <t>Total Governmental &amp; Enterprise Funds</t>
  </si>
  <si>
    <t>5% of Total Governmental &amp; Enterprise Funds</t>
  </si>
  <si>
    <t>Accounts payable and accrued liabilities</t>
  </si>
  <si>
    <t>Due from other governments</t>
  </si>
  <si>
    <t>Actual</t>
  </si>
  <si>
    <t>Variance</t>
  </si>
  <si>
    <t xml:space="preserve"> </t>
  </si>
  <si>
    <t>Contracted services</t>
  </si>
  <si>
    <t>Capital outlay:</t>
  </si>
  <si>
    <t>Budget and Actual (Non - GAAP)</t>
  </si>
  <si>
    <t>Reconciling items:</t>
  </si>
  <si>
    <t>Statement of Cash Flows</t>
  </si>
  <si>
    <t>Cash paid for goods and services</t>
  </si>
  <si>
    <t>Net cash provided (used) by operating activities</t>
  </si>
  <si>
    <t>Net increase (decrease) in cash and cash equivalents</t>
  </si>
  <si>
    <t>Reconciliation of operating income to net cash provided by operating activities</t>
  </si>
  <si>
    <t>Operating income</t>
  </si>
  <si>
    <t>Increase (decrease) in accounts payable and accrued liabilities</t>
  </si>
  <si>
    <t xml:space="preserve">  Total operating expenses</t>
  </si>
  <si>
    <t>Statement of Activities</t>
  </si>
  <si>
    <t>Program Revenues</t>
  </si>
  <si>
    <t>Primary Government</t>
  </si>
  <si>
    <t>Functions/Programs</t>
  </si>
  <si>
    <t>Charges for Services</t>
  </si>
  <si>
    <t>Operating Grants and Contributions</t>
  </si>
  <si>
    <t>Capital Grants and Contributions</t>
  </si>
  <si>
    <t>Governmental Activities</t>
  </si>
  <si>
    <t>Business-type Activities</t>
  </si>
  <si>
    <t>Interest on long-term debt</t>
  </si>
  <si>
    <t>Total business-type activities</t>
  </si>
  <si>
    <t>Total primary government</t>
  </si>
  <si>
    <t>General revenues:</t>
  </si>
  <si>
    <t>Other capital assets, net of depreciation</t>
  </si>
  <si>
    <t>Total capital assets</t>
  </si>
  <si>
    <t>Due in more than one year</t>
  </si>
  <si>
    <t>Due from other funds</t>
  </si>
  <si>
    <t>Cash received from customers</t>
  </si>
  <si>
    <t>Accrued interest payable</t>
  </si>
  <si>
    <t>Amounts reported for governmental activities in the statement of activities are</t>
  </si>
  <si>
    <t>Some expenses reported in the statement of activities do not require the use of current financial resources and, therefore, are not reported as expenditures in governmental funds.</t>
  </si>
  <si>
    <t>Transfers from other funds</t>
  </si>
  <si>
    <t>Transfers to other funds</t>
  </si>
  <si>
    <t>Net changes in fund balances - total governmental funds</t>
  </si>
  <si>
    <t>Revenues in the statement of activities that do not provide current financial resources are not reported as revenues in the funds.</t>
  </si>
  <si>
    <t xml:space="preserve">  Amount of donated assets</t>
  </si>
  <si>
    <t>Receivables (net)</t>
  </si>
  <si>
    <t>Accounts payable and accrued expenses</t>
  </si>
  <si>
    <t>Accrued salaries and wages payable</t>
  </si>
  <si>
    <t>Other</t>
  </si>
  <si>
    <t>Non-programmed charges</t>
  </si>
  <si>
    <t>School food service</t>
  </si>
  <si>
    <t>Child care</t>
  </si>
  <si>
    <t>Miscellaneous, unrestricted</t>
  </si>
  <si>
    <t>Special Revenue Funds</t>
  </si>
  <si>
    <t>State of North Carolina</t>
  </si>
  <si>
    <t>Carolina County</t>
  </si>
  <si>
    <t>U.S. Government</t>
  </si>
  <si>
    <t>Contributions and donations</t>
  </si>
  <si>
    <t>State Public School Fund</t>
  </si>
  <si>
    <t>Food sales</t>
  </si>
  <si>
    <t>Purchase of food</t>
  </si>
  <si>
    <t>Donated commodities</t>
  </si>
  <si>
    <t>Salaries and benefits</t>
  </si>
  <si>
    <t>Indirect costs</t>
  </si>
  <si>
    <t>Materials and supplies</t>
  </si>
  <si>
    <t>Federal reimbursements</t>
  </si>
  <si>
    <t>Cash paid to employees for services</t>
  </si>
  <si>
    <t>Acquisition of capital assets</t>
  </si>
  <si>
    <t>Federal Grants Fund</t>
  </si>
  <si>
    <t>U. S. Government</t>
  </si>
  <si>
    <t>Budget and Actual (Non-GAAP)</t>
  </si>
  <si>
    <t>Operating expenditures:</t>
  </si>
  <si>
    <t>Child Care Fund</t>
  </si>
  <si>
    <t>Nonprogrammed charges</t>
  </si>
  <si>
    <t>Special Revenue Funds:</t>
  </si>
  <si>
    <t>Loss on disposal of assets</t>
  </si>
  <si>
    <t>Difference in accrued investment income and income reported in fund statements</t>
  </si>
  <si>
    <t>Difference in accrued interest payable and interest expensed on fund statements</t>
  </si>
  <si>
    <t>Total governmental activities</t>
  </si>
  <si>
    <t>Major Funds</t>
  </si>
  <si>
    <t>Non-major Fund</t>
  </si>
  <si>
    <t>Capital lease obligations issued</t>
  </si>
  <si>
    <t>Major Fund</t>
  </si>
  <si>
    <t>Total operating expenditures</t>
  </si>
  <si>
    <t>Change in fund balance due to change in reserve for inventory</t>
  </si>
  <si>
    <t>Investment earnings, unrestricted</t>
  </si>
  <si>
    <t>Prepaid items</t>
  </si>
  <si>
    <t>Due to other governments</t>
  </si>
  <si>
    <t>Cardinal Charter School</t>
  </si>
  <si>
    <t>Total Non-major Funds</t>
  </si>
  <si>
    <t>Club and Activity Fund</t>
  </si>
  <si>
    <t>School Food Service Fund</t>
  </si>
  <si>
    <t>Capital contributions</t>
  </si>
  <si>
    <t>Net cash (used) by capital and related financing activities</t>
  </si>
  <si>
    <t>Donations</t>
  </si>
  <si>
    <t>Total instructional programs</t>
  </si>
  <si>
    <t>Club and activity expenditures</t>
  </si>
  <si>
    <t xml:space="preserve">Unrestricted county appropriations </t>
  </si>
  <si>
    <t>Unrestricted State appropriations</t>
  </si>
  <si>
    <t>Total supporting services</t>
  </si>
  <si>
    <t>Instructional services</t>
  </si>
  <si>
    <t>Food purchase</t>
  </si>
  <si>
    <t>Total other financing sources</t>
  </si>
  <si>
    <t>Capital contribution</t>
  </si>
  <si>
    <t>Total long-term liabilities</t>
  </si>
  <si>
    <t>Note payable issued</t>
  </si>
  <si>
    <t>Schedule of Revenues, Expenditures, and</t>
  </si>
  <si>
    <t>Food service equipment</t>
  </si>
  <si>
    <t>Increase in accrued salaries</t>
  </si>
  <si>
    <t>Increase in due from other governments</t>
  </si>
  <si>
    <t>Increase in inventory</t>
  </si>
  <si>
    <t>Increase in accounts receivable</t>
  </si>
  <si>
    <t>System-wide support services</t>
  </si>
  <si>
    <t>Regular curricular services</t>
  </si>
  <si>
    <t>Special populations services</t>
  </si>
  <si>
    <t>Support and development services</t>
  </si>
  <si>
    <t xml:space="preserve">  </t>
  </si>
  <si>
    <t>Assigned:</t>
  </si>
  <si>
    <t>Clubs and Activities</t>
  </si>
  <si>
    <t xml:space="preserve">Unrestricted </t>
  </si>
  <si>
    <t>Unrestricted</t>
  </si>
  <si>
    <t>Increase (decrease) in salaries and wages payable</t>
  </si>
  <si>
    <t>Statement of Net Position</t>
  </si>
  <si>
    <t>Net investment in capital assets</t>
  </si>
  <si>
    <t>Total net position</t>
  </si>
  <si>
    <t>Internal balances</t>
  </si>
  <si>
    <t>Net (Expense) Revenue and Changes in Net Position</t>
  </si>
  <si>
    <t>Change in net position</t>
  </si>
  <si>
    <t>Amounts reported for governmental activities in the statement of net position (Exhibit 1) are different because:</t>
  </si>
  <si>
    <t>Net position of governmental activities</t>
  </si>
  <si>
    <t>Statement of Revenues, Expenses, and Changes in Fund Net Position</t>
  </si>
  <si>
    <t>Change in net position (full accrual)</t>
  </si>
  <si>
    <t>Assets and Deferred Outflows of Resources</t>
  </si>
  <si>
    <t xml:space="preserve">Expenditures/Expenses </t>
  </si>
  <si>
    <t>Liabilities and and Deferred Inflows of Resources</t>
  </si>
  <si>
    <t>Liabilities for earned but unavailable revenues in fund statements.</t>
  </si>
  <si>
    <t>The issuance of long-term debt provides current financial resources to governmental funds, while the repayment of the principal of long-term debt consumes the current financial resources of governmental funds.  Neither transaction has any effect on net position.  Also, governmental funds report the effect of premiums, discounts and prepaid insurance when debt is first issued, whereas these amounts are deferred and amortized in the statement of activities.  This amount is the net effect of these differences in the treatment of long-term debt and related items.</t>
  </si>
  <si>
    <t>The notes to the financial statements are an integral part of this statement.</t>
  </si>
  <si>
    <t xml:space="preserve">Unrestricted federal appropriations </t>
  </si>
  <si>
    <t>Land and construction in progress</t>
  </si>
  <si>
    <t>Unearned revenue</t>
  </si>
  <si>
    <t>Assets + Deferred Inflows = Liabilities - Deferred Outflows - Net Position</t>
  </si>
  <si>
    <t xml:space="preserve">Net Position:  Statement of Net Position and Statement of Activities Agree? </t>
  </si>
  <si>
    <t>Assets + Deferred Inflows = Liabilities - Deferred Outflows - Fund Balance</t>
  </si>
  <si>
    <t>Ending Fund Balance:  Balance Sheet = Statement of Revenues, Expenses and Fund Balance</t>
  </si>
  <si>
    <t>Net Position of Government Activities = Statement of Net Position</t>
  </si>
  <si>
    <t>Foundation Fund</t>
  </si>
  <si>
    <t>Excess (deficiency) of revenues over (under) expenditures</t>
  </si>
  <si>
    <t>Fund balances, beginning</t>
  </si>
  <si>
    <t>Net position, beginning</t>
  </si>
  <si>
    <t>Net position, ending</t>
  </si>
  <si>
    <t>Fund balances, ending</t>
  </si>
  <si>
    <t>Net change in fund balances</t>
  </si>
  <si>
    <t>Financial and human resource services</t>
  </si>
  <si>
    <t>Capital assets used in governmental activities are not financial resources and therefore are not reported in the governmental funds.</t>
  </si>
  <si>
    <t>Total liabilities, deferred inflows of resources and fund balances</t>
  </si>
  <si>
    <t>Capital assets, net of depreciation:</t>
  </si>
  <si>
    <t>Furniture and office equipment</t>
  </si>
  <si>
    <t>Computer equipment</t>
  </si>
  <si>
    <t xml:space="preserve">Notes and bonds payable </t>
  </si>
  <si>
    <t>Receivables, net</t>
  </si>
  <si>
    <t xml:space="preserve">Total Adjustment for Notes Table I.E.9a.   =  </t>
  </si>
  <si>
    <t xml:space="preserve">Total Adjustment for Notes Table I.E.9.b.   =  </t>
  </si>
  <si>
    <t>Net Position:  Calculated Change in Net Position = Actual Change?</t>
  </si>
  <si>
    <t>Net Position of Business-Type Activities = Statement of Net Position</t>
  </si>
  <si>
    <t>Ending Net Position Balance Sheet = Statement of Revenues, Expenses and Changes in Fund Net Position</t>
  </si>
  <si>
    <t>Total net position, beginning</t>
  </si>
  <si>
    <t>Total net position, ending</t>
  </si>
  <si>
    <t>Total adjustments</t>
  </si>
  <si>
    <t xml:space="preserve">Cash and cash equivalents, beginning </t>
  </si>
  <si>
    <t xml:space="preserve">Cash and cash equivalents, ending </t>
  </si>
  <si>
    <t>Cash on balance sheet = cash on cash flow stmt?</t>
  </si>
  <si>
    <t>Operating income on income statement = operating income on cash flow stmt?</t>
  </si>
  <si>
    <t>Total outlay for capital assets at cost</t>
  </si>
  <si>
    <t>Less:  depreciation expense</t>
  </si>
  <si>
    <t>Long-term debt issued</t>
  </si>
  <si>
    <t>Long-term debt repayments</t>
  </si>
  <si>
    <t>Statement of Revenues, Expenses and Changes in Fund Net Position</t>
  </si>
  <si>
    <t>Statement of Revenues, Expenditures and Changes in Fund Balance</t>
  </si>
  <si>
    <t>Total other financing sources (uses)</t>
  </si>
  <si>
    <t>Owl Charter, Inc.</t>
  </si>
  <si>
    <t>All answers must be "Yes"</t>
  </si>
  <si>
    <t>Unused</t>
  </si>
  <si>
    <t>Donations, general</t>
  </si>
  <si>
    <t>Assets</t>
  </si>
  <si>
    <t>Liabilities</t>
  </si>
  <si>
    <t>Deferred inflows of resources</t>
  </si>
  <si>
    <t>Net position</t>
  </si>
  <si>
    <t>Total general revenues</t>
  </si>
  <si>
    <t>Net Position</t>
  </si>
  <si>
    <t>Revenues</t>
  </si>
  <si>
    <t>Expenditures</t>
  </si>
  <si>
    <t>Other Financing Sources (Uses)</t>
  </si>
  <si>
    <t>Student Activities Fund</t>
  </si>
  <si>
    <t>Other Financing Sources</t>
  </si>
  <si>
    <t>Administrative expenses</t>
  </si>
  <si>
    <t>Fund balances</t>
  </si>
  <si>
    <t>Government Wide</t>
  </si>
  <si>
    <t>Exhibit 5</t>
  </si>
  <si>
    <t>Governmental funds report capital outlays as expenditures. However, in the Statement of Activities the cost of those assets is allocated over their estimated useful lives and reported as depreciation expense.  This is the amount by which capital outlays exceeded depreciation in the current period.</t>
  </si>
  <si>
    <t>Interest payable</t>
  </si>
  <si>
    <t>Interest expense</t>
  </si>
  <si>
    <t xml:space="preserve">Expected changes in net position of governmental activities  </t>
  </si>
  <si>
    <t xml:space="preserve">Net Position:  Calculated Change in Net Position = Actual Change?  </t>
  </si>
  <si>
    <t>Unassigned</t>
  </si>
  <si>
    <t>Final Budget</t>
  </si>
  <si>
    <t>Schedule of Revenues, Expenditures and Changes in Fund Balance</t>
  </si>
  <si>
    <t>Favorable (Unfavorable)</t>
  </si>
  <si>
    <t>Budget and Actual</t>
  </si>
  <si>
    <t>Change in Fund Balance:  Change by Fund = Budget to Actual for Fund</t>
  </si>
  <si>
    <t>Total Revenue for School = Total Revenue above</t>
  </si>
  <si>
    <t>Fund balance, beginning</t>
  </si>
  <si>
    <t>Fund balance, ending</t>
  </si>
  <si>
    <t xml:space="preserve">  Excess of revenues and other sources over expenditures</t>
  </si>
  <si>
    <t>Operating revenues</t>
  </si>
  <si>
    <t>Actual = Exhibit 7?</t>
  </si>
  <si>
    <t>Operating Revenues</t>
  </si>
  <si>
    <t>Operating Expenses</t>
  </si>
  <si>
    <t>Nonoperating Revenues (Expenses)</t>
  </si>
  <si>
    <t>Cash Flows from Operating Activities</t>
  </si>
  <si>
    <t>Cash Flows from Noncapital Financing Activities</t>
  </si>
  <si>
    <t>Cash Flows from Capital and Related Financing Activities</t>
  </si>
  <si>
    <t>Cash flow from operating activities = reconciliation amount?</t>
  </si>
  <si>
    <t>Combined</t>
  </si>
  <si>
    <t>Reconciliation from budgetary basis (modified accrual) to full accrual:</t>
  </si>
  <si>
    <t>Operating revenues:</t>
  </si>
  <si>
    <t>Change in Net Position = Exhibit 7</t>
  </si>
  <si>
    <t>Ending Fund Balance Schedule 4 = Budget to Actual for Fund</t>
  </si>
  <si>
    <t>(This Page Left Blank Intentionally.)</t>
  </si>
  <si>
    <t>Not displayed -- for calculation only</t>
  </si>
  <si>
    <t>Governmental Fund - General Fund</t>
  </si>
  <si>
    <t>County and Other Fund</t>
  </si>
  <si>
    <t>Federal Grants Funds</t>
  </si>
  <si>
    <t>Student Activities Funds</t>
  </si>
  <si>
    <t>State Public School Funds</t>
  </si>
  <si>
    <t>Student Activities</t>
  </si>
  <si>
    <t>Total Fund Balance:  Balance Sheet = Income Statement Ending Amount</t>
  </si>
  <si>
    <t>Current</t>
  </si>
  <si>
    <t>Debt service</t>
  </si>
  <si>
    <t>Data summarized from books of Owl Charter, Inc.</t>
  </si>
  <si>
    <t>Ending Balance = Balance Sheet ?</t>
  </si>
  <si>
    <t>School Food Service Funds</t>
  </si>
  <si>
    <t>Change in Net Position = Change on Government Wide</t>
  </si>
  <si>
    <r>
      <rPr>
        <b/>
        <sz val="12"/>
        <rFont val="Arial"/>
        <family val="2"/>
      </rPr>
      <t>Note to preparer</t>
    </r>
    <r>
      <rPr>
        <sz val="12"/>
        <rFont val="Arial"/>
        <family val="2"/>
      </rPr>
      <t xml:space="preserve">:  Units that choose to aggregate deferred outflows and deferred inflows on the face of the statements should itemize components in the notes.  </t>
    </r>
  </si>
  <si>
    <r>
      <t xml:space="preserve">Note:  </t>
    </r>
    <r>
      <rPr>
        <u/>
        <sz val="12"/>
        <rFont val="Arial"/>
        <family val="2"/>
      </rPr>
      <t>Only</t>
    </r>
    <r>
      <rPr>
        <sz val="12"/>
        <rFont val="Arial"/>
        <family val="2"/>
      </rPr>
      <t xml:space="preserve"> Owl - Apex received federal grant funds.</t>
    </r>
  </si>
  <si>
    <r>
      <t xml:space="preserve">Note:  </t>
    </r>
    <r>
      <rPr>
        <u/>
        <sz val="12"/>
        <rFont val="Arial"/>
        <family val="2"/>
      </rPr>
      <t>Only</t>
    </r>
    <r>
      <rPr>
        <sz val="12"/>
        <rFont val="Arial"/>
        <family val="2"/>
      </rPr>
      <t xml:space="preserve"> Owl - Cary received student activities funds.</t>
    </r>
  </si>
  <si>
    <t>Cash on Gov Wide  = Cash Detail in Funds?</t>
  </si>
  <si>
    <t>Net position above agrees to government-wide statement?</t>
  </si>
  <si>
    <t>Agrees to Govt Wide?</t>
  </si>
  <si>
    <r>
      <rPr>
        <b/>
        <sz val="12"/>
        <rFont val="Arial"/>
        <family val="2"/>
      </rPr>
      <t>Note:</t>
    </r>
    <r>
      <rPr>
        <sz val="12"/>
        <rFont val="Arial"/>
        <family val="2"/>
      </rPr>
      <t xml:space="preserve"> This represents the budget for the General Fund of the </t>
    </r>
    <r>
      <rPr>
        <u/>
        <sz val="12"/>
        <rFont val="Arial"/>
        <family val="2"/>
      </rPr>
      <t>nonprofit corporation</t>
    </r>
    <r>
      <rPr>
        <sz val="12"/>
        <rFont val="Arial"/>
        <family val="2"/>
      </rPr>
      <t>.</t>
    </r>
  </si>
  <si>
    <t>Change in Fund Balance for school = Change in Fund Balance above</t>
  </si>
  <si>
    <t>Total Expenditures for School = Total Expenditures above</t>
  </si>
  <si>
    <t>Change in Fund Balance for Fund = Budget to Actual for Fund</t>
  </si>
  <si>
    <t>Agrees to detail</t>
  </si>
  <si>
    <t>Budget to Actual</t>
  </si>
  <si>
    <t>Nonprofit - General Fund</t>
  </si>
  <si>
    <r>
      <t xml:space="preserve">Note to Preparer:  </t>
    </r>
    <r>
      <rPr>
        <sz val="12"/>
        <color indexed="8"/>
        <rFont val="Arial"/>
        <family val="2"/>
      </rPr>
      <t>Under GASB Statement No. 54 any fund balance in this example would be classified as restricted since only revenue source restricts use of funds for specific purposes.  For purposes of this illustration, only one of the three schools, Owl - Apex, received any federal grant funds.</t>
    </r>
  </si>
  <si>
    <t>Not displayed -- for information only</t>
  </si>
  <si>
    <t>NA</t>
  </si>
  <si>
    <t>Change in net position crossfoots?</t>
  </si>
  <si>
    <t>Net change in fund balance</t>
  </si>
  <si>
    <t>Special population support and development services</t>
  </si>
  <si>
    <t>Budget Balanced?</t>
  </si>
  <si>
    <t>Balanced budget?</t>
  </si>
  <si>
    <t>Operating expenditures</t>
  </si>
  <si>
    <t>Ending Net Position Schedule 7 = Budget to Actual for Fund</t>
  </si>
  <si>
    <t>Nonoperating revenues (expenses)</t>
  </si>
  <si>
    <t>Operating Income (Loss)</t>
  </si>
  <si>
    <t>Investment earnings</t>
  </si>
  <si>
    <t>Food Service Fund</t>
  </si>
  <si>
    <t>Equipment</t>
  </si>
  <si>
    <t>Capital Outlay</t>
  </si>
  <si>
    <t>Business-type activities: change in net position = Exh. 7?</t>
  </si>
  <si>
    <t>Agrees to Govt-wide?</t>
  </si>
  <si>
    <t>Business-type activities:  net position, ending = Exh. 7?</t>
  </si>
  <si>
    <t>School food service fund</t>
  </si>
  <si>
    <t>Summary for government-wide</t>
  </si>
  <si>
    <t xml:space="preserve">Agrees to </t>
  </si>
  <si>
    <t>Detail</t>
  </si>
  <si>
    <t>Change in Net Position</t>
  </si>
  <si>
    <t>Business-type activities: Expenses and revenues agree to Exh.7?:</t>
  </si>
  <si>
    <t>Agrees to Exh. 3</t>
  </si>
  <si>
    <t>Agrees to Exh. 4</t>
  </si>
  <si>
    <t>Current assets</t>
  </si>
  <si>
    <t>Noncurrent assets</t>
  </si>
  <si>
    <t>Current liabilities</t>
  </si>
  <si>
    <t>Long-term liabilities</t>
  </si>
  <si>
    <t>Food cost</t>
  </si>
  <si>
    <t>Changes in assets and liabilities</t>
  </si>
  <si>
    <t>Adjustments to reconcile operating income to net cash provided by operating activities</t>
  </si>
  <si>
    <r>
      <rPr>
        <b/>
        <sz val="12"/>
        <rFont val="Arial"/>
        <family val="2"/>
      </rPr>
      <t>For MD&amp;A</t>
    </r>
    <r>
      <rPr>
        <sz val="12"/>
        <rFont val="Arial"/>
        <family val="2"/>
      </rPr>
      <t>, % change in fund balance</t>
    </r>
  </si>
  <si>
    <t>Primary government</t>
  </si>
  <si>
    <t>Business-type activities</t>
  </si>
  <si>
    <t>Assigned</t>
  </si>
  <si>
    <t>Nonspendable</t>
  </si>
  <si>
    <t>different because</t>
  </si>
  <si>
    <t>Agrees to Exhibit 6 Total</t>
  </si>
  <si>
    <t>Change in Net Position = Change in Net Position on Exh. 7</t>
  </si>
  <si>
    <t>Special Revenue Funds - Subfunds</t>
  </si>
  <si>
    <t>County and Other</t>
  </si>
  <si>
    <t>State Public School</t>
  </si>
  <si>
    <t>Federal Grants</t>
  </si>
  <si>
    <t>Fund Total</t>
  </si>
  <si>
    <t>School Resources by Governmental Subfund</t>
  </si>
  <si>
    <t>School Net Position by Proprietary Subfund</t>
  </si>
  <si>
    <t>School Revenues, Expenditures and Changes in Governmental Subfund Balances</t>
  </si>
  <si>
    <t>School Revenues, Expenses and Changes in Subfund Net Position</t>
  </si>
  <si>
    <t>Enterprise Activities</t>
  </si>
  <si>
    <t>School Food Service</t>
  </si>
  <si>
    <t>School Statement of Cash Flows by Proprietary Subfund</t>
  </si>
  <si>
    <t>Major Special Revenue Funds</t>
  </si>
  <si>
    <t>Major Enterprise Funds</t>
  </si>
  <si>
    <t>(Increase) in due from other governments</t>
  </si>
  <si>
    <t>(Increase) in accounts receivable</t>
  </si>
  <si>
    <t>(Increase) in inventory</t>
  </si>
  <si>
    <t>Accounts Receivable (net)</t>
  </si>
  <si>
    <t>Inventory</t>
  </si>
  <si>
    <t>(Decrease) in accounts payable and accrued liabilities</t>
  </si>
  <si>
    <t>Special Revenue Subfund - County and Other</t>
  </si>
  <si>
    <t>Special Revenue Subfund - State Public School</t>
  </si>
  <si>
    <t>Special Revenue Subfund - Federal Grants</t>
  </si>
  <si>
    <t>Schedule of Revenues, Expenditures and Changes in Subfund Balance</t>
  </si>
  <si>
    <t>Changes in Subfund Balance - Budget and Actual</t>
  </si>
  <si>
    <t>Special Revenue Subfund - Student Activities</t>
  </si>
  <si>
    <t>Schedule of Subfund Revenues and Expenditures</t>
  </si>
  <si>
    <t>Owl - Doceo</t>
  </si>
  <si>
    <t>Owl - Erudio</t>
  </si>
  <si>
    <t>Owl - Discite</t>
  </si>
  <si>
    <t>Unrestricted net position</t>
  </si>
  <si>
    <t>School Food Service - All Schools</t>
  </si>
  <si>
    <t>Fund - Total</t>
  </si>
  <si>
    <r>
      <t>Computes "</t>
    </r>
    <r>
      <rPr>
        <b/>
        <sz val="8"/>
        <rFont val="Arial"/>
        <family val="2"/>
      </rPr>
      <t>X</t>
    </r>
    <r>
      <rPr>
        <sz val="8"/>
        <rFont val="Arial"/>
        <family val="2"/>
      </rPr>
      <t>" if Meets</t>
    </r>
  </si>
  <si>
    <r>
      <t>Computes "</t>
    </r>
    <r>
      <rPr>
        <b/>
        <sz val="8"/>
        <rFont val="Arial"/>
        <family val="2"/>
      </rPr>
      <t>MAJOR</t>
    </r>
    <r>
      <rPr>
        <sz val="8"/>
        <rFont val="Arial"/>
        <family val="2"/>
      </rPr>
      <t>" if Fund is Major</t>
    </r>
  </si>
  <si>
    <r>
      <t>If a "Category" Has an "</t>
    </r>
    <r>
      <rPr>
        <b/>
        <sz val="8"/>
        <rFont val="Arial"/>
        <family val="2"/>
      </rPr>
      <t>X</t>
    </r>
    <r>
      <rPr>
        <sz val="8"/>
        <rFont val="Arial"/>
        <family val="2"/>
      </rPr>
      <t>" in Both</t>
    </r>
  </si>
  <si>
    <t xml:space="preserve">Reconciliation of the Statement of Revenues, Expenditures and </t>
  </si>
  <si>
    <t>Changes in Fund Balance of the Governmental Funds to the Statement of Activities</t>
  </si>
  <si>
    <t>Current portion of long-term liabilities</t>
  </si>
  <si>
    <t>Capital assets (Note 1)</t>
  </si>
  <si>
    <t>Some liabilities, including bonds payable and accrued interest, are not due and payable in the current period and therefore are not reported in the funds (Note III.B.5).</t>
  </si>
  <si>
    <r>
      <rPr>
        <b/>
        <sz val="12"/>
        <rFont val="Arial"/>
        <family val="2"/>
      </rPr>
      <t>Note</t>
    </r>
    <r>
      <rPr>
        <sz val="12"/>
        <rFont val="Arial"/>
        <family val="2"/>
      </rPr>
      <t xml:space="preserve"> that accrued liabilities includes interest payable on short-term note of Erudio shown  as line item on Exh 1</t>
    </r>
  </si>
  <si>
    <t>Total changes in net position of governmental activities  (Exhibit 2)</t>
  </si>
  <si>
    <t>Net Capital Assets = Net Investment in Capital Assets (if no related debt)</t>
  </si>
  <si>
    <t>Depreciation Expense = Income Statement amount.</t>
  </si>
  <si>
    <t>Doceo</t>
  </si>
  <si>
    <t>Erudio</t>
  </si>
  <si>
    <t>Discite</t>
  </si>
  <si>
    <t>Latin definition</t>
  </si>
  <si>
    <t>Agrees to Exh. 3?</t>
  </si>
  <si>
    <t>Hide Row?</t>
  </si>
  <si>
    <r>
      <rPr>
        <b/>
        <sz val="12"/>
        <color indexed="10"/>
        <rFont val="Arial"/>
        <family val="2"/>
      </rPr>
      <t>Note:</t>
    </r>
    <r>
      <rPr>
        <sz val="12"/>
        <rFont val="Arial"/>
        <family val="2"/>
      </rPr>
      <t xml:space="preserve">  When hiding an unused row </t>
    </r>
    <r>
      <rPr>
        <u/>
        <sz val="12"/>
        <rFont val="Arial"/>
        <family val="2"/>
      </rPr>
      <t>immediately</t>
    </r>
    <r>
      <rPr>
        <sz val="12"/>
        <rFont val="Arial"/>
        <family val="2"/>
      </rPr>
      <t xml:space="preserve"> above a subtotal or total, the row underlining will need to be adjusted.  Hide unused column too.</t>
    </r>
  </si>
  <si>
    <t>To teach</t>
  </si>
  <si>
    <t>To educate</t>
  </si>
  <si>
    <t>School Names</t>
  </si>
  <si>
    <t>To learn</t>
  </si>
  <si>
    <t>Owl - Doceo and Owl - Erudio did not have a student activities fund.</t>
  </si>
  <si>
    <t>Owl - Erudio and Owl - Discite did not receive Federal grants.</t>
  </si>
  <si>
    <r>
      <t xml:space="preserve">Note:  </t>
    </r>
    <r>
      <rPr>
        <sz val="12"/>
        <rFont val="Arial"/>
        <family val="2"/>
      </rPr>
      <t xml:space="preserve">Owl - Discite does </t>
    </r>
    <r>
      <rPr>
        <u/>
        <sz val="12"/>
        <rFont val="Arial"/>
        <family val="2"/>
      </rPr>
      <t>not</t>
    </r>
    <r>
      <rPr>
        <sz val="12"/>
        <rFont val="Arial"/>
        <family val="2"/>
      </rPr>
      <t xml:space="preserve"> provide child care services.</t>
    </r>
  </si>
  <si>
    <t>Cross-reference review:</t>
  </si>
  <si>
    <t>Agrees to Exh. 6?</t>
  </si>
  <si>
    <t>Agrees to Exh. 7?</t>
  </si>
  <si>
    <t>Agrees to Exh. 8?</t>
  </si>
  <si>
    <t>June 30, 2020</t>
  </si>
  <si>
    <t>For the Year Ended June 30, 2020</t>
  </si>
  <si>
    <r>
      <t xml:space="preserve">Note:  </t>
    </r>
    <r>
      <rPr>
        <sz val="12"/>
        <rFont val="Arial"/>
        <family val="2"/>
      </rPr>
      <t xml:space="preserve">Owl - Discite does </t>
    </r>
    <r>
      <rPr>
        <u/>
        <sz val="12"/>
        <rFont val="Arial"/>
        <family val="2"/>
      </rPr>
      <t>not</t>
    </r>
    <r>
      <rPr>
        <sz val="12"/>
        <rFont val="Arial"/>
        <family val="2"/>
      </rPr>
      <t xml:space="preserve"> provide childcare services.</t>
    </r>
  </si>
  <si>
    <t>Childcare Fund</t>
  </si>
  <si>
    <t>Childcare</t>
  </si>
  <si>
    <t>Childcare - All Schools</t>
  </si>
  <si>
    <t>Total net position - childcare</t>
  </si>
  <si>
    <t>Childcare fund</t>
  </si>
  <si>
    <t>Childcare fees</t>
  </si>
  <si>
    <t>Unassigned Fund Balance as %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</si>
</sst>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38" x14ac:knownFonts="1">
    <font>
      <sz val="10"/>
      <name val="Arial"/>
    </font>
    <font>
      <sz val="10"/>
      <name val="Arial"/>
    </font>
    <font>
      <b/>
      <sz val="10"/>
      <name val="Arial"/>
      <family val="2"/>
    </font>
    <font>
      <sz val="10"/>
      <name val="Arial"/>
      <family val="2"/>
    </font>
    <font>
      <sz val="8"/>
      <name val="Arial"/>
      <family val="2"/>
    </font>
    <font>
      <sz val="9"/>
      <name val="Century Schoolbook"/>
      <family val="1"/>
    </font>
    <font>
      <sz val="10"/>
      <color indexed="10"/>
      <name val="Arial"/>
      <family val="2"/>
    </font>
    <font>
      <sz val="9"/>
      <name val="Times New Roman"/>
      <family val="1"/>
    </font>
    <font>
      <b/>
      <sz val="12"/>
      <name val="Times New Roman"/>
      <family val="1"/>
    </font>
    <font>
      <sz val="12"/>
      <name val="Times New Roman"/>
      <family val="1"/>
    </font>
    <font>
      <sz val="12"/>
      <color indexed="10"/>
      <name val="Times New Roman"/>
      <family val="1"/>
    </font>
    <font>
      <sz val="8"/>
      <name val="Times New Roman"/>
      <family val="1"/>
    </font>
    <font>
      <sz val="11"/>
      <name val="Arial"/>
      <family val="2"/>
    </font>
    <font>
      <sz val="12"/>
      <name val="Arial"/>
      <family val="2"/>
    </font>
    <font>
      <b/>
      <sz val="12"/>
      <name val="Arial"/>
      <family val="2"/>
    </font>
    <font>
      <u val="singleAccounting"/>
      <sz val="12"/>
      <name val="Arial"/>
      <family val="2"/>
    </font>
    <font>
      <u val="doubleAccounting"/>
      <sz val="12"/>
      <name val="Arial"/>
      <family val="2"/>
    </font>
    <font>
      <sz val="12"/>
      <color indexed="10"/>
      <name val="Arial"/>
      <family val="2"/>
    </font>
    <font>
      <u/>
      <sz val="12"/>
      <name val="Arial"/>
      <family val="2"/>
    </font>
    <font>
      <b/>
      <u/>
      <sz val="12"/>
      <name val="Arial"/>
      <family val="2"/>
    </font>
    <font>
      <u val="singleAccounting"/>
      <sz val="11"/>
      <name val="Arial"/>
      <family val="2"/>
    </font>
    <font>
      <u val="singleAccounting"/>
      <sz val="10"/>
      <name val="Arial"/>
      <family val="2"/>
    </font>
    <font>
      <vertAlign val="superscript"/>
      <sz val="12"/>
      <name val="Arial"/>
      <family val="2"/>
    </font>
    <font>
      <b/>
      <u val="singleAccounting"/>
      <sz val="12"/>
      <name val="Arial"/>
      <family val="2"/>
    </font>
    <font>
      <b/>
      <sz val="12"/>
      <color indexed="8"/>
      <name val="Arial"/>
      <family val="2"/>
    </font>
    <font>
      <sz val="12"/>
      <color indexed="8"/>
      <name val="Arial"/>
      <family val="2"/>
    </font>
    <font>
      <sz val="9"/>
      <name val="Arial"/>
      <family val="2"/>
    </font>
    <font>
      <u val="singleAccounting"/>
      <sz val="12"/>
      <name val="Times New Roman"/>
      <family val="1"/>
    </font>
    <font>
      <u/>
      <sz val="8"/>
      <name val="Arial"/>
      <family val="2"/>
    </font>
    <font>
      <u/>
      <sz val="10"/>
      <name val="Arial"/>
      <family val="2"/>
    </font>
    <font>
      <b/>
      <sz val="8"/>
      <name val="Arial"/>
      <family val="2"/>
    </font>
    <font>
      <b/>
      <sz val="12"/>
      <color indexed="10"/>
      <name val="Arial"/>
      <family val="2"/>
    </font>
    <font>
      <b/>
      <sz val="12"/>
      <color rgb="FFFF0000"/>
      <name val="Arial"/>
      <family val="2"/>
    </font>
    <font>
      <b/>
      <sz val="12"/>
      <color rgb="FF0070C0"/>
      <name val="Arial"/>
      <family val="2"/>
    </font>
    <font>
      <sz val="12"/>
      <color theme="1"/>
      <name val="Arial"/>
      <family val="2"/>
    </font>
    <font>
      <b/>
      <sz val="12"/>
      <color theme="3"/>
      <name val="Arial"/>
      <family val="2"/>
    </font>
    <font>
      <sz val="12"/>
      <color rgb="FFFF0000"/>
      <name val="Arial"/>
      <family val="2"/>
    </font>
    <font>
      <u val="singleAccounting"/>
      <sz val="12"/>
      <color theme="1"/>
      <name val="Arial"/>
      <family val="2"/>
    </font>
  </fonts>
  <fills count="12">
    <fill>
      <patternFill patternType="none"/>
    </fill>
    <fill>
      <patternFill patternType="gray125"/>
    </fill>
    <fill>
      <patternFill patternType="solid">
        <fgColor theme="7" tint="0.59996337778862885"/>
        <bgColor indexed="64"/>
      </patternFill>
    </fill>
    <fill>
      <patternFill patternType="solid">
        <fgColor theme="6" tint="0.599963377788628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8" tint="0.59996337778862885"/>
        <bgColor indexed="64"/>
      </patternFill>
    </fill>
    <fill>
      <patternFill patternType="solid">
        <fgColor rgb="FFFFFFCC"/>
        <bgColor indexed="64"/>
      </patternFill>
    </fill>
    <fill>
      <patternFill patternType="solid">
        <fgColor rgb="FFCCFFFF"/>
        <bgColor indexed="64"/>
      </patternFill>
    </fill>
  </fills>
  <borders count="21">
    <border>
      <left/>
      <right/>
      <top/>
      <bottom/>
      <diagonal/>
    </border>
    <border>
      <left/>
      <right/>
      <top/>
      <bottom style="thin">
        <color indexed="64"/>
      </bottom>
      <diagonal/>
    </border>
    <border>
      <left/>
      <right/>
      <top/>
      <bottom style="double">
        <color indexed="8"/>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0">
    <xf numFmtId="0" fontId="0" fillId="0" borderId="0"/>
    <xf numFmtId="43" fontId="1"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5" fillId="0" borderId="0"/>
    <xf numFmtId="9" fontId="1" fillId="0" borderId="0" applyFont="0" applyFill="0" applyBorder="0" applyAlignment="0" applyProtection="0"/>
    <xf numFmtId="9" fontId="3" fillId="0" borderId="0" applyFont="0" applyFill="0" applyBorder="0" applyAlignment="0" applyProtection="0"/>
  </cellStyleXfs>
  <cellXfs count="426">
    <xf numFmtId="0" fontId="0" fillId="0" borderId="0" xfId="0"/>
    <xf numFmtId="37" fontId="4" fillId="0" borderId="0" xfId="0" applyNumberFormat="1" applyFont="1"/>
    <xf numFmtId="0" fontId="6" fillId="0" borderId="0" xfId="0" applyFont="1"/>
    <xf numFmtId="165" fontId="3" fillId="0" borderId="0" xfId="1" applyNumberFormat="1" applyFont="1"/>
    <xf numFmtId="0" fontId="3" fillId="0" borderId="0" xfId="0" applyFont="1"/>
    <xf numFmtId="165" fontId="7" fillId="0" borderId="0" xfId="1" applyNumberFormat="1" applyFont="1"/>
    <xf numFmtId="0" fontId="7" fillId="0" borderId="0" xfId="0" applyFont="1"/>
    <xf numFmtId="0" fontId="0" fillId="0" borderId="0" xfId="0" applyFill="1"/>
    <xf numFmtId="0" fontId="3" fillId="0" borderId="0" xfId="47" applyFont="1"/>
    <xf numFmtId="0" fontId="2" fillId="0" borderId="0" xfId="47" applyFont="1"/>
    <xf numFmtId="0" fontId="9" fillId="0" borderId="0" xfId="0" applyFont="1" applyFill="1"/>
    <xf numFmtId="0" fontId="9" fillId="0" borderId="0" xfId="0" applyFont="1"/>
    <xf numFmtId="0" fontId="8" fillId="0" borderId="0" xfId="0" applyFont="1" applyAlignment="1">
      <alignment horizontal="center"/>
    </xf>
    <xf numFmtId="165" fontId="9" fillId="0" borderId="0" xfId="1" applyNumberFormat="1" applyFont="1"/>
    <xf numFmtId="0" fontId="10" fillId="0" borderId="0" xfId="0" applyFont="1"/>
    <xf numFmtId="0" fontId="8" fillId="0" borderId="0" xfId="0" applyFont="1" applyAlignment="1">
      <alignment horizontal="left"/>
    </xf>
    <xf numFmtId="0" fontId="9" fillId="0" borderId="0" xfId="47" applyFont="1"/>
    <xf numFmtId="37" fontId="11" fillId="0" borderId="0" xfId="0" applyNumberFormat="1" applyFont="1"/>
    <xf numFmtId="164" fontId="13" fillId="0" borderId="0" xfId="22" applyNumberFormat="1" applyFont="1"/>
    <xf numFmtId="0" fontId="14" fillId="0" borderId="0" xfId="0" applyFont="1" applyFill="1" applyAlignment="1">
      <alignment horizontal="center"/>
    </xf>
    <xf numFmtId="0" fontId="13" fillId="0" borderId="0" xfId="0" applyFont="1"/>
    <xf numFmtId="0" fontId="14" fillId="0" borderId="0" xfId="0" applyFont="1" applyAlignment="1">
      <alignment horizontal="center"/>
    </xf>
    <xf numFmtId="15" fontId="14" fillId="0" borderId="0" xfId="0" quotePrefix="1" applyNumberFormat="1" applyFont="1" applyAlignment="1">
      <alignment horizontal="center"/>
    </xf>
    <xf numFmtId="0" fontId="14" fillId="0" borderId="0" xfId="0" quotePrefix="1" applyFont="1" applyAlignment="1">
      <alignment horizontal="center"/>
    </xf>
    <xf numFmtId="0" fontId="15" fillId="0" borderId="0" xfId="0" applyFont="1" applyBorder="1" applyAlignment="1">
      <alignment horizontal="center"/>
    </xf>
    <xf numFmtId="0" fontId="13" fillId="0" borderId="0" xfId="0" applyFont="1" applyBorder="1"/>
    <xf numFmtId="0" fontId="15" fillId="0" borderId="0" xfId="0" applyFont="1" applyBorder="1" applyAlignment="1">
      <alignment horizontal="center" wrapText="1"/>
    </xf>
    <xf numFmtId="0" fontId="15" fillId="0" borderId="0" xfId="0" applyFont="1" applyFill="1" applyBorder="1" applyAlignment="1">
      <alignment horizontal="center" wrapText="1"/>
    </xf>
    <xf numFmtId="0" fontId="14" fillId="0" borderId="0" xfId="0" applyFont="1"/>
    <xf numFmtId="164" fontId="13" fillId="0" borderId="0" xfId="0" applyNumberFormat="1" applyFont="1"/>
    <xf numFmtId="0" fontId="13" fillId="0" borderId="0" xfId="0" applyFont="1" applyFill="1"/>
    <xf numFmtId="165" fontId="13" fillId="0" borderId="0" xfId="1" applyNumberFormat="1" applyFont="1" applyFill="1"/>
    <xf numFmtId="165" fontId="13" fillId="0" borderId="0" xfId="22" applyNumberFormat="1" applyFont="1"/>
    <xf numFmtId="165" fontId="13" fillId="0" borderId="0" xfId="1" applyNumberFormat="1" applyFont="1"/>
    <xf numFmtId="165" fontId="15" fillId="0" borderId="0" xfId="1" applyNumberFormat="1" applyFont="1" applyBorder="1"/>
    <xf numFmtId="165" fontId="15" fillId="0" borderId="0" xfId="22" applyNumberFormat="1" applyFont="1"/>
    <xf numFmtId="0" fontId="13" fillId="0" borderId="0" xfId="0" applyFont="1" applyAlignment="1">
      <alignment horizontal="left" indent="1"/>
    </xf>
    <xf numFmtId="164" fontId="16" fillId="0" borderId="0" xfId="22" applyNumberFormat="1" applyFont="1" applyBorder="1"/>
    <xf numFmtId="164" fontId="13" fillId="0" borderId="0" xfId="22" applyNumberFormat="1" applyFont="1" applyFill="1"/>
    <xf numFmtId="0" fontId="13" fillId="0" borderId="0" xfId="0" applyFont="1" applyAlignment="1">
      <alignment wrapText="1"/>
    </xf>
    <xf numFmtId="0" fontId="13" fillId="0" borderId="0" xfId="0" applyFont="1" applyFill="1" applyAlignment="1">
      <alignment horizontal="left" indent="1"/>
    </xf>
    <xf numFmtId="165" fontId="15" fillId="0" borderId="0" xfId="1" applyNumberFormat="1" applyFont="1" applyFill="1" applyBorder="1"/>
    <xf numFmtId="0" fontId="14" fillId="0" borderId="0" xfId="0" applyFont="1" applyFill="1"/>
    <xf numFmtId="164" fontId="15" fillId="0" borderId="0" xfId="1" applyNumberFormat="1" applyFont="1" applyFill="1" applyBorder="1"/>
    <xf numFmtId="0" fontId="13" fillId="0" borderId="0" xfId="0" applyFont="1" applyFill="1" applyAlignment="1">
      <alignment horizontal="left" indent="2"/>
    </xf>
    <xf numFmtId="0" fontId="13" fillId="0" borderId="0" xfId="0" applyFont="1" applyFill="1" applyAlignment="1">
      <alignment horizontal="left" indent="3"/>
    </xf>
    <xf numFmtId="165" fontId="13" fillId="0" borderId="0" xfId="1" applyNumberFormat="1" applyFont="1" applyFill="1" applyBorder="1"/>
    <xf numFmtId="165" fontId="13" fillId="0" borderId="0" xfId="0" applyNumberFormat="1" applyFont="1"/>
    <xf numFmtId="0" fontId="13" fillId="0" borderId="0" xfId="0" applyFont="1" applyFill="1" applyAlignment="1">
      <alignment horizontal="left" wrapText="1" indent="1"/>
    </xf>
    <xf numFmtId="164" fontId="16" fillId="0" borderId="0" xfId="22" applyNumberFormat="1" applyFont="1" applyFill="1" applyBorder="1"/>
    <xf numFmtId="164" fontId="13" fillId="0" borderId="0" xfId="0" applyNumberFormat="1" applyFont="1" applyFill="1" applyBorder="1"/>
    <xf numFmtId="0" fontId="17" fillId="0" borderId="0" xfId="0" applyFont="1" applyFill="1"/>
    <xf numFmtId="0" fontId="13" fillId="0" borderId="0" xfId="0" applyFont="1" applyFill="1" applyAlignment="1">
      <alignment horizontal="left" vertical="center" wrapText="1"/>
    </xf>
    <xf numFmtId="0" fontId="17" fillId="0" borderId="0" xfId="0" applyFont="1"/>
    <xf numFmtId="0" fontId="13" fillId="0" borderId="0" xfId="0" applyFont="1" applyFill="1" applyAlignment="1">
      <alignment horizontal="left" vertical="top" wrapText="1" indent="1"/>
    </xf>
    <xf numFmtId="165" fontId="15" fillId="0" borderId="0" xfId="22" applyNumberFormat="1" applyFont="1" applyFill="1" applyBorder="1"/>
    <xf numFmtId="0" fontId="13" fillId="0" borderId="0" xfId="0" applyFont="1" applyFill="1" applyAlignment="1">
      <alignment wrapText="1"/>
    </xf>
    <xf numFmtId="0" fontId="13" fillId="0" borderId="0" xfId="0" applyFont="1" applyFill="1" applyAlignment="1">
      <alignment horizontal="left"/>
    </xf>
    <xf numFmtId="0" fontId="13" fillId="0" borderId="0" xfId="0" applyFont="1" applyFill="1" applyAlignment="1">
      <alignment horizontal="left" vertical="center" wrapText="1" indent="2"/>
    </xf>
    <xf numFmtId="165" fontId="13" fillId="0" borderId="0" xfId="1" applyNumberFormat="1" applyFont="1" applyAlignment="1">
      <alignment horizontal="center" vertical="center"/>
    </xf>
    <xf numFmtId="0" fontId="13" fillId="0" borderId="0" xfId="0" applyFont="1" applyAlignment="1">
      <alignment horizontal="left" vertical="top" wrapText="1" indent="2"/>
    </xf>
    <xf numFmtId="41" fontId="13" fillId="0" borderId="0" xfId="0" applyNumberFormat="1" applyFont="1" applyAlignment="1">
      <alignment horizontal="center" vertical="center"/>
    </xf>
    <xf numFmtId="0" fontId="13" fillId="0" borderId="0" xfId="0" applyFont="1" applyAlignment="1">
      <alignment horizontal="right"/>
    </xf>
    <xf numFmtId="0" fontId="13" fillId="0" borderId="0" xfId="0" applyFont="1" applyAlignment="1">
      <alignment horizontal="center"/>
    </xf>
    <xf numFmtId="0" fontId="13" fillId="0" borderId="0" xfId="0" applyFont="1" applyFill="1" applyAlignment="1">
      <alignment horizontal="left" wrapText="1" indent="2"/>
    </xf>
    <xf numFmtId="0" fontId="13" fillId="0" borderId="0" xfId="0" applyFont="1" applyFill="1" applyAlignment="1">
      <alignment horizontal="left" vertical="top" wrapText="1" indent="2"/>
    </xf>
    <xf numFmtId="0" fontId="15" fillId="0" borderId="0" xfId="0" applyFont="1" applyBorder="1" applyAlignment="1"/>
    <xf numFmtId="0" fontId="15" fillId="0" borderId="0" xfId="0" applyFont="1" applyFill="1" applyBorder="1" applyAlignment="1">
      <alignment horizontal="center"/>
    </xf>
    <xf numFmtId="0" fontId="13" fillId="0" borderId="0" xfId="0" applyFont="1" applyAlignment="1">
      <alignment horizontal="center" vertical="center"/>
    </xf>
    <xf numFmtId="0" fontId="13" fillId="0" borderId="0" xfId="0" applyFont="1" applyAlignment="1">
      <alignment horizontal="left" wrapText="1" indent="2"/>
    </xf>
    <xf numFmtId="0" fontId="13" fillId="0" borderId="0" xfId="0" applyFont="1" applyAlignment="1">
      <alignment horizontal="left" wrapText="1" indent="1"/>
    </xf>
    <xf numFmtId="165" fontId="13" fillId="0" borderId="0" xfId="1" applyNumberFormat="1" applyFont="1" applyBorder="1"/>
    <xf numFmtId="41" fontId="13" fillId="0" borderId="0" xfId="22" applyNumberFormat="1" applyFont="1"/>
    <xf numFmtId="0" fontId="13" fillId="0" borderId="0" xfId="0" applyFont="1" applyAlignment="1">
      <alignment horizontal="left" indent="2"/>
    </xf>
    <xf numFmtId="0" fontId="13" fillId="0" borderId="0" xfId="0" applyFont="1" applyAlignment="1">
      <alignment horizontal="left" wrapText="1" indent="3"/>
    </xf>
    <xf numFmtId="0" fontId="13" fillId="0" borderId="0" xfId="0" applyFont="1" applyAlignment="1">
      <alignment horizontal="left" vertical="center" wrapText="1"/>
    </xf>
    <xf numFmtId="165" fontId="13" fillId="0" borderId="0" xfId="1" applyNumberFormat="1" applyFont="1" applyAlignment="1">
      <alignment vertical="center"/>
    </xf>
    <xf numFmtId="0" fontId="13" fillId="0" borderId="0" xfId="0" applyFont="1" applyAlignment="1">
      <alignment horizontal="left"/>
    </xf>
    <xf numFmtId="0" fontId="13" fillId="0" borderId="0" xfId="44" applyFont="1" applyFill="1"/>
    <xf numFmtId="0" fontId="13" fillId="0" borderId="0" xfId="0" applyFont="1" applyAlignment="1">
      <alignment horizontal="left" wrapText="1"/>
    </xf>
    <xf numFmtId="0" fontId="13" fillId="0" borderId="0" xfId="0" applyFont="1" applyFill="1" applyAlignment="1">
      <alignment horizontal="right"/>
    </xf>
    <xf numFmtId="9" fontId="13" fillId="0" borderId="0" xfId="48" quotePrefix="1" applyFont="1" applyFill="1"/>
    <xf numFmtId="166" fontId="3" fillId="0" borderId="0" xfId="48" applyNumberFormat="1" applyFont="1" applyAlignment="1">
      <alignment horizontal="center"/>
    </xf>
    <xf numFmtId="164" fontId="15" fillId="0" borderId="0" xfId="22" applyNumberFormat="1" applyFont="1" applyBorder="1"/>
    <xf numFmtId="0" fontId="14" fillId="0" borderId="0" xfId="0" applyFont="1" applyAlignment="1">
      <alignment horizontal="left" indent="1"/>
    </xf>
    <xf numFmtId="165" fontId="15" fillId="0" borderId="0" xfId="0" applyNumberFormat="1" applyFont="1" applyFill="1" applyBorder="1"/>
    <xf numFmtId="164" fontId="13" fillId="0" borderId="0" xfId="0" applyNumberFormat="1" applyFont="1" applyAlignment="1">
      <alignment horizontal="center"/>
    </xf>
    <xf numFmtId="0" fontId="13" fillId="0" borderId="0" xfId="0" applyFont="1" applyBorder="1" applyAlignment="1">
      <alignment horizontal="center" wrapText="1"/>
    </xf>
    <xf numFmtId="0" fontId="3" fillId="0" borderId="0" xfId="0" applyFont="1" applyFill="1"/>
    <xf numFmtId="164" fontId="13" fillId="0" borderId="0" xfId="0" applyNumberFormat="1" applyFont="1" applyFill="1"/>
    <xf numFmtId="165" fontId="13" fillId="0" borderId="0" xfId="0" applyNumberFormat="1" applyFont="1" applyFill="1"/>
    <xf numFmtId="0" fontId="13" fillId="0" borderId="0" xfId="0" applyFont="1" applyAlignment="1">
      <alignment vertical="center" wrapText="1"/>
    </xf>
    <xf numFmtId="41" fontId="13" fillId="0" borderId="0" xfId="0" applyNumberFormat="1" applyFont="1"/>
    <xf numFmtId="0" fontId="13" fillId="0" borderId="0" xfId="0" applyFont="1" applyFill="1" applyAlignment="1">
      <alignment vertical="center" wrapText="1"/>
    </xf>
    <xf numFmtId="165" fontId="15" fillId="0" borderId="0" xfId="0" applyNumberFormat="1" applyFont="1" applyBorder="1"/>
    <xf numFmtId="164" fontId="16" fillId="0" borderId="0" xfId="0" applyNumberFormat="1" applyFont="1" applyBorder="1"/>
    <xf numFmtId="41" fontId="13" fillId="0" borderId="0" xfId="0" applyNumberFormat="1" applyFont="1" applyFill="1"/>
    <xf numFmtId="42" fontId="13" fillId="0" borderId="0" xfId="0" applyNumberFormat="1" applyFont="1"/>
    <xf numFmtId="165" fontId="15" fillId="0" borderId="0" xfId="0" applyNumberFormat="1" applyFont="1"/>
    <xf numFmtId="164" fontId="16" fillId="0" borderId="0" xfId="0" applyNumberFormat="1" applyFont="1"/>
    <xf numFmtId="0" fontId="13" fillId="0" borderId="0" xfId="0" applyFont="1" applyAlignment="1">
      <alignment horizontal="left" wrapText="1" indent="4"/>
    </xf>
    <xf numFmtId="164" fontId="16" fillId="0" borderId="0" xfId="1" applyNumberFormat="1" applyFont="1" applyBorder="1"/>
    <xf numFmtId="164" fontId="15" fillId="0" borderId="0" xfId="22" applyNumberFormat="1" applyFont="1"/>
    <xf numFmtId="0" fontId="13" fillId="0" borderId="0" xfId="0" applyFont="1" applyAlignment="1">
      <alignment horizontal="left" indent="3"/>
    </xf>
    <xf numFmtId="0" fontId="13" fillId="0" borderId="0" xfId="0" applyFont="1" applyFill="1" applyAlignment="1">
      <alignment horizontal="left" vertical="center" wrapText="1" indent="1"/>
    </xf>
    <xf numFmtId="0" fontId="13" fillId="0" borderId="0" xfId="0" applyFont="1" applyAlignment="1">
      <alignment horizontal="left" vertical="top" wrapText="1" indent="1"/>
    </xf>
    <xf numFmtId="164" fontId="13" fillId="0" borderId="0" xfId="22" applyNumberFormat="1" applyFont="1" applyFill="1" applyBorder="1"/>
    <xf numFmtId="165" fontId="15" fillId="0" borderId="0" xfId="1" applyNumberFormat="1" applyFont="1" applyFill="1"/>
    <xf numFmtId="0" fontId="13" fillId="0" borderId="0" xfId="0" applyFont="1" applyBorder="1" applyAlignment="1">
      <alignment wrapText="1"/>
    </xf>
    <xf numFmtId="0" fontId="14" fillId="0" borderId="0" xfId="0" applyFont="1" applyFill="1" applyBorder="1" applyAlignment="1">
      <alignment horizontal="left" vertical="center" wrapText="1"/>
    </xf>
    <xf numFmtId="165" fontId="13" fillId="0" borderId="0" xfId="1" applyNumberFormat="1" applyFont="1" applyBorder="1" applyAlignment="1">
      <alignment vertical="center"/>
    </xf>
    <xf numFmtId="0" fontId="14" fillId="0" borderId="0" xfId="0" applyFont="1" applyAlignment="1">
      <alignment horizontal="centerContinuous"/>
    </xf>
    <xf numFmtId="0" fontId="15" fillId="0" borderId="0" xfId="0" applyFont="1" applyBorder="1"/>
    <xf numFmtId="0" fontId="14" fillId="0" borderId="0" xfId="0" applyFont="1" applyAlignment="1">
      <alignment wrapText="1"/>
    </xf>
    <xf numFmtId="0" fontId="3" fillId="0" borderId="0" xfId="0" applyFont="1" applyFill="1" applyAlignment="1">
      <alignment vertical="center"/>
    </xf>
    <xf numFmtId="0" fontId="13" fillId="0" borderId="0" xfId="0" applyFont="1" applyFill="1" applyAlignment="1">
      <alignment vertical="center"/>
    </xf>
    <xf numFmtId="164" fontId="13" fillId="0" borderId="0" xfId="0" applyNumberFormat="1" applyFont="1" applyFill="1" applyAlignment="1">
      <alignment vertical="center"/>
    </xf>
    <xf numFmtId="165" fontId="13" fillId="0" borderId="0" xfId="0" applyNumberFormat="1" applyFont="1" applyBorder="1"/>
    <xf numFmtId="164" fontId="15" fillId="0" borderId="0" xfId="0" applyNumberFormat="1" applyFont="1" applyFill="1" applyBorder="1" applyAlignment="1">
      <alignment vertical="center"/>
    </xf>
    <xf numFmtId="0" fontId="13" fillId="0" borderId="0" xfId="0" applyFont="1" applyFill="1" applyBorder="1" applyAlignment="1">
      <alignment wrapText="1"/>
    </xf>
    <xf numFmtId="0" fontId="14" fillId="0" borderId="0" xfId="0" applyFont="1" applyFill="1" applyBorder="1" applyAlignment="1">
      <alignment horizontal="left" vertical="center"/>
    </xf>
    <xf numFmtId="164" fontId="13" fillId="0" borderId="0" xfId="0" applyNumberFormat="1" applyFont="1" applyFill="1" applyAlignment="1">
      <alignment horizontal="center" vertical="center" wrapText="1"/>
    </xf>
    <xf numFmtId="164" fontId="13" fillId="0" borderId="0" xfId="0" applyNumberFormat="1" applyFont="1" applyFill="1" applyAlignment="1">
      <alignment horizontal="center" vertical="center"/>
    </xf>
    <xf numFmtId="0" fontId="15" fillId="0" borderId="0" xfId="0" applyFont="1" applyFill="1" applyBorder="1" applyAlignment="1">
      <alignment horizontal="left"/>
    </xf>
    <xf numFmtId="0" fontId="13" fillId="0" borderId="0" xfId="0" applyFont="1" applyFill="1" applyAlignment="1"/>
    <xf numFmtId="165" fontId="13" fillId="0" borderId="0" xfId="22" applyNumberFormat="1" applyFont="1" applyFill="1"/>
    <xf numFmtId="0" fontId="14" fillId="0" borderId="0" xfId="0" applyFont="1" applyFill="1" applyAlignment="1"/>
    <xf numFmtId="41" fontId="13" fillId="0" borderId="0" xfId="22" applyNumberFormat="1" applyFont="1" applyFill="1"/>
    <xf numFmtId="164" fontId="15" fillId="0" borderId="0" xfId="22" applyNumberFormat="1" applyFont="1" applyFill="1" applyBorder="1"/>
    <xf numFmtId="0" fontId="15" fillId="0" borderId="0" xfId="0" applyFont="1" applyFill="1"/>
    <xf numFmtId="165" fontId="13" fillId="0" borderId="0" xfId="1" applyNumberFormat="1" applyFont="1" applyFill="1" applyAlignment="1">
      <alignment vertical="center"/>
    </xf>
    <xf numFmtId="0" fontId="16" fillId="0" borderId="0" xfId="0" applyFont="1" applyFill="1"/>
    <xf numFmtId="0" fontId="13" fillId="0" borderId="0" xfId="44" applyFont="1" applyFill="1" applyAlignment="1">
      <alignment horizontal="left"/>
    </xf>
    <xf numFmtId="0" fontId="14" fillId="0" borderId="0" xfId="0" applyFont="1" applyFill="1" applyAlignment="1">
      <alignment wrapText="1"/>
    </xf>
    <xf numFmtId="164" fontId="13" fillId="0" borderId="0" xfId="0" applyNumberFormat="1" applyFont="1" applyAlignment="1">
      <alignment horizontal="center" vertical="center"/>
    </xf>
    <xf numFmtId="164" fontId="13" fillId="0" borderId="0" xfId="1" applyNumberFormat="1" applyFont="1" applyAlignment="1">
      <alignment horizontal="center" vertical="center"/>
    </xf>
    <xf numFmtId="164" fontId="13" fillId="0" borderId="0" xfId="1" applyNumberFormat="1" applyFont="1" applyFill="1" applyAlignment="1">
      <alignment horizontal="center" vertical="center"/>
    </xf>
    <xf numFmtId="164" fontId="13" fillId="0" borderId="0" xfId="0" applyNumberFormat="1" applyFont="1" applyAlignment="1">
      <alignment vertical="center"/>
    </xf>
    <xf numFmtId="164" fontId="13" fillId="0" borderId="0" xfId="22" quotePrefix="1" applyNumberFormat="1" applyFont="1"/>
    <xf numFmtId="165" fontId="13" fillId="0" borderId="0" xfId="22" quotePrefix="1" applyNumberFormat="1" applyFont="1"/>
    <xf numFmtId="165" fontId="15" fillId="0" borderId="0" xfId="22" quotePrefix="1" applyNumberFormat="1" applyFont="1"/>
    <xf numFmtId="164" fontId="15" fillId="0" borderId="0" xfId="22" quotePrefix="1" applyNumberFormat="1" applyFont="1"/>
    <xf numFmtId="0" fontId="14" fillId="0" borderId="0" xfId="0" applyFont="1" applyAlignment="1">
      <alignment horizontal="left" wrapText="1"/>
    </xf>
    <xf numFmtId="165" fontId="15" fillId="0" borderId="0" xfId="0" applyNumberFormat="1" applyFont="1" applyFill="1"/>
    <xf numFmtId="164" fontId="13" fillId="0" borderId="0" xfId="22" applyNumberFormat="1" applyFont="1" applyAlignment="1">
      <alignment horizontal="center"/>
    </xf>
    <xf numFmtId="165" fontId="13" fillId="0" borderId="0" xfId="22" applyNumberFormat="1" applyFont="1" applyAlignment="1">
      <alignment horizontal="center"/>
    </xf>
    <xf numFmtId="164" fontId="13" fillId="0" borderId="0" xfId="22" applyNumberFormat="1" applyFont="1" applyFill="1" applyAlignment="1">
      <alignment horizontal="center"/>
    </xf>
    <xf numFmtId="164" fontId="13" fillId="0" borderId="0" xfId="22" applyNumberFormat="1" applyFont="1" applyFill="1" applyAlignment="1">
      <alignment horizontal="center" vertical="center"/>
    </xf>
    <xf numFmtId="164" fontId="13" fillId="0" borderId="0" xfId="1" applyNumberFormat="1" applyFont="1" applyFill="1" applyAlignment="1">
      <alignment horizontal="center"/>
    </xf>
    <xf numFmtId="164" fontId="13" fillId="0" borderId="0" xfId="22" applyNumberFormat="1" applyFont="1" applyFill="1" applyBorder="1" applyAlignment="1">
      <alignment horizontal="center"/>
    </xf>
    <xf numFmtId="0" fontId="19" fillId="0" borderId="0" xfId="0" applyFont="1"/>
    <xf numFmtId="0" fontId="13" fillId="0" borderId="0" xfId="0" quotePrefix="1" applyFont="1"/>
    <xf numFmtId="0" fontId="19" fillId="0" borderId="0" xfId="0" applyFont="1" applyAlignment="1">
      <alignment horizontal="left" vertical="top" wrapText="1"/>
    </xf>
    <xf numFmtId="165" fontId="13" fillId="0" borderId="0" xfId="1" applyNumberFormat="1" applyFont="1" applyAlignment="1">
      <alignment horizontal="center"/>
    </xf>
    <xf numFmtId="0" fontId="19" fillId="0" borderId="0" xfId="0" applyFont="1" applyFill="1" applyAlignment="1">
      <alignment horizontal="left"/>
    </xf>
    <xf numFmtId="0" fontId="19" fillId="0" borderId="0" xfId="0" applyFont="1" applyAlignment="1">
      <alignment horizontal="left"/>
    </xf>
    <xf numFmtId="0" fontId="20" fillId="0" borderId="0" xfId="0" applyFont="1" applyFill="1" applyBorder="1" applyAlignment="1">
      <alignment horizontal="center"/>
    </xf>
    <xf numFmtId="0" fontId="21" fillId="0" borderId="0" xfId="0" applyFont="1" applyFill="1" applyBorder="1" applyAlignment="1">
      <alignment horizontal="center" wrapText="1"/>
    </xf>
    <xf numFmtId="165" fontId="12" fillId="0" borderId="0" xfId="22" applyNumberFormat="1" applyFont="1" applyFill="1"/>
    <xf numFmtId="165" fontId="20" fillId="0" borderId="0" xfId="22" applyNumberFormat="1" applyFont="1" applyFill="1"/>
    <xf numFmtId="0" fontId="13" fillId="0" borderId="0" xfId="0" quotePrefix="1" applyFont="1" applyAlignment="1">
      <alignment horizontal="center"/>
    </xf>
    <xf numFmtId="165" fontId="15" fillId="0" borderId="0" xfId="22" applyNumberFormat="1" applyFont="1" applyFill="1"/>
    <xf numFmtId="0" fontId="22" fillId="0" borderId="0" xfId="0" applyFont="1"/>
    <xf numFmtId="0" fontId="13" fillId="0" borderId="0" xfId="0" applyFont="1" applyAlignment="1">
      <alignment horizontal="center" vertical="center" wrapText="1"/>
    </xf>
    <xf numFmtId="0" fontId="13" fillId="0" borderId="0" xfId="0" applyFont="1" applyAlignment="1">
      <alignment vertical="center"/>
    </xf>
    <xf numFmtId="0" fontId="13" fillId="0" borderId="0" xfId="0" applyFont="1" applyAlignment="1">
      <alignment horizontal="left" vertical="center"/>
    </xf>
    <xf numFmtId="165" fontId="15" fillId="0" borderId="0" xfId="22" applyNumberFormat="1" applyFont="1" applyFill="1" applyAlignment="1">
      <alignment vertical="center"/>
    </xf>
    <xf numFmtId="0" fontId="13" fillId="0" borderId="0" xfId="0" applyFont="1" applyFill="1" applyBorder="1" applyAlignment="1">
      <alignment vertical="top" wrapText="1"/>
    </xf>
    <xf numFmtId="164" fontId="16" fillId="0" borderId="0" xfId="1" applyNumberFormat="1" applyFont="1" applyFill="1" applyAlignment="1">
      <alignment vertical="center"/>
    </xf>
    <xf numFmtId="165" fontId="13" fillId="0" borderId="0" xfId="1" applyNumberFormat="1" applyFont="1" applyFill="1" applyAlignment="1">
      <alignment horizontal="center"/>
    </xf>
    <xf numFmtId="165" fontId="13" fillId="0" borderId="0" xfId="1" applyNumberFormat="1" applyFont="1" applyBorder="1" applyAlignment="1">
      <alignment horizontal="center"/>
    </xf>
    <xf numFmtId="166" fontId="13" fillId="0" borderId="0" xfId="48" applyNumberFormat="1" applyFont="1" applyAlignment="1">
      <alignment horizontal="center"/>
    </xf>
    <xf numFmtId="164" fontId="3" fillId="0" borderId="0" xfId="0" applyNumberFormat="1" applyFont="1"/>
    <xf numFmtId="0" fontId="13" fillId="0" borderId="0" xfId="0" applyFont="1" applyAlignment="1">
      <alignment horizontal="left" vertical="center" indent="2"/>
    </xf>
    <xf numFmtId="0" fontId="19" fillId="0" borderId="0" xfId="0" applyFont="1" applyAlignment="1">
      <alignment horizontal="center"/>
    </xf>
    <xf numFmtId="0" fontId="13" fillId="0" borderId="0" xfId="0" applyFont="1" applyAlignment="1">
      <alignment horizontal="left" vertical="center" wrapText="1" indent="2"/>
    </xf>
    <xf numFmtId="0" fontId="14" fillId="0" borderId="0" xfId="0" applyFont="1" applyAlignment="1">
      <alignment horizontal="left"/>
    </xf>
    <xf numFmtId="164" fontId="15" fillId="0" borderId="0" xfId="22" applyNumberFormat="1" applyFont="1" applyFill="1"/>
    <xf numFmtId="164" fontId="20" fillId="0" borderId="0" xfId="22" applyNumberFormat="1" applyFont="1" applyFill="1"/>
    <xf numFmtId="164" fontId="16" fillId="0" borderId="0" xfId="1" applyNumberFormat="1" applyFont="1" applyAlignment="1"/>
    <xf numFmtId="164" fontId="16" fillId="0" borderId="0" xfId="22" applyNumberFormat="1" applyFont="1"/>
    <xf numFmtId="165" fontId="16" fillId="0" borderId="0" xfId="1" applyNumberFormat="1" applyFont="1" applyAlignment="1">
      <alignment vertical="center"/>
    </xf>
    <xf numFmtId="165" fontId="13" fillId="0" borderId="0" xfId="1" applyNumberFormat="1" applyFont="1" applyAlignment="1">
      <alignment horizontal="left"/>
    </xf>
    <xf numFmtId="164" fontId="15" fillId="0" borderId="0" xfId="22" applyNumberFormat="1" applyFont="1" applyBorder="1" applyProtection="1"/>
    <xf numFmtId="164" fontId="16" fillId="0" borderId="0" xfId="22" applyNumberFormat="1" applyFont="1" applyFill="1"/>
    <xf numFmtId="165" fontId="13" fillId="0" borderId="0" xfId="0" applyNumberFormat="1" applyFont="1" applyBorder="1" applyProtection="1"/>
    <xf numFmtId="165" fontId="13" fillId="0" borderId="0" xfId="1" applyNumberFormat="1" applyFont="1" applyBorder="1" applyProtection="1"/>
    <xf numFmtId="165" fontId="15" fillId="0" borderId="0" xfId="0" applyNumberFormat="1" applyFont="1" applyBorder="1" applyProtection="1"/>
    <xf numFmtId="165" fontId="15" fillId="0" borderId="0" xfId="1" applyNumberFormat="1" applyFont="1" applyBorder="1" applyProtection="1"/>
    <xf numFmtId="165" fontId="13" fillId="0" borderId="0" xfId="0" applyNumberFormat="1" applyFont="1" applyProtection="1"/>
    <xf numFmtId="165" fontId="13" fillId="0" borderId="0" xfId="1" applyNumberFormat="1" applyFont="1" applyProtection="1"/>
    <xf numFmtId="164" fontId="16" fillId="0" borderId="0" xfId="1" applyNumberFormat="1" applyFont="1" applyBorder="1" applyProtection="1"/>
    <xf numFmtId="165" fontId="13" fillId="0" borderId="0" xfId="1" applyNumberFormat="1" applyFont="1" applyBorder="1" applyAlignment="1">
      <alignment horizontal="left"/>
    </xf>
    <xf numFmtId="165" fontId="13" fillId="0" borderId="1" xfId="1" applyNumberFormat="1" applyFont="1" applyBorder="1" applyProtection="1"/>
    <xf numFmtId="164" fontId="13" fillId="0" borderId="2" xfId="1" applyNumberFormat="1" applyFont="1" applyBorder="1" applyProtection="1"/>
    <xf numFmtId="44" fontId="13" fillId="0" borderId="0" xfId="1" applyNumberFormat="1" applyFont="1" applyBorder="1" applyProtection="1"/>
    <xf numFmtId="0" fontId="24" fillId="0" borderId="0" xfId="0" applyFont="1" applyBorder="1" applyAlignment="1">
      <alignment horizontal="left" vertical="top" wrapText="1"/>
    </xf>
    <xf numFmtId="165" fontId="13" fillId="0" borderId="0" xfId="22" applyNumberFormat="1" applyFont="1" applyBorder="1" applyProtection="1"/>
    <xf numFmtId="165" fontId="15" fillId="0" borderId="0" xfId="22" applyNumberFormat="1" applyFont="1" applyBorder="1" applyProtection="1"/>
    <xf numFmtId="165" fontId="15" fillId="0" borderId="0" xfId="0" applyNumberFormat="1" applyFont="1" applyBorder="1" applyAlignment="1"/>
    <xf numFmtId="165" fontId="13" fillId="0" borderId="0" xfId="1" applyNumberFormat="1" applyFont="1" applyBorder="1" applyAlignment="1"/>
    <xf numFmtId="0" fontId="15" fillId="0" borderId="0" xfId="0" applyFont="1" applyAlignment="1">
      <alignment horizontal="center"/>
    </xf>
    <xf numFmtId="0" fontId="32" fillId="0" borderId="0" xfId="0" quotePrefix="1" applyFont="1" applyAlignment="1">
      <alignment horizontal="center"/>
    </xf>
    <xf numFmtId="0" fontId="32" fillId="0" borderId="0" xfId="0" applyFont="1" applyAlignment="1">
      <alignment horizontal="center"/>
    </xf>
    <xf numFmtId="165" fontId="14" fillId="0" borderId="0" xfId="1" applyNumberFormat="1" applyFont="1" applyAlignment="1">
      <alignment horizontal="center"/>
    </xf>
    <xf numFmtId="0" fontId="14" fillId="0" borderId="0" xfId="47" applyFont="1" applyAlignment="1">
      <alignment horizontal="center"/>
    </xf>
    <xf numFmtId="0" fontId="13" fillId="0" borderId="0" xfId="47" applyFont="1"/>
    <xf numFmtId="0" fontId="14" fillId="0" borderId="0" xfId="47" applyFont="1"/>
    <xf numFmtId="0" fontId="15" fillId="0" borderId="0" xfId="47" applyFont="1" applyAlignment="1">
      <alignment horizontal="center"/>
    </xf>
    <xf numFmtId="0" fontId="15" fillId="0" borderId="0" xfId="47" applyFont="1" applyAlignment="1">
      <alignment horizontal="center" wrapText="1"/>
    </xf>
    <xf numFmtId="164" fontId="13" fillId="0" borderId="0" xfId="47" quotePrefix="1" applyNumberFormat="1" applyFont="1" applyAlignment="1">
      <alignment horizontal="center"/>
    </xf>
    <xf numFmtId="164" fontId="13" fillId="0" borderId="0" xfId="47" applyNumberFormat="1" applyFont="1" applyAlignment="1">
      <alignment horizontal="center"/>
    </xf>
    <xf numFmtId="165" fontId="13" fillId="0" borderId="0" xfId="22" applyNumberFormat="1" applyFont="1" applyBorder="1"/>
    <xf numFmtId="165" fontId="13" fillId="0" borderId="0" xfId="47" applyNumberFormat="1" applyFont="1" applyBorder="1"/>
    <xf numFmtId="165" fontId="15" fillId="0" borderId="0" xfId="22" applyNumberFormat="1" applyFont="1" applyBorder="1"/>
    <xf numFmtId="0" fontId="13" fillId="0" borderId="0" xfId="47" applyFont="1" applyFill="1"/>
    <xf numFmtId="0" fontId="13" fillId="0" borderId="0" xfId="47" applyFont="1" applyAlignment="1">
      <alignment horizontal="center"/>
    </xf>
    <xf numFmtId="9" fontId="13" fillId="0" borderId="0" xfId="48" applyFont="1"/>
    <xf numFmtId="165" fontId="26" fillId="0" borderId="0" xfId="1" applyNumberFormat="1" applyFont="1"/>
    <xf numFmtId="0" fontId="13" fillId="0" borderId="0" xfId="47" applyFont="1" applyBorder="1"/>
    <xf numFmtId="0" fontId="15" fillId="0" borderId="0" xfId="47" applyFont="1" applyBorder="1" applyAlignment="1">
      <alignment horizontal="center"/>
    </xf>
    <xf numFmtId="164" fontId="13" fillId="0" borderId="0" xfId="22" applyNumberFormat="1" applyFont="1" applyBorder="1"/>
    <xf numFmtId="165" fontId="13" fillId="0" borderId="0" xfId="1" applyNumberFormat="1" applyFont="1" applyBorder="1" applyAlignment="1" applyProtection="1">
      <alignment horizontal="right"/>
    </xf>
    <xf numFmtId="165" fontId="15" fillId="0" borderId="0" xfId="1" applyNumberFormat="1" applyFont="1" applyBorder="1" applyAlignment="1" applyProtection="1">
      <alignment horizontal="right"/>
    </xf>
    <xf numFmtId="0" fontId="13" fillId="0" borderId="0" xfId="47" applyFont="1" applyAlignment="1">
      <alignment horizontal="right" wrapText="1" indent="3"/>
    </xf>
    <xf numFmtId="164" fontId="16" fillId="0" borderId="0" xfId="22" applyNumberFormat="1" applyFont="1" applyBorder="1" applyProtection="1"/>
    <xf numFmtId="164" fontId="13" fillId="0" borderId="0" xfId="22" applyNumberFormat="1" applyFont="1" applyBorder="1" applyProtection="1"/>
    <xf numFmtId="165" fontId="13" fillId="0" borderId="0" xfId="1" applyNumberFormat="1" applyFont="1" applyAlignment="1">
      <alignment horizontal="center" vertical="center" wrapText="1"/>
    </xf>
    <xf numFmtId="165" fontId="13" fillId="0" borderId="0" xfId="1" applyNumberFormat="1" applyFont="1" applyAlignment="1">
      <alignment horizontal="left" wrapText="1"/>
    </xf>
    <xf numFmtId="165" fontId="13" fillId="0" borderId="0" xfId="1" applyNumberFormat="1" applyFont="1" applyAlignment="1">
      <alignment horizontal="center" wrapText="1"/>
    </xf>
    <xf numFmtId="0" fontId="13" fillId="0" borderId="0" xfId="47" applyFont="1" applyAlignment="1">
      <alignment horizontal="center" vertical="center"/>
    </xf>
    <xf numFmtId="165" fontId="16" fillId="0" borderId="0" xfId="1" applyNumberFormat="1" applyFont="1" applyFill="1" applyAlignment="1">
      <alignment vertical="center"/>
    </xf>
    <xf numFmtId="0" fontId="13" fillId="0" borderId="0" xfId="0" applyFont="1" applyFill="1" applyBorder="1" applyAlignment="1">
      <alignment horizontal="left" vertical="top" wrapText="1"/>
    </xf>
    <xf numFmtId="165" fontId="14" fillId="0" borderId="0" xfId="1" applyNumberFormat="1" applyFont="1" applyAlignment="1">
      <alignment horizontal="left"/>
    </xf>
    <xf numFmtId="0" fontId="14" fillId="0" borderId="0" xfId="0" applyFont="1" applyAlignment="1">
      <alignment horizontal="left" vertical="center" wrapText="1"/>
    </xf>
    <xf numFmtId="165" fontId="13" fillId="0" borderId="0" xfId="1" applyNumberFormat="1" applyFont="1" applyAlignment="1">
      <alignment horizontal="left" indent="1"/>
    </xf>
    <xf numFmtId="165" fontId="15" fillId="0" borderId="0" xfId="1"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3"/>
    </xf>
    <xf numFmtId="0" fontId="13" fillId="0" borderId="0" xfId="0" applyFont="1" applyFill="1" applyBorder="1"/>
    <xf numFmtId="0" fontId="13" fillId="0" borderId="0" xfId="0" applyFont="1" applyAlignment="1">
      <alignment horizontal="left" vertical="center" wrapText="1" indent="1"/>
    </xf>
    <xf numFmtId="164" fontId="16" fillId="0" borderId="0" xfId="1" applyNumberFormat="1" applyFont="1" applyBorder="1" applyAlignment="1"/>
    <xf numFmtId="0" fontId="13" fillId="0" borderId="0" xfId="47" applyFont="1" applyFill="1" applyAlignment="1">
      <alignment horizontal="left" vertical="center" wrapText="1" indent="2"/>
    </xf>
    <xf numFmtId="165" fontId="13" fillId="0" borderId="0" xfId="1" applyNumberFormat="1" applyFont="1" applyAlignment="1">
      <alignment horizontal="left" vertical="center" wrapText="1" indent="2"/>
    </xf>
    <xf numFmtId="0" fontId="14" fillId="0" borderId="0" xfId="47" quotePrefix="1" applyFont="1" applyAlignment="1">
      <alignment horizontal="left"/>
    </xf>
    <xf numFmtId="0" fontId="13" fillId="0" borderId="0" xfId="47" applyFont="1" applyAlignment="1">
      <alignment horizontal="left" indent="1"/>
    </xf>
    <xf numFmtId="0" fontId="13" fillId="0" borderId="0" xfId="47" applyFont="1" applyAlignment="1">
      <alignment horizontal="left" indent="2"/>
    </xf>
    <xf numFmtId="0" fontId="14" fillId="0" borderId="0" xfId="47" applyFont="1" applyAlignment="1">
      <alignment horizontal="left" indent="1"/>
    </xf>
    <xf numFmtId="0" fontId="13" fillId="0" borderId="0" xfId="47" quotePrefix="1" applyFont="1" applyAlignment="1">
      <alignment horizontal="left" indent="2"/>
    </xf>
    <xf numFmtId="0" fontId="13" fillId="0" borderId="0" xfId="47" applyFont="1" applyAlignment="1">
      <alignment vertical="center"/>
    </xf>
    <xf numFmtId="165" fontId="15" fillId="0" borderId="0" xfId="1" applyNumberFormat="1" applyFont="1" applyBorder="1" applyAlignment="1">
      <alignment vertical="center"/>
    </xf>
    <xf numFmtId="164" fontId="13" fillId="0" borderId="0" xfId="47" applyNumberFormat="1" applyFont="1" applyAlignment="1">
      <alignment horizontal="center" vertical="center"/>
    </xf>
    <xf numFmtId="0" fontId="14" fillId="0" borderId="0" xfId="47" applyFont="1" applyAlignment="1">
      <alignment horizontal="left"/>
    </xf>
    <xf numFmtId="0" fontId="14" fillId="0" borderId="0" xfId="47" applyFont="1" applyFill="1"/>
    <xf numFmtId="165" fontId="15" fillId="0" borderId="0" xfId="47" applyNumberFormat="1" applyFont="1" applyBorder="1"/>
    <xf numFmtId="164" fontId="16" fillId="0" borderId="0" xfId="47" applyNumberFormat="1" applyFont="1" applyBorder="1"/>
    <xf numFmtId="0" fontId="14" fillId="0" borderId="0" xfId="47" applyFont="1" applyAlignment="1">
      <alignment vertical="center"/>
    </xf>
    <xf numFmtId="0" fontId="23" fillId="0" borderId="0" xfId="0" applyFont="1" applyFill="1" applyBorder="1" applyAlignment="1">
      <alignment horizontal="center" wrapText="1"/>
    </xf>
    <xf numFmtId="0" fontId="23" fillId="0" borderId="0" xfId="0" applyFont="1" applyBorder="1" applyAlignment="1">
      <alignment horizontal="center" wrapText="1"/>
    </xf>
    <xf numFmtId="0" fontId="14" fillId="0" borderId="0" xfId="0" applyFont="1" applyBorder="1" applyAlignment="1">
      <alignment horizontal="center" wrapText="1"/>
    </xf>
    <xf numFmtId="0" fontId="19" fillId="0" borderId="0" xfId="0" applyFont="1" applyAlignment="1">
      <alignment horizontal="center" vertical="center"/>
    </xf>
    <xf numFmtId="165" fontId="14" fillId="0" borderId="0" xfId="1" applyNumberFormat="1" applyFont="1" applyAlignment="1">
      <alignment horizontal="left" indent="1"/>
    </xf>
    <xf numFmtId="165" fontId="13" fillId="0" borderId="0" xfId="1" applyNumberFormat="1" applyFont="1" applyBorder="1" applyAlignment="1" applyProtection="1">
      <alignment vertical="center"/>
    </xf>
    <xf numFmtId="165" fontId="13" fillId="0" borderId="0" xfId="1" applyNumberFormat="1" applyFont="1" applyFill="1" applyAlignment="1">
      <alignment horizontal="left" indent="1"/>
    </xf>
    <xf numFmtId="164" fontId="13" fillId="0" borderId="0" xfId="1" applyNumberFormat="1" applyFont="1" applyAlignment="1">
      <alignment horizontal="center"/>
    </xf>
    <xf numFmtId="164" fontId="13" fillId="0" borderId="0" xfId="1" applyNumberFormat="1" applyFont="1"/>
    <xf numFmtId="0" fontId="14" fillId="0" borderId="0" xfId="0" applyFont="1" applyFill="1" applyAlignment="1">
      <alignment horizontal="left" vertical="center"/>
    </xf>
    <xf numFmtId="0" fontId="13" fillId="0" borderId="0" xfId="0" applyFont="1" applyFill="1" applyAlignment="1">
      <alignment horizontal="left" vertical="center" indent="2"/>
    </xf>
    <xf numFmtId="164" fontId="9" fillId="0" borderId="0" xfId="0" applyNumberFormat="1" applyFont="1" applyAlignment="1">
      <alignment horizontal="center"/>
    </xf>
    <xf numFmtId="0" fontId="13" fillId="0" borderId="0" xfId="0" quotePrefix="1" applyFont="1" applyAlignment="1">
      <alignment horizontal="center" vertical="center"/>
    </xf>
    <xf numFmtId="164" fontId="13" fillId="0" borderId="0" xfId="0" applyNumberFormat="1" applyFont="1" applyFill="1" applyAlignment="1">
      <alignment horizontal="center"/>
    </xf>
    <xf numFmtId="0" fontId="13" fillId="0" borderId="0" xfId="0" applyFont="1" applyFill="1" applyAlignment="1">
      <alignment horizontal="center"/>
    </xf>
    <xf numFmtId="0" fontId="15" fillId="0" borderId="0" xfId="0" applyFont="1" applyFill="1" applyAlignment="1">
      <alignment horizontal="center" wrapText="1"/>
    </xf>
    <xf numFmtId="164" fontId="16" fillId="0" borderId="0" xfId="0" applyNumberFormat="1" applyFont="1" applyFill="1"/>
    <xf numFmtId="165" fontId="13" fillId="0" borderId="0" xfId="0" applyNumberFormat="1" applyFont="1" applyAlignment="1">
      <alignment horizontal="center"/>
    </xf>
    <xf numFmtId="0" fontId="15" fillId="0" borderId="0" xfId="0" applyFont="1" applyFill="1" applyBorder="1" applyAlignment="1"/>
    <xf numFmtId="0" fontId="13" fillId="0" borderId="0" xfId="0" applyFont="1" applyAlignment="1">
      <alignment horizontal="right" vertical="center" wrapText="1"/>
    </xf>
    <xf numFmtId="164" fontId="13" fillId="0" borderId="0" xfId="1" applyNumberFormat="1" applyFont="1" applyAlignment="1">
      <alignment vertical="center"/>
    </xf>
    <xf numFmtId="0" fontId="13" fillId="0" borderId="0" xfId="0" applyFont="1" applyAlignment="1">
      <alignment horizontal="left" vertical="top" indent="1"/>
    </xf>
    <xf numFmtId="0" fontId="13" fillId="0" borderId="0" xfId="0" applyFont="1" applyBorder="1" applyAlignment="1">
      <alignment horizontal="left" wrapText="1" indent="1"/>
    </xf>
    <xf numFmtId="0" fontId="13" fillId="0" borderId="0" xfId="0" applyFont="1" applyFill="1" applyAlignment="1">
      <alignment horizontal="center" vertical="center"/>
    </xf>
    <xf numFmtId="0" fontId="14" fillId="0" borderId="0" xfId="0" applyFont="1" applyAlignment="1">
      <alignment vertical="center" wrapText="1"/>
    </xf>
    <xf numFmtId="0" fontId="13" fillId="0" borderId="0" xfId="0" applyFont="1" applyAlignment="1">
      <alignment horizontal="left" vertical="center" wrapText="1" indent="3"/>
    </xf>
    <xf numFmtId="0" fontId="19" fillId="2" borderId="0" xfId="0" applyFont="1" applyFill="1" applyAlignment="1">
      <alignment horizontal="center" vertical="center"/>
    </xf>
    <xf numFmtId="0" fontId="19" fillId="3" borderId="0" xfId="0" applyFont="1" applyFill="1" applyAlignment="1">
      <alignment horizontal="center" vertical="center"/>
    </xf>
    <xf numFmtId="0" fontId="15" fillId="0" borderId="0" xfId="0" applyFont="1" applyAlignment="1">
      <alignment horizontal="center" wrapText="1"/>
    </xf>
    <xf numFmtId="0" fontId="9" fillId="0" borderId="0" xfId="0" applyFont="1" applyAlignment="1">
      <alignment horizontal="center"/>
    </xf>
    <xf numFmtId="0" fontId="13" fillId="4" borderId="0" xfId="0" applyFont="1" applyFill="1" applyBorder="1" applyAlignment="1">
      <alignment horizontal="center" wrapText="1"/>
    </xf>
    <xf numFmtId="0" fontId="15" fillId="4" borderId="0" xfId="0" applyFont="1" applyFill="1" applyBorder="1" applyAlignment="1">
      <alignment horizontal="center" wrapText="1"/>
    </xf>
    <xf numFmtId="37" fontId="4" fillId="0" borderId="0" xfId="0" quotePrefix="1" applyNumberFormat="1" applyFont="1" applyAlignment="1">
      <alignment horizontal="left"/>
    </xf>
    <xf numFmtId="0" fontId="29" fillId="0" borderId="0" xfId="0" applyFont="1" applyAlignment="1">
      <alignment wrapText="1"/>
    </xf>
    <xf numFmtId="37" fontId="4" fillId="0" borderId="1" xfId="0" quotePrefix="1" applyNumberFormat="1" applyFont="1" applyBorder="1" applyAlignment="1">
      <alignment horizontal="center"/>
    </xf>
    <xf numFmtId="37" fontId="4" fillId="0" borderId="0" xfId="0" applyNumberFormat="1" applyFont="1" applyBorder="1" applyAlignment="1">
      <alignment horizontal="center"/>
    </xf>
    <xf numFmtId="37" fontId="4" fillId="0" borderId="0" xfId="0" quotePrefix="1" applyNumberFormat="1" applyFont="1" applyAlignment="1">
      <alignment horizontal="center"/>
    </xf>
    <xf numFmtId="37" fontId="28" fillId="0" borderId="0" xfId="0" applyNumberFormat="1" applyFont="1" applyAlignment="1">
      <alignment horizontal="center"/>
    </xf>
    <xf numFmtId="37" fontId="28" fillId="0" borderId="0" xfId="0" quotePrefix="1" applyNumberFormat="1" applyFont="1" applyAlignment="1">
      <alignment horizontal="center"/>
    </xf>
    <xf numFmtId="37" fontId="4" fillId="0" borderId="0" xfId="0" applyNumberFormat="1" applyFont="1" applyFill="1"/>
    <xf numFmtId="42" fontId="4" fillId="0" borderId="0" xfId="0" applyNumberFormat="1" applyFont="1" applyFill="1"/>
    <xf numFmtId="37" fontId="4" fillId="0" borderId="0" xfId="0" quotePrefix="1" applyNumberFormat="1" applyFont="1" applyFill="1" applyAlignment="1">
      <alignment horizontal="center"/>
    </xf>
    <xf numFmtId="37" fontId="30" fillId="0" borderId="0" xfId="0" quotePrefix="1" applyNumberFormat="1" applyFont="1" applyAlignment="1">
      <alignment horizontal="center"/>
    </xf>
    <xf numFmtId="37" fontId="4" fillId="0" borderId="0" xfId="0" applyNumberFormat="1" applyFont="1" applyAlignment="1">
      <alignment horizontal="left" indent="1"/>
    </xf>
    <xf numFmtId="41" fontId="4" fillId="0" borderId="0" xfId="0" applyNumberFormat="1" applyFont="1" applyFill="1"/>
    <xf numFmtId="37" fontId="30" fillId="0" borderId="0" xfId="0" applyNumberFormat="1" applyFont="1" applyFill="1" applyAlignment="1">
      <alignment horizontal="center"/>
    </xf>
    <xf numFmtId="37" fontId="30" fillId="0" borderId="0" xfId="0" applyNumberFormat="1" applyFont="1" applyAlignment="1">
      <alignment horizontal="center"/>
    </xf>
    <xf numFmtId="37" fontId="4" fillId="0" borderId="0" xfId="0" applyNumberFormat="1" applyFont="1" applyAlignment="1">
      <alignment horizontal="left"/>
    </xf>
    <xf numFmtId="42" fontId="4" fillId="0" borderId="3" xfId="0" applyNumberFormat="1" applyFont="1" applyFill="1" applyBorder="1"/>
    <xf numFmtId="42" fontId="4" fillId="0" borderId="4" xfId="0" applyNumberFormat="1" applyFont="1" applyFill="1" applyBorder="1"/>
    <xf numFmtId="37" fontId="4" fillId="0" borderId="0" xfId="0" quotePrefix="1" applyNumberFormat="1" applyFont="1" applyAlignment="1">
      <alignment horizontal="left" indent="1"/>
    </xf>
    <xf numFmtId="37" fontId="4" fillId="0" borderId="0" xfId="0" applyNumberFormat="1" applyFont="1" applyAlignment="1">
      <alignment horizontal="left" indent="2"/>
    </xf>
    <xf numFmtId="0" fontId="33" fillId="0" borderId="0" xfId="0" quotePrefix="1" applyFont="1" applyAlignment="1">
      <alignment horizontal="center" vertical="center"/>
    </xf>
    <xf numFmtId="0" fontId="18" fillId="0" borderId="0" xfId="0" applyFont="1" applyFill="1"/>
    <xf numFmtId="166" fontId="13" fillId="0" borderId="0" xfId="48" applyNumberFormat="1" applyFont="1" applyAlignment="1">
      <alignment horizontal="center" vertical="center"/>
    </xf>
    <xf numFmtId="0" fontId="2" fillId="0" borderId="0" xfId="0" applyFont="1"/>
    <xf numFmtId="0" fontId="14" fillId="0" borderId="0" xfId="0" applyFont="1" applyAlignment="1">
      <alignment horizontal="right"/>
    </xf>
    <xf numFmtId="0" fontId="34" fillId="0" borderId="0" xfId="0" applyFont="1" applyAlignment="1">
      <alignment horizontal="center"/>
    </xf>
    <xf numFmtId="164" fontId="13" fillId="0" borderId="0" xfId="0" quotePrefix="1" applyNumberFormat="1" applyFont="1" applyAlignment="1">
      <alignment horizontal="center" vertical="center"/>
    </xf>
    <xf numFmtId="42" fontId="13" fillId="0" borderId="0" xfId="0" applyNumberFormat="1" applyFont="1" applyAlignment="1">
      <alignment horizontal="center" vertical="center"/>
    </xf>
    <xf numFmtId="0" fontId="19" fillId="0" borderId="0" xfId="0" quotePrefix="1" applyFont="1"/>
    <xf numFmtId="0" fontId="35" fillId="0" borderId="0" xfId="0" quotePrefix="1" applyFont="1" applyAlignment="1">
      <alignment horizontal="right" vertical="center" indent="2"/>
    </xf>
    <xf numFmtId="0" fontId="35" fillId="0" borderId="0" xfId="0" applyFont="1" applyAlignment="1">
      <alignment horizontal="right" vertical="center" indent="2"/>
    </xf>
    <xf numFmtId="0" fontId="15" fillId="5" borderId="0" xfId="0" applyFont="1" applyFill="1" applyBorder="1" applyAlignment="1">
      <alignment horizontal="center" wrapText="1"/>
    </xf>
    <xf numFmtId="0" fontId="36" fillId="0" borderId="0" xfId="0" applyFont="1" applyFill="1"/>
    <xf numFmtId="164" fontId="36" fillId="0" borderId="0" xfId="22" applyNumberFormat="1" applyFont="1" applyFill="1" applyAlignment="1">
      <alignment horizontal="center"/>
    </xf>
    <xf numFmtId="0" fontId="34" fillId="0" borderId="0" xfId="0" applyFont="1" applyFill="1"/>
    <xf numFmtId="164" fontId="34" fillId="0" borderId="0" xfId="22" applyNumberFormat="1" applyFont="1" applyFill="1" applyAlignment="1">
      <alignment horizontal="center"/>
    </xf>
    <xf numFmtId="0" fontId="37" fillId="5" borderId="0" xfId="0" applyFont="1" applyFill="1" applyBorder="1" applyAlignment="1">
      <alignment horizontal="center" wrapText="1"/>
    </xf>
    <xf numFmtId="0" fontId="13" fillId="0" borderId="0" xfId="0" applyFont="1" applyFill="1" applyBorder="1" applyAlignment="1">
      <alignment horizontal="center" wrapText="1"/>
    </xf>
    <xf numFmtId="0" fontId="15" fillId="0" borderId="0" xfId="0" applyFont="1"/>
    <xf numFmtId="0" fontId="13" fillId="0" borderId="0" xfId="0" applyFont="1" applyAlignment="1">
      <alignment horizontal="left" vertical="center" indent="1"/>
    </xf>
    <xf numFmtId="0" fontId="37" fillId="6" borderId="0" xfId="0" applyFont="1" applyFill="1" applyBorder="1" applyAlignment="1">
      <alignment horizontal="center" wrapText="1"/>
    </xf>
    <xf numFmtId="165" fontId="23" fillId="2" borderId="0" xfId="1" applyNumberFormat="1" applyFont="1" applyFill="1"/>
    <xf numFmtId="0" fontId="23" fillId="2" borderId="0" xfId="47" applyFont="1" applyFill="1" applyAlignment="1">
      <alignment horizontal="center" wrapText="1"/>
    </xf>
    <xf numFmtId="166" fontId="13" fillId="0" borderId="0" xfId="0" applyNumberFormat="1" applyFont="1"/>
    <xf numFmtId="166" fontId="13" fillId="0" borderId="0" xfId="48" applyNumberFormat="1" applyFont="1"/>
    <xf numFmtId="0" fontId="23" fillId="0" borderId="0" xfId="0" applyFont="1" applyFill="1" applyBorder="1" applyAlignment="1">
      <alignment horizontal="center"/>
    </xf>
    <xf numFmtId="0" fontId="23" fillId="0" borderId="0" xfId="0" applyFont="1" applyBorder="1" applyAlignment="1">
      <alignment horizontal="center" wrapText="1"/>
    </xf>
    <xf numFmtId="0" fontId="23" fillId="0" borderId="0" xfId="0" applyFont="1" applyFill="1" applyBorder="1" applyAlignment="1">
      <alignment horizontal="center" wrapText="1"/>
    </xf>
    <xf numFmtId="0" fontId="15" fillId="0" borderId="0" xfId="0" applyFont="1" applyFill="1" applyBorder="1" applyAlignment="1">
      <alignment horizontal="center" wrapText="1"/>
    </xf>
    <xf numFmtId="0" fontId="15" fillId="0" borderId="0" xfId="0" applyFont="1" applyBorder="1" applyAlignment="1">
      <alignment horizontal="center" wrapText="1"/>
    </xf>
    <xf numFmtId="0" fontId="23" fillId="0" borderId="0" xfId="0" applyFont="1" applyBorder="1" applyAlignment="1">
      <alignment horizontal="center"/>
    </xf>
    <xf numFmtId="0" fontId="13" fillId="0" borderId="0" xfId="0" applyFont="1" applyAlignment="1">
      <alignment horizontal="left" vertical="center" wrapText="1"/>
    </xf>
    <xf numFmtId="0" fontId="14" fillId="0" borderId="0" xfId="0" applyFont="1" applyFill="1" applyAlignment="1">
      <alignment horizontal="center"/>
    </xf>
    <xf numFmtId="0" fontId="14" fillId="0" borderId="0" xfId="0" applyFont="1" applyAlignment="1">
      <alignment horizontal="center"/>
    </xf>
    <xf numFmtId="0" fontId="19" fillId="7" borderId="0" xfId="0" applyFont="1" applyFill="1" applyAlignment="1">
      <alignment horizontal="center" vertical="center"/>
    </xf>
    <xf numFmtId="0" fontId="19" fillId="8" borderId="0" xfId="0" applyFont="1" applyFill="1" applyAlignment="1">
      <alignment horizontal="center" vertical="center"/>
    </xf>
    <xf numFmtId="0" fontId="19" fillId="9" borderId="0" xfId="0" applyFont="1" applyFill="1" applyAlignment="1">
      <alignment horizontal="center" vertical="center" wrapText="1"/>
    </xf>
    <xf numFmtId="0" fontId="19" fillId="0" borderId="0" xfId="0" applyFont="1" applyFill="1" applyAlignment="1">
      <alignment horizontal="center" wrapText="1"/>
    </xf>
    <xf numFmtId="0" fontId="13" fillId="0" borderId="5" xfId="0" applyFont="1" applyFill="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15" fontId="14" fillId="0" borderId="0" xfId="0" quotePrefix="1" applyNumberFormat="1" applyFont="1" applyFill="1" applyAlignment="1">
      <alignment horizontal="center"/>
    </xf>
    <xf numFmtId="0" fontId="13" fillId="10" borderId="13" xfId="0" applyFont="1" applyFill="1" applyBorder="1" applyAlignment="1">
      <alignment horizontal="left" wrapText="1"/>
    </xf>
    <xf numFmtId="0" fontId="13" fillId="10" borderId="14" xfId="0" applyFont="1" applyFill="1" applyBorder="1" applyAlignment="1">
      <alignment horizontal="left" wrapText="1"/>
    </xf>
    <xf numFmtId="0" fontId="13" fillId="10" borderId="15" xfId="0" applyFont="1" applyFill="1" applyBorder="1" applyAlignment="1">
      <alignment horizontal="left" wrapText="1"/>
    </xf>
    <xf numFmtId="0" fontId="13" fillId="10" borderId="16" xfId="0" applyFont="1" applyFill="1" applyBorder="1" applyAlignment="1">
      <alignment horizontal="left" wrapText="1"/>
    </xf>
    <xf numFmtId="0" fontId="13" fillId="10" borderId="0" xfId="0" applyFont="1" applyFill="1" applyBorder="1" applyAlignment="1">
      <alignment horizontal="left" wrapText="1"/>
    </xf>
    <xf numFmtId="0" fontId="13" fillId="10" borderId="17" xfId="0" applyFont="1" applyFill="1" applyBorder="1" applyAlignment="1">
      <alignment horizontal="left" wrapText="1"/>
    </xf>
    <xf numFmtId="0" fontId="13" fillId="10" borderId="18" xfId="0" applyFont="1" applyFill="1" applyBorder="1" applyAlignment="1">
      <alignment horizontal="left" wrapText="1"/>
    </xf>
    <xf numFmtId="0" fontId="13" fillId="10" borderId="19" xfId="0" applyFont="1" applyFill="1" applyBorder="1" applyAlignment="1">
      <alignment horizontal="left" wrapText="1"/>
    </xf>
    <xf numFmtId="0" fontId="13" fillId="10" borderId="20" xfId="0" applyFont="1" applyFill="1" applyBorder="1" applyAlignment="1">
      <alignment horizontal="left" wrapText="1"/>
    </xf>
    <xf numFmtId="0" fontId="13" fillId="0" borderId="0" xfId="0" applyFont="1" applyFill="1" applyAlignment="1">
      <alignment horizontal="left" vertical="center" wrapText="1" indent="2"/>
    </xf>
    <xf numFmtId="0" fontId="14" fillId="0" borderId="0" xfId="0" applyFont="1" applyFill="1" applyAlignment="1">
      <alignment wrapText="1"/>
    </xf>
    <xf numFmtId="0" fontId="15" fillId="0" borderId="0" xfId="0" applyFont="1" applyFill="1" applyBorder="1" applyAlignment="1">
      <alignment horizontal="center"/>
    </xf>
    <xf numFmtId="0" fontId="14" fillId="0" borderId="5" xfId="0" applyFont="1" applyBorder="1" applyAlignment="1">
      <alignment horizontal="left" wrapText="1"/>
    </xf>
    <xf numFmtId="0" fontId="14" fillId="0" borderId="6" xfId="0" applyFont="1" applyBorder="1" applyAlignment="1">
      <alignment horizontal="left"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4" fillId="0" borderId="9" xfId="0" applyFont="1" applyBorder="1" applyAlignment="1">
      <alignment horizontal="left" wrapText="1"/>
    </xf>
    <xf numFmtId="0" fontId="14" fillId="0" borderId="10" xfId="0" applyFont="1" applyBorder="1" applyAlignment="1">
      <alignment horizontal="left" wrapText="1"/>
    </xf>
    <xf numFmtId="0" fontId="15" fillId="0" borderId="0" xfId="0" applyFont="1" applyBorder="1" applyAlignment="1">
      <alignment horizontal="center"/>
    </xf>
    <xf numFmtId="0" fontId="23" fillId="11" borderId="0" xfId="0" applyFont="1" applyFill="1" applyBorder="1" applyAlignment="1">
      <alignment horizontal="left"/>
    </xf>
    <xf numFmtId="15" fontId="14" fillId="0" borderId="0" xfId="0" quotePrefix="1" applyNumberFormat="1" applyFont="1" applyAlignment="1">
      <alignment horizontal="center"/>
    </xf>
    <xf numFmtId="0" fontId="15" fillId="0" borderId="0" xfId="0" applyFont="1" applyAlignment="1">
      <alignment horizontal="center"/>
    </xf>
    <xf numFmtId="0" fontId="13" fillId="0" borderId="0" xfId="0" applyFont="1" applyFill="1" applyAlignment="1">
      <alignment horizontal="left" wrapText="1" indent="2"/>
    </xf>
    <xf numFmtId="0" fontId="13" fillId="0" borderId="0" xfId="0" applyFont="1" applyFill="1" applyAlignment="1">
      <alignment horizontal="left" wrapText="1"/>
    </xf>
    <xf numFmtId="0" fontId="14" fillId="0" borderId="0" xfId="0" quotePrefix="1" applyFont="1" applyAlignment="1">
      <alignment horizontal="center"/>
    </xf>
    <xf numFmtId="0" fontId="13" fillId="0" borderId="0" xfId="0" applyFont="1" applyAlignment="1">
      <alignment horizontal="center"/>
    </xf>
    <xf numFmtId="0" fontId="27" fillId="0" borderId="0" xfId="0" applyFont="1" applyAlignment="1">
      <alignment horizontal="center"/>
    </xf>
    <xf numFmtId="0" fontId="15" fillId="0" borderId="0" xfId="0" applyFont="1" applyAlignment="1">
      <alignment horizontal="center" wrapText="1"/>
    </xf>
    <xf numFmtId="0" fontId="23" fillId="0" borderId="0" xfId="0" applyFont="1" applyAlignment="1">
      <alignment horizontal="center"/>
    </xf>
    <xf numFmtId="0" fontId="14" fillId="4" borderId="0" xfId="0" applyFont="1" applyFill="1" applyAlignment="1">
      <alignment horizontal="center"/>
    </xf>
    <xf numFmtId="0" fontId="15" fillId="4" borderId="0" xfId="0" applyFont="1" applyFill="1" applyBorder="1" applyAlignment="1">
      <alignment horizontal="center" wrapText="1"/>
    </xf>
    <xf numFmtId="0" fontId="13" fillId="0" borderId="0" xfId="0" applyFont="1" applyFill="1" applyAlignment="1">
      <alignment horizontal="left" vertical="center" wrapText="1"/>
    </xf>
    <xf numFmtId="0" fontId="15" fillId="5" borderId="0" xfId="0" applyFont="1" applyFill="1" applyBorder="1" applyAlignment="1">
      <alignment horizontal="center" wrapText="1"/>
    </xf>
    <xf numFmtId="0" fontId="13" fillId="10" borderId="13" xfId="0" applyFont="1" applyFill="1" applyBorder="1" applyAlignment="1">
      <alignment wrapText="1"/>
    </xf>
    <xf numFmtId="0" fontId="13" fillId="10" borderId="14" xfId="0" applyFont="1" applyFill="1" applyBorder="1" applyAlignment="1">
      <alignment wrapText="1"/>
    </xf>
    <xf numFmtId="0" fontId="13" fillId="10" borderId="15" xfId="0" applyFont="1" applyFill="1" applyBorder="1" applyAlignment="1">
      <alignment wrapText="1"/>
    </xf>
    <xf numFmtId="0" fontId="13" fillId="10" borderId="16" xfId="0" applyFont="1" applyFill="1" applyBorder="1" applyAlignment="1">
      <alignment wrapText="1"/>
    </xf>
    <xf numFmtId="0" fontId="13" fillId="10" borderId="0" xfId="0" applyFont="1" applyFill="1" applyBorder="1" applyAlignment="1">
      <alignment wrapText="1"/>
    </xf>
    <xf numFmtId="0" fontId="13" fillId="10" borderId="17" xfId="0" applyFont="1" applyFill="1" applyBorder="1" applyAlignment="1">
      <alignment wrapText="1"/>
    </xf>
    <xf numFmtId="0" fontId="13" fillId="10" borderId="18" xfId="0" applyFont="1" applyFill="1" applyBorder="1" applyAlignment="1">
      <alignment wrapText="1"/>
    </xf>
    <xf numFmtId="0" fontId="13" fillId="10" borderId="19" xfId="0" applyFont="1" applyFill="1" applyBorder="1" applyAlignment="1">
      <alignment wrapText="1"/>
    </xf>
    <xf numFmtId="0" fontId="13" fillId="10" borderId="20" xfId="0" applyFont="1" applyFill="1" applyBorder="1" applyAlignment="1">
      <alignment wrapText="1"/>
    </xf>
    <xf numFmtId="0" fontId="13" fillId="0" borderId="0" xfId="0" applyFont="1" applyFill="1" applyAlignment="1">
      <alignment horizontal="left" vertical="top" wrapText="1" indent="2"/>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Alignment="1">
      <alignment horizontal="center"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165" fontId="14" fillId="0" borderId="0" xfId="1" applyNumberFormat="1" applyFont="1" applyBorder="1" applyAlignment="1">
      <alignment horizontal="center"/>
    </xf>
    <xf numFmtId="165" fontId="14" fillId="0" borderId="0" xfId="1" applyNumberFormat="1" applyFont="1" applyAlignment="1">
      <alignment horizontal="center"/>
    </xf>
    <xf numFmtId="0" fontId="14" fillId="0" borderId="0" xfId="47" applyFont="1" applyAlignment="1">
      <alignment horizontal="center"/>
    </xf>
    <xf numFmtId="0" fontId="14" fillId="4" borderId="0" xfId="47" applyFont="1" applyFill="1" applyAlignment="1">
      <alignment horizontal="center"/>
    </xf>
    <xf numFmtId="0" fontId="20" fillId="0" borderId="0" xfId="0" applyFont="1" applyFill="1" applyBorder="1" applyAlignment="1">
      <alignment horizontal="center"/>
    </xf>
    <xf numFmtId="37" fontId="4" fillId="0" borderId="1" xfId="0" quotePrefix="1" applyNumberFormat="1" applyFont="1" applyBorder="1" applyAlignment="1">
      <alignment horizontal="center"/>
    </xf>
    <xf numFmtId="37" fontId="4" fillId="0" borderId="1" xfId="0" applyNumberFormat="1" applyFont="1" applyBorder="1" applyAlignment="1">
      <alignment horizontal="center"/>
    </xf>
    <xf numFmtId="37" fontId="28" fillId="0" borderId="0" xfId="0" applyNumberFormat="1" applyFont="1" applyFill="1" applyAlignment="1">
      <alignment horizontal="center" wrapText="1"/>
    </xf>
    <xf numFmtId="0" fontId="3" fillId="0" borderId="0" xfId="0" applyFont="1" applyFill="1" applyAlignment="1">
      <alignment wrapText="1"/>
    </xf>
    <xf numFmtId="37" fontId="28" fillId="0" borderId="0" xfId="0" applyNumberFormat="1" applyFont="1" applyAlignment="1">
      <alignment horizontal="center" wrapText="1"/>
    </xf>
    <xf numFmtId="0" fontId="3" fillId="0" borderId="0" xfId="0" applyFont="1" applyAlignment="1">
      <alignment wrapText="1"/>
    </xf>
    <xf numFmtId="165" fontId="13" fillId="0" borderId="0" xfId="1" applyNumberFormat="1" applyFont="1" applyBorder="1" applyAlignment="1">
      <alignment horizontal="left" vertical="center"/>
    </xf>
    <xf numFmtId="0" fontId="14" fillId="0" borderId="0" xfId="47" applyFont="1" applyAlignment="1">
      <alignment horizontal="left"/>
    </xf>
  </cellXfs>
  <cellStyles count="50">
    <cellStyle name="Comma" xfId="1" builtinId="3"/>
    <cellStyle name="Comma [0] 2" xfId="2" xr:uid="{00000000-0005-0000-0000-000001000000}"/>
    <cellStyle name="Comma [0] 3" xfId="3" xr:uid="{00000000-0005-0000-0000-000002000000}"/>
    <cellStyle name="Comma 10" xfId="4" xr:uid="{00000000-0005-0000-0000-000003000000}"/>
    <cellStyle name="Comma 11" xfId="5" xr:uid="{00000000-0005-0000-0000-000004000000}"/>
    <cellStyle name="Comma 12" xfId="6" xr:uid="{00000000-0005-0000-0000-000005000000}"/>
    <cellStyle name="Comma 13" xfId="7" xr:uid="{00000000-0005-0000-0000-000006000000}"/>
    <cellStyle name="Comma 14" xfId="8" xr:uid="{00000000-0005-0000-0000-000007000000}"/>
    <cellStyle name="Comma 15" xfId="9" xr:uid="{00000000-0005-0000-0000-000008000000}"/>
    <cellStyle name="Comma 16" xfId="10" xr:uid="{00000000-0005-0000-0000-000009000000}"/>
    <cellStyle name="Comma 17" xfId="11" xr:uid="{00000000-0005-0000-0000-00000A000000}"/>
    <cellStyle name="Comma 18" xfId="12" xr:uid="{00000000-0005-0000-0000-00000B000000}"/>
    <cellStyle name="Comma 19" xfId="13" xr:uid="{00000000-0005-0000-0000-00000C000000}"/>
    <cellStyle name="Comma 2" xfId="14" xr:uid="{00000000-0005-0000-0000-00000D000000}"/>
    <cellStyle name="Comma 3" xfId="15" xr:uid="{00000000-0005-0000-0000-00000E000000}"/>
    <cellStyle name="Comma 4" xfId="16" xr:uid="{00000000-0005-0000-0000-00000F000000}"/>
    <cellStyle name="Comma 5" xfId="17" xr:uid="{00000000-0005-0000-0000-000010000000}"/>
    <cellStyle name="Comma 6" xfId="18" xr:uid="{00000000-0005-0000-0000-000011000000}"/>
    <cellStyle name="Comma 7" xfId="19" xr:uid="{00000000-0005-0000-0000-000012000000}"/>
    <cellStyle name="Comma 8" xfId="20" xr:uid="{00000000-0005-0000-0000-000013000000}"/>
    <cellStyle name="Comma 9" xfId="21" xr:uid="{00000000-0005-0000-0000-000014000000}"/>
    <cellStyle name="Currency" xfId="22" builtinId="4"/>
    <cellStyle name="Currency [0] 2" xfId="23" xr:uid="{00000000-0005-0000-0000-000016000000}"/>
    <cellStyle name="Currency [0] 3" xfId="24" xr:uid="{00000000-0005-0000-0000-000017000000}"/>
    <cellStyle name="Currency 10" xfId="25" xr:uid="{00000000-0005-0000-0000-000018000000}"/>
    <cellStyle name="Currency 11" xfId="26" xr:uid="{00000000-0005-0000-0000-000019000000}"/>
    <cellStyle name="Currency 12" xfId="27" xr:uid="{00000000-0005-0000-0000-00001A000000}"/>
    <cellStyle name="Currency 13" xfId="28" xr:uid="{00000000-0005-0000-0000-00001B000000}"/>
    <cellStyle name="Currency 14" xfId="29" xr:uid="{00000000-0005-0000-0000-00001C000000}"/>
    <cellStyle name="Currency 15" xfId="30" xr:uid="{00000000-0005-0000-0000-00001D000000}"/>
    <cellStyle name="Currency 16" xfId="31" xr:uid="{00000000-0005-0000-0000-00001E000000}"/>
    <cellStyle name="Currency 17" xfId="32" xr:uid="{00000000-0005-0000-0000-00001F000000}"/>
    <cellStyle name="Currency 18" xfId="33" xr:uid="{00000000-0005-0000-0000-000020000000}"/>
    <cellStyle name="Currency 19" xfId="34" xr:uid="{00000000-0005-0000-0000-000021000000}"/>
    <cellStyle name="Currency 2" xfId="35" xr:uid="{00000000-0005-0000-0000-000022000000}"/>
    <cellStyle name="Currency 20" xfId="36" xr:uid="{00000000-0005-0000-0000-000023000000}"/>
    <cellStyle name="Currency 3" xfId="37" xr:uid="{00000000-0005-0000-0000-000024000000}"/>
    <cellStyle name="Currency 4" xfId="38" xr:uid="{00000000-0005-0000-0000-000025000000}"/>
    <cellStyle name="Currency 5" xfId="39" xr:uid="{00000000-0005-0000-0000-000026000000}"/>
    <cellStyle name="Currency 6" xfId="40" xr:uid="{00000000-0005-0000-0000-000027000000}"/>
    <cellStyle name="Currency 7" xfId="41" xr:uid="{00000000-0005-0000-0000-000028000000}"/>
    <cellStyle name="Currency 8" xfId="42" xr:uid="{00000000-0005-0000-0000-000029000000}"/>
    <cellStyle name="Currency 9" xfId="43" xr:uid="{00000000-0005-0000-0000-00002A000000}"/>
    <cellStyle name="Normal" xfId="0" builtinId="0"/>
    <cellStyle name="Normal 2" xfId="44" xr:uid="{00000000-0005-0000-0000-00002C000000}"/>
    <cellStyle name="Normal 3" xfId="45" xr:uid="{00000000-0005-0000-0000-00002D000000}"/>
    <cellStyle name="Normal 4" xfId="46" xr:uid="{00000000-0005-0000-0000-00002E000000}"/>
    <cellStyle name="Normal_Schedule 6" xfId="47" xr:uid="{00000000-0005-0000-0000-00002F000000}"/>
    <cellStyle name="Percent" xfId="48" builtinId="5"/>
    <cellStyle name="Percent 2" xfId="49" xr:uid="{00000000-0005-0000-0000-000031000000}"/>
  </cellStyles>
  <dxfs count="13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val="0"/>
        <i val="0"/>
        <color theme="1"/>
      </font>
      <fill>
        <patternFill>
          <bgColor rgb="FFFFCC99"/>
        </patternFill>
      </fill>
    </dxf>
    <dxf>
      <font>
        <b val="0"/>
        <i val="0"/>
        <color theme="1"/>
      </font>
      <fill>
        <patternFill>
          <bgColor rgb="FFFFCC99"/>
        </patternFill>
      </fill>
    </dxf>
    <dxf>
      <font>
        <b val="0"/>
        <i val="0"/>
        <color theme="1"/>
      </font>
      <fill>
        <patternFill>
          <bgColor rgb="FFFFCC99"/>
        </patternFill>
      </fill>
    </dxf>
    <dxf>
      <font>
        <b val="0"/>
        <i val="0"/>
        <color theme="1"/>
      </font>
      <fill>
        <patternFill>
          <bgColor rgb="FFFFCC99"/>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rgb="FFFFCCCC"/>
        </patternFill>
      </fill>
    </dxf>
    <dxf>
      <fill>
        <patternFill>
          <bgColor rgb="FFFFFF00"/>
        </patternFill>
      </fill>
    </dxf>
    <dxf>
      <fill>
        <patternFill>
          <bgColor rgb="FFCCECFF"/>
        </patternFill>
      </fill>
    </dxf>
    <dxf>
      <fill>
        <patternFill>
          <bgColor theme="4" tint="0.79998168889431442"/>
        </patternFill>
      </fill>
    </dxf>
    <dxf>
      <fill>
        <patternFill>
          <bgColor rgb="FFCCECFF"/>
        </patternFill>
      </fill>
    </dxf>
    <dxf>
      <fill>
        <patternFill>
          <bgColor rgb="FFCCECFF"/>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C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CCCC"/>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tabColor rgb="FFFFFF00"/>
    <pageSetUpPr fitToPage="1"/>
  </sheetPr>
  <dimension ref="A1:AK231"/>
  <sheetViews>
    <sheetView showGridLines="0" tabSelected="1" zoomScaleNormal="100" workbookViewId="0">
      <pane ySplit="1" topLeftCell="A11" activePane="bottomLeft" state="frozen"/>
      <selection activeCell="A5" sqref="A5"/>
      <selection pane="bottomLeft" activeCell="A5" sqref="A5"/>
    </sheetView>
  </sheetViews>
  <sheetFormatPr defaultRowHeight="12.75" x14ac:dyDescent="0.2"/>
  <cols>
    <col min="1" max="1" width="44.28515625" customWidth="1"/>
    <col min="2" max="10" width="16.7109375" customWidth="1"/>
  </cols>
  <sheetData>
    <row r="1" spans="1:36" ht="21.95" customHeight="1" x14ac:dyDescent="0.25">
      <c r="A1" s="309" t="s">
        <v>224</v>
      </c>
      <c r="B1" s="203"/>
      <c r="C1" s="203" t="str">
        <f>IF(SUM(J4:J200)=0," ",CONCATENATE(" ",SUM(J4:J200)," possible errors!  Please review."))</f>
        <v xml:space="preserve"> </v>
      </c>
      <c r="D1" s="203"/>
      <c r="E1" s="20"/>
      <c r="F1" s="20"/>
      <c r="G1" s="20"/>
      <c r="H1" s="20"/>
      <c r="I1" s="20"/>
      <c r="J1" s="20"/>
      <c r="K1" s="20"/>
      <c r="L1" s="20"/>
      <c r="M1" s="20"/>
      <c r="N1" s="20"/>
      <c r="O1" s="20"/>
      <c r="P1" s="20"/>
      <c r="Q1" s="20"/>
      <c r="R1" s="20"/>
      <c r="S1" s="4"/>
      <c r="T1" s="4"/>
      <c r="U1" s="4"/>
      <c r="V1" s="4"/>
      <c r="W1" s="4"/>
      <c r="X1" s="4"/>
      <c r="Y1" s="4"/>
      <c r="Z1" s="4"/>
      <c r="AA1" s="4"/>
      <c r="AB1" s="4"/>
      <c r="AC1" s="4"/>
      <c r="AD1" s="4"/>
      <c r="AE1" s="4"/>
      <c r="AF1" s="4"/>
      <c r="AG1" s="4"/>
      <c r="AH1" s="4"/>
      <c r="AI1" s="4"/>
      <c r="AJ1" s="4"/>
    </row>
    <row r="2" spans="1:36" ht="20.25" x14ac:dyDescent="0.55000000000000004">
      <c r="A2" s="21" t="str">
        <f>'GW Net Position Exh 1'!A1:E1</f>
        <v>Owl Charter, Inc.</v>
      </c>
      <c r="B2" s="334" t="s">
        <v>64</v>
      </c>
      <c r="C2" s="334"/>
      <c r="D2" s="334"/>
      <c r="E2" s="20"/>
      <c r="F2" s="20"/>
      <c r="G2" s="20"/>
      <c r="H2" s="20"/>
      <c r="I2" s="20"/>
      <c r="J2" s="20"/>
      <c r="K2" s="20"/>
      <c r="L2" s="20"/>
      <c r="M2" s="20"/>
      <c r="N2" s="20"/>
      <c r="O2" s="20"/>
      <c r="P2" s="20"/>
      <c r="Q2" s="20"/>
      <c r="R2" s="20"/>
      <c r="S2" s="4"/>
      <c r="T2" s="4"/>
      <c r="U2" s="4"/>
      <c r="V2" s="4"/>
      <c r="W2" s="4"/>
      <c r="X2" s="4"/>
      <c r="Y2" s="4"/>
      <c r="Z2" s="4"/>
      <c r="AA2" s="4"/>
      <c r="AB2" s="4"/>
      <c r="AC2" s="4"/>
      <c r="AD2" s="4"/>
      <c r="AE2" s="4"/>
      <c r="AF2" s="4"/>
      <c r="AG2" s="4"/>
      <c r="AH2" s="4"/>
      <c r="AI2" s="4"/>
      <c r="AJ2" s="4"/>
    </row>
    <row r="3" spans="1:36" ht="40.5" customHeight="1" x14ac:dyDescent="0.55000000000000004">
      <c r="A3" s="284" t="s">
        <v>240</v>
      </c>
      <c r="B3" s="257" t="s">
        <v>69</v>
      </c>
      <c r="C3" s="257" t="s">
        <v>70</v>
      </c>
      <c r="D3" s="257" t="s">
        <v>0</v>
      </c>
      <c r="E3" s="20"/>
      <c r="F3" s="20"/>
      <c r="G3" s="202"/>
      <c r="H3" s="203"/>
      <c r="I3" s="203"/>
      <c r="J3" s="203"/>
      <c r="K3" s="20"/>
      <c r="L3" s="20"/>
      <c r="M3" s="20"/>
      <c r="N3" s="20"/>
      <c r="O3" s="20"/>
      <c r="P3" s="20"/>
      <c r="Q3" s="20"/>
      <c r="R3" s="20"/>
      <c r="S3" s="4"/>
      <c r="T3" s="4"/>
      <c r="U3" s="4"/>
      <c r="V3" s="4"/>
      <c r="W3" s="4"/>
      <c r="X3" s="4"/>
      <c r="Y3" s="4"/>
      <c r="Z3" s="4"/>
      <c r="AA3" s="4"/>
      <c r="AB3" s="4"/>
      <c r="AC3" s="4"/>
      <c r="AD3" s="4"/>
      <c r="AE3" s="4"/>
      <c r="AF3" s="4"/>
      <c r="AG3" s="4"/>
      <c r="AH3" s="4"/>
      <c r="AI3" s="4"/>
      <c r="AJ3" s="4"/>
    </row>
    <row r="4" spans="1:36" ht="15" x14ac:dyDescent="0.2">
      <c r="A4" s="20"/>
      <c r="B4" s="20"/>
      <c r="C4" s="20"/>
      <c r="D4" s="20"/>
      <c r="E4" s="20"/>
      <c r="F4" s="20"/>
      <c r="G4" s="20"/>
      <c r="H4" s="20"/>
      <c r="I4" s="20"/>
      <c r="J4" s="20"/>
      <c r="K4" s="20"/>
      <c r="L4" s="20"/>
      <c r="M4" s="20"/>
      <c r="N4" s="20"/>
      <c r="O4" s="20"/>
      <c r="P4" s="20"/>
      <c r="Q4" s="20"/>
      <c r="R4" s="20"/>
      <c r="S4" s="4"/>
      <c r="T4" s="4"/>
      <c r="U4" s="4"/>
      <c r="V4" s="4"/>
      <c r="W4" s="4"/>
      <c r="X4" s="4"/>
      <c r="Y4" s="4"/>
      <c r="Z4" s="4"/>
      <c r="AA4" s="4"/>
      <c r="AB4" s="4"/>
      <c r="AC4" s="4"/>
      <c r="AD4" s="4"/>
      <c r="AE4" s="4"/>
      <c r="AF4" s="4"/>
      <c r="AG4" s="4"/>
      <c r="AH4" s="4"/>
      <c r="AI4" s="4"/>
      <c r="AJ4" s="4"/>
    </row>
    <row r="5" spans="1:36" ht="15.75" x14ac:dyDescent="0.25">
      <c r="A5" s="150" t="s">
        <v>165</v>
      </c>
      <c r="B5" s="20"/>
      <c r="C5" s="20"/>
      <c r="D5" s="20"/>
      <c r="E5" s="20"/>
      <c r="F5" s="151"/>
      <c r="G5" s="202"/>
      <c r="H5" s="203"/>
      <c r="I5" s="203"/>
      <c r="J5" s="203"/>
      <c r="K5" s="20"/>
      <c r="L5" s="20"/>
      <c r="M5" s="20"/>
      <c r="N5" s="20"/>
      <c r="O5" s="20"/>
      <c r="P5" s="20"/>
      <c r="Q5" s="20"/>
      <c r="R5" s="20"/>
      <c r="S5" s="4"/>
      <c r="T5" s="4"/>
      <c r="U5" s="4"/>
      <c r="V5" s="4"/>
      <c r="W5" s="4"/>
      <c r="X5" s="4"/>
      <c r="Y5" s="4"/>
      <c r="Z5" s="4"/>
      <c r="AA5" s="4"/>
      <c r="AB5" s="4"/>
      <c r="AC5" s="4"/>
      <c r="AD5" s="4"/>
      <c r="AE5" s="4"/>
      <c r="AF5" s="4"/>
      <c r="AG5" s="4"/>
      <c r="AH5" s="4"/>
      <c r="AI5" s="4"/>
      <c r="AJ5" s="4"/>
    </row>
    <row r="6" spans="1:36" ht="17.25" x14ac:dyDescent="0.35">
      <c r="A6" s="20"/>
      <c r="B6" s="20"/>
      <c r="C6" s="20"/>
      <c r="D6" s="20"/>
      <c r="E6" s="20"/>
      <c r="F6" s="201" t="s">
        <v>395</v>
      </c>
      <c r="G6" s="327" t="s">
        <v>389</v>
      </c>
      <c r="H6" s="20"/>
      <c r="I6" s="20"/>
      <c r="J6" s="20"/>
      <c r="K6" s="20"/>
      <c r="L6" s="20"/>
      <c r="M6" s="20"/>
      <c r="N6" s="20"/>
      <c r="O6" s="20"/>
      <c r="P6" s="20"/>
      <c r="Q6" s="20"/>
      <c r="R6" s="20"/>
      <c r="S6" s="4"/>
      <c r="T6" s="4"/>
      <c r="U6" s="4"/>
      <c r="V6" s="4"/>
      <c r="W6" s="4"/>
      <c r="X6" s="4"/>
      <c r="Y6" s="4"/>
      <c r="Z6" s="4"/>
      <c r="AA6" s="4"/>
      <c r="AB6" s="4"/>
      <c r="AC6" s="4"/>
      <c r="AD6" s="4"/>
      <c r="AE6" s="4"/>
      <c r="AF6" s="4"/>
      <c r="AG6" s="4"/>
      <c r="AH6" s="4"/>
      <c r="AI6" s="4"/>
      <c r="AJ6" s="4"/>
    </row>
    <row r="7" spans="1:36" ht="30" x14ac:dyDescent="0.2">
      <c r="A7" s="70" t="str">
        <f>'GW Net Position Exh 1'!A49</f>
        <v>Assets + Deferred Inflows = Liabilities - Deferred Outflows - Net Position</v>
      </c>
      <c r="B7" s="134" t="str">
        <f>'GW Net Position Exh 1'!B49</f>
        <v>Yes</v>
      </c>
      <c r="C7" s="134" t="str">
        <f>'GW Net Position Exh 1'!C49</f>
        <v>Yes</v>
      </c>
      <c r="D7" s="134" t="str">
        <f>'GW Net Position Exh 1'!D49</f>
        <v>Yes</v>
      </c>
      <c r="E7" s="20"/>
      <c r="F7" s="318" t="s">
        <v>386</v>
      </c>
      <c r="G7" s="328" t="s">
        <v>393</v>
      </c>
      <c r="H7" s="20"/>
      <c r="I7" s="20"/>
      <c r="J7" s="20">
        <f>IF(AND(B7="Yes",C7="Yes",D7="Yes"),0,1)</f>
        <v>0</v>
      </c>
      <c r="K7" s="20"/>
      <c r="L7" s="20"/>
      <c r="M7" s="20"/>
      <c r="N7" s="20"/>
      <c r="O7" s="20"/>
      <c r="P7" s="20"/>
      <c r="Q7" s="20"/>
      <c r="R7" s="20"/>
      <c r="S7" s="4"/>
      <c r="T7" s="4"/>
      <c r="U7" s="4"/>
      <c r="V7" s="4"/>
      <c r="W7" s="4"/>
      <c r="X7" s="4"/>
      <c r="Y7" s="4"/>
      <c r="Z7" s="4"/>
      <c r="AA7" s="4"/>
      <c r="AB7" s="4"/>
      <c r="AC7" s="4"/>
      <c r="AD7" s="4"/>
      <c r="AE7" s="4"/>
      <c r="AF7" s="4"/>
      <c r="AG7" s="4"/>
      <c r="AH7" s="4"/>
      <c r="AI7" s="4"/>
      <c r="AJ7" s="4"/>
    </row>
    <row r="8" spans="1:36" ht="30" x14ac:dyDescent="0.2">
      <c r="A8" s="70" t="str">
        <f>'GW Net Position Exh 1'!A50</f>
        <v xml:space="preserve">Net Position:  Statement of Net Position and Statement of Activities Agree? </v>
      </c>
      <c r="B8" s="134" t="str">
        <f>'GW Net Position Exh 1'!B50</f>
        <v>Yes</v>
      </c>
      <c r="C8" s="134" t="str">
        <f>'GW Net Position Exh 1'!C50</f>
        <v>Yes</v>
      </c>
      <c r="D8" s="134" t="str">
        <f>'GW Net Position Exh 1'!D50</f>
        <v>Yes</v>
      </c>
      <c r="E8" s="20"/>
      <c r="F8" s="319" t="s">
        <v>387</v>
      </c>
      <c r="G8" s="328" t="s">
        <v>394</v>
      </c>
      <c r="H8" s="20"/>
      <c r="I8" s="20"/>
      <c r="J8" s="20">
        <f>IF(AND(B8="Yes",C8="Yes",D8="Yes"),0,1)</f>
        <v>0</v>
      </c>
      <c r="K8" s="20"/>
      <c r="L8" s="20"/>
      <c r="M8" s="20"/>
      <c r="N8" s="20"/>
      <c r="O8" s="20"/>
      <c r="P8" s="20"/>
      <c r="Q8" s="20"/>
      <c r="R8" s="20"/>
      <c r="S8" s="4"/>
      <c r="T8" s="4"/>
      <c r="U8" s="4"/>
      <c r="V8" s="4"/>
      <c r="W8" s="4"/>
      <c r="X8" s="4"/>
      <c r="Y8" s="4"/>
      <c r="Z8" s="4"/>
      <c r="AA8" s="4"/>
      <c r="AB8" s="4"/>
      <c r="AC8" s="4"/>
      <c r="AD8" s="4"/>
      <c r="AE8" s="4"/>
      <c r="AF8" s="4"/>
      <c r="AG8" s="4"/>
      <c r="AH8" s="4"/>
      <c r="AI8" s="4"/>
      <c r="AJ8" s="4"/>
    </row>
    <row r="9" spans="1:36" ht="30" x14ac:dyDescent="0.2">
      <c r="A9" s="48" t="s">
        <v>289</v>
      </c>
      <c r="B9" s="134" t="str">
        <f>'GW Net Position Exh 1'!B51</f>
        <v>Yes</v>
      </c>
      <c r="C9" s="134" t="str">
        <f>'GW Net Position Exh 1'!C51</f>
        <v>Yes</v>
      </c>
      <c r="D9" s="134" t="str">
        <f>'GW Net Position Exh 1'!D51</f>
        <v>Yes</v>
      </c>
      <c r="E9" s="20"/>
      <c r="F9" s="319" t="s">
        <v>388</v>
      </c>
      <c r="G9" s="328" t="s">
        <v>396</v>
      </c>
      <c r="H9" s="20"/>
      <c r="I9" s="20"/>
      <c r="J9" s="20"/>
      <c r="K9" s="20"/>
      <c r="L9" s="20"/>
      <c r="M9" s="20"/>
      <c r="N9" s="20"/>
      <c r="O9" s="20"/>
      <c r="P9" s="20"/>
      <c r="Q9" s="20"/>
      <c r="R9" s="20"/>
      <c r="S9" s="4"/>
      <c r="T9" s="4"/>
      <c r="U9" s="4"/>
      <c r="V9" s="4"/>
      <c r="W9" s="4"/>
      <c r="X9" s="4"/>
      <c r="Y9" s="4"/>
      <c r="Z9" s="4"/>
      <c r="AA9" s="4"/>
      <c r="AB9" s="4"/>
      <c r="AC9" s="4"/>
      <c r="AD9" s="4"/>
      <c r="AE9" s="4"/>
      <c r="AF9" s="4"/>
      <c r="AG9" s="4"/>
      <c r="AH9" s="4"/>
      <c r="AI9" s="4"/>
      <c r="AJ9" s="4"/>
    </row>
    <row r="10" spans="1:36" ht="15" x14ac:dyDescent="0.2">
      <c r="A10" s="70"/>
      <c r="B10" s="134"/>
      <c r="C10" s="134"/>
      <c r="D10" s="134"/>
      <c r="E10" s="20"/>
      <c r="F10" s="20"/>
      <c r="G10" s="20"/>
      <c r="H10" s="20"/>
      <c r="I10" s="20"/>
      <c r="J10" s="20"/>
      <c r="K10" s="20"/>
      <c r="L10" s="20"/>
      <c r="M10" s="20"/>
      <c r="N10" s="20"/>
      <c r="O10" s="20"/>
      <c r="P10" s="20"/>
      <c r="Q10" s="20"/>
      <c r="R10" s="20"/>
      <c r="S10" s="4"/>
      <c r="T10" s="4"/>
      <c r="U10" s="4"/>
      <c r="V10" s="4"/>
      <c r="W10" s="4"/>
      <c r="X10" s="4"/>
      <c r="Y10" s="4"/>
      <c r="Z10" s="4"/>
      <c r="AA10" s="4"/>
      <c r="AB10" s="4"/>
      <c r="AC10" s="4"/>
      <c r="AD10" s="4"/>
      <c r="AE10" s="4"/>
      <c r="AF10" s="4"/>
      <c r="AG10" s="4"/>
      <c r="AH10" s="4"/>
      <c r="AI10" s="4"/>
      <c r="AJ10" s="4"/>
    </row>
    <row r="11" spans="1:36" ht="15.75" x14ac:dyDescent="0.25">
      <c r="A11" s="150" t="s">
        <v>62</v>
      </c>
      <c r="B11" s="20"/>
      <c r="C11" s="20"/>
      <c r="D11" s="20"/>
      <c r="E11" s="20"/>
      <c r="F11" s="20"/>
      <c r="G11" s="20"/>
      <c r="H11" s="20"/>
      <c r="I11" s="20"/>
      <c r="J11" s="20"/>
      <c r="K11" s="20"/>
      <c r="L11" s="20"/>
      <c r="M11" s="20"/>
      <c r="N11" s="20"/>
      <c r="O11" s="20"/>
      <c r="P11" s="20"/>
      <c r="Q11" s="20"/>
      <c r="R11" s="20"/>
      <c r="S11" s="4"/>
      <c r="T11" s="4"/>
      <c r="U11" s="4"/>
      <c r="V11" s="4"/>
      <c r="W11" s="4"/>
      <c r="X11" s="4"/>
      <c r="Y11" s="4"/>
      <c r="Z11" s="4"/>
      <c r="AA11" s="4"/>
      <c r="AB11" s="4"/>
      <c r="AC11" s="4"/>
      <c r="AD11" s="4"/>
      <c r="AE11" s="4"/>
      <c r="AF11" s="4"/>
      <c r="AG11" s="4"/>
      <c r="AH11" s="4"/>
      <c r="AI11" s="4"/>
      <c r="AJ11" s="4"/>
    </row>
    <row r="12" spans="1:36" ht="15" x14ac:dyDescent="0.2">
      <c r="A12" s="20"/>
      <c r="B12" s="20"/>
      <c r="C12" s="20"/>
      <c r="D12" s="20"/>
      <c r="E12" s="20"/>
      <c r="F12" s="20"/>
      <c r="G12" s="20"/>
      <c r="H12" s="20"/>
      <c r="I12" s="20"/>
      <c r="J12" s="20"/>
      <c r="K12" s="20"/>
      <c r="L12" s="20"/>
      <c r="M12" s="20"/>
      <c r="N12" s="20"/>
      <c r="O12" s="20"/>
      <c r="P12" s="20"/>
      <c r="Q12" s="20"/>
      <c r="R12" s="20"/>
      <c r="S12" s="4"/>
      <c r="T12" s="4"/>
      <c r="U12" s="4"/>
      <c r="V12" s="4"/>
      <c r="W12" s="4"/>
      <c r="X12" s="4"/>
      <c r="Y12" s="4"/>
      <c r="Z12" s="4"/>
      <c r="AA12" s="4"/>
      <c r="AB12" s="4"/>
      <c r="AC12" s="4"/>
      <c r="AD12" s="4"/>
      <c r="AE12" s="4"/>
      <c r="AF12" s="4"/>
      <c r="AG12" s="4"/>
      <c r="AH12" s="4"/>
      <c r="AI12" s="4"/>
      <c r="AJ12" s="4"/>
    </row>
    <row r="13" spans="1:36" ht="33" customHeight="1" x14ac:dyDescent="0.2">
      <c r="A13" s="48" t="s">
        <v>185</v>
      </c>
      <c r="B13" s="134" t="str">
        <f>'GW Stmt Activities Exh 2'!G37</f>
        <v>Yes</v>
      </c>
      <c r="C13" s="68" t="str">
        <f>'GW Stmt Activities Exh 2'!H37</f>
        <v>Yes</v>
      </c>
      <c r="D13" s="134" t="str">
        <f>'GW Stmt Activities Exh 2'!I37</f>
        <v>Yes</v>
      </c>
      <c r="E13" s="20"/>
      <c r="F13" s="20"/>
      <c r="G13" s="20"/>
      <c r="H13" s="20"/>
      <c r="I13" s="20"/>
      <c r="J13" s="20">
        <f>IF(AND(B13="Yes",C13="Yes",D13="Yes"),0,1)</f>
        <v>0</v>
      </c>
      <c r="K13" s="20"/>
      <c r="L13" s="20"/>
      <c r="M13" s="20"/>
      <c r="N13" s="20"/>
      <c r="O13" s="20"/>
      <c r="P13" s="20"/>
      <c r="Q13" s="20"/>
      <c r="R13" s="20"/>
      <c r="S13" s="4"/>
      <c r="T13" s="4"/>
      <c r="U13" s="4"/>
      <c r="V13" s="4"/>
      <c r="W13" s="4"/>
      <c r="X13" s="4"/>
      <c r="Y13" s="4"/>
      <c r="Z13" s="4"/>
      <c r="AA13" s="4"/>
      <c r="AB13" s="4"/>
      <c r="AC13" s="4"/>
      <c r="AD13" s="4"/>
      <c r="AE13" s="4"/>
      <c r="AF13" s="4"/>
      <c r="AG13" s="4"/>
      <c r="AH13" s="4"/>
      <c r="AI13" s="4"/>
      <c r="AJ13" s="4"/>
    </row>
    <row r="14" spans="1:36" ht="15" x14ac:dyDescent="0.2">
      <c r="A14" s="20"/>
      <c r="B14" s="20"/>
      <c r="C14" s="20"/>
      <c r="D14" s="20"/>
      <c r="E14" s="20"/>
      <c r="F14" s="20"/>
      <c r="G14" s="20"/>
      <c r="H14" s="20"/>
      <c r="I14" s="20"/>
      <c r="J14" s="20"/>
      <c r="K14" s="20"/>
      <c r="L14" s="20"/>
      <c r="M14" s="20"/>
      <c r="N14" s="20"/>
      <c r="O14" s="20"/>
      <c r="P14" s="20"/>
      <c r="Q14" s="20"/>
      <c r="R14" s="20"/>
      <c r="S14" s="4"/>
      <c r="T14" s="4"/>
      <c r="U14" s="4"/>
      <c r="V14" s="4"/>
      <c r="W14" s="4"/>
      <c r="X14" s="4"/>
      <c r="Y14" s="4"/>
      <c r="Z14" s="4"/>
      <c r="AA14" s="4"/>
      <c r="AB14" s="4"/>
      <c r="AC14" s="4"/>
      <c r="AD14" s="4"/>
      <c r="AE14" s="4"/>
      <c r="AF14" s="4"/>
      <c r="AG14" s="4"/>
      <c r="AH14" s="4"/>
      <c r="AI14" s="4"/>
      <c r="AJ14" s="4"/>
    </row>
    <row r="15" spans="1:36" ht="30" x14ac:dyDescent="0.2">
      <c r="A15" s="104" t="s">
        <v>315</v>
      </c>
      <c r="B15" s="30"/>
      <c r="C15" s="122" t="str">
        <f>'GW Stmt Activities Exh 2'!H38</f>
        <v>Yes</v>
      </c>
      <c r="D15" s="80"/>
      <c r="E15" s="30"/>
      <c r="F15" s="30"/>
      <c r="G15" s="20"/>
      <c r="H15" s="20"/>
      <c r="I15" s="20"/>
      <c r="J15" s="20">
        <f>IF(C15="Yes",0,1)</f>
        <v>0</v>
      </c>
      <c r="K15" s="20"/>
      <c r="L15" s="20"/>
      <c r="M15" s="20"/>
      <c r="N15" s="20"/>
      <c r="O15" s="20"/>
      <c r="P15" s="20"/>
      <c r="Q15" s="20"/>
      <c r="R15" s="20"/>
      <c r="S15" s="4"/>
      <c r="T15" s="4"/>
      <c r="U15" s="4"/>
      <c r="V15" s="4"/>
      <c r="W15" s="4"/>
      <c r="X15" s="4"/>
      <c r="Y15" s="4"/>
      <c r="Z15" s="4"/>
      <c r="AA15" s="4"/>
      <c r="AB15" s="4"/>
      <c r="AC15" s="4"/>
      <c r="AD15" s="4"/>
      <c r="AE15" s="4"/>
      <c r="AF15" s="4"/>
      <c r="AG15" s="4"/>
      <c r="AH15" s="4"/>
      <c r="AI15" s="4"/>
      <c r="AJ15" s="4"/>
    </row>
    <row r="16" spans="1:36" ht="30" x14ac:dyDescent="0.2">
      <c r="A16" s="104" t="s">
        <v>317</v>
      </c>
      <c r="B16" s="30"/>
      <c r="C16" s="271" t="str">
        <f>'GW Stmt Activities Exh 2'!H39</f>
        <v>Yes</v>
      </c>
      <c r="D16" s="30"/>
      <c r="E16" s="30"/>
      <c r="F16" s="30"/>
      <c r="G16" s="20"/>
      <c r="H16" s="20"/>
      <c r="I16" s="20"/>
      <c r="J16" s="20">
        <f>IF(C16="Yes",0,1)</f>
        <v>0</v>
      </c>
      <c r="K16" s="20"/>
      <c r="L16" s="20"/>
      <c r="M16" s="20"/>
      <c r="N16" s="20"/>
      <c r="O16" s="20"/>
      <c r="P16" s="20"/>
      <c r="Q16" s="20"/>
      <c r="R16" s="20"/>
      <c r="S16" s="4"/>
      <c r="T16" s="4"/>
      <c r="U16" s="4"/>
      <c r="V16" s="4"/>
      <c r="W16" s="4"/>
      <c r="X16" s="4"/>
      <c r="Y16" s="4"/>
      <c r="Z16" s="4"/>
      <c r="AA16" s="4"/>
      <c r="AB16" s="4"/>
      <c r="AC16" s="4"/>
      <c r="AD16" s="4"/>
      <c r="AE16" s="4"/>
      <c r="AF16" s="4"/>
      <c r="AG16" s="4"/>
      <c r="AH16" s="4"/>
      <c r="AI16" s="4"/>
      <c r="AJ16" s="4"/>
    </row>
    <row r="17" spans="1:36" ht="15" x14ac:dyDescent="0.2">
      <c r="A17" s="20"/>
      <c r="B17" s="20"/>
      <c r="C17" s="20"/>
      <c r="D17" s="20"/>
      <c r="E17" s="20"/>
      <c r="F17" s="20"/>
      <c r="G17" s="20"/>
      <c r="H17" s="20"/>
      <c r="I17" s="20"/>
      <c r="J17" s="20"/>
      <c r="K17" s="20"/>
      <c r="L17" s="20"/>
      <c r="M17" s="20"/>
      <c r="N17" s="20"/>
      <c r="O17" s="20"/>
      <c r="P17" s="20"/>
      <c r="Q17" s="20"/>
      <c r="R17" s="20"/>
      <c r="S17" s="4"/>
      <c r="T17" s="4"/>
      <c r="U17" s="4"/>
      <c r="V17" s="4"/>
      <c r="W17" s="4"/>
      <c r="X17" s="4"/>
      <c r="Y17" s="4"/>
      <c r="Z17" s="4"/>
      <c r="AA17" s="4"/>
      <c r="AB17" s="4"/>
      <c r="AC17" s="4"/>
      <c r="AD17" s="4"/>
      <c r="AE17" s="4"/>
      <c r="AF17" s="4"/>
      <c r="AG17" s="4"/>
      <c r="AH17" s="4"/>
      <c r="AI17" s="4"/>
      <c r="AJ17" s="4"/>
    </row>
    <row r="18" spans="1:36" ht="15" x14ac:dyDescent="0.2">
      <c r="A18" s="30" t="s">
        <v>323</v>
      </c>
      <c r="B18" s="20"/>
      <c r="C18" s="30"/>
      <c r="D18" s="30"/>
      <c r="E18" s="30"/>
      <c r="F18" s="30"/>
      <c r="G18" s="20"/>
      <c r="H18" s="20"/>
      <c r="I18" s="20"/>
      <c r="J18" s="20"/>
      <c r="K18" s="20"/>
      <c r="L18" s="20"/>
      <c r="M18" s="20"/>
      <c r="N18" s="20"/>
      <c r="O18" s="20"/>
      <c r="P18" s="20"/>
      <c r="Q18" s="20"/>
      <c r="R18" s="20"/>
      <c r="S18" s="4"/>
      <c r="T18" s="4"/>
      <c r="U18" s="4"/>
      <c r="V18" s="4"/>
      <c r="W18" s="4"/>
      <c r="X18" s="4"/>
      <c r="Y18" s="4"/>
      <c r="Z18" s="4"/>
      <c r="AA18" s="4"/>
      <c r="AB18" s="4"/>
      <c r="AC18" s="4"/>
      <c r="AD18" s="4"/>
      <c r="AE18" s="4"/>
      <c r="AF18" s="4"/>
      <c r="AG18" s="4"/>
      <c r="AH18" s="4"/>
      <c r="AI18" s="4"/>
      <c r="AJ18" s="4"/>
    </row>
    <row r="19" spans="1:36" ht="15" x14ac:dyDescent="0.2">
      <c r="A19" s="30"/>
      <c r="B19" s="20"/>
      <c r="C19" s="30"/>
      <c r="D19" s="30"/>
      <c r="E19" s="30"/>
      <c r="F19" s="30"/>
      <c r="G19" s="20"/>
      <c r="H19" s="20"/>
      <c r="I19" s="20"/>
      <c r="J19" s="20"/>
      <c r="K19" s="20"/>
      <c r="L19" s="20"/>
      <c r="M19" s="20"/>
      <c r="N19" s="20"/>
      <c r="O19" s="20"/>
      <c r="P19" s="20"/>
      <c r="Q19" s="20"/>
      <c r="R19" s="20"/>
      <c r="S19" s="4"/>
      <c r="T19" s="4"/>
      <c r="U19" s="4"/>
      <c r="V19" s="4"/>
      <c r="W19" s="4"/>
      <c r="X19" s="4"/>
      <c r="Y19" s="4"/>
      <c r="Z19" s="4"/>
      <c r="AA19" s="4"/>
      <c r="AB19" s="4"/>
      <c r="AC19" s="4"/>
      <c r="AD19" s="4"/>
      <c r="AE19" s="4"/>
      <c r="AF19" s="4"/>
      <c r="AG19" s="4"/>
      <c r="AH19" s="4"/>
      <c r="AI19" s="4"/>
      <c r="AJ19" s="4"/>
    </row>
    <row r="20" spans="1:36" ht="51.75" x14ac:dyDescent="0.35">
      <c r="A20" s="70"/>
      <c r="B20" s="67" t="s">
        <v>5</v>
      </c>
      <c r="C20" s="27" t="s">
        <v>66</v>
      </c>
      <c r="D20" s="27" t="s">
        <v>67</v>
      </c>
      <c r="E20" s="27" t="s">
        <v>68</v>
      </c>
      <c r="F20" s="272" t="s">
        <v>322</v>
      </c>
      <c r="G20" s="20"/>
      <c r="H20" s="20"/>
      <c r="I20" s="20"/>
      <c r="J20" s="20"/>
      <c r="K20" s="20"/>
      <c r="L20" s="20"/>
      <c r="M20" s="20"/>
      <c r="N20" s="20"/>
      <c r="O20" s="20"/>
      <c r="P20" s="20"/>
      <c r="Q20" s="20"/>
      <c r="R20" s="20"/>
      <c r="S20" s="4"/>
      <c r="T20" s="4"/>
      <c r="U20" s="4"/>
      <c r="V20" s="4"/>
      <c r="W20" s="4"/>
      <c r="X20" s="4"/>
      <c r="Y20" s="4"/>
      <c r="Z20" s="4"/>
      <c r="AA20" s="4"/>
      <c r="AB20" s="4"/>
      <c r="AC20" s="4"/>
      <c r="AD20" s="4"/>
      <c r="AE20" s="4"/>
      <c r="AF20" s="4"/>
      <c r="AG20" s="4"/>
      <c r="AH20" s="4"/>
      <c r="AI20" s="4"/>
      <c r="AJ20" s="4"/>
    </row>
    <row r="21" spans="1:36" ht="15" x14ac:dyDescent="0.2">
      <c r="A21" s="80" t="s">
        <v>93</v>
      </c>
      <c r="B21" s="271" t="str">
        <f>'GW Stmt Activities Exh 2'!B43</f>
        <v>Yes</v>
      </c>
      <c r="C21" s="271" t="str">
        <f>'GW Stmt Activities Exh 2'!C43</f>
        <v>Yes</v>
      </c>
      <c r="D21" s="271" t="str">
        <f>'GW Stmt Activities Exh 2'!D43</f>
        <v>Yes</v>
      </c>
      <c r="E21" s="271" t="str">
        <f>'GW Stmt Activities Exh 2'!E43</f>
        <v>Yes</v>
      </c>
      <c r="F21" s="271" t="str">
        <f>'GW Stmt Activities Exh 2'!H43</f>
        <v>Yes</v>
      </c>
      <c r="G21" s="20"/>
      <c r="H21" s="20"/>
      <c r="I21" s="20"/>
      <c r="J21" s="20">
        <f>IF(AND(B21="Yes",C21="Yes",D21="Yes",E21="Yes",F21="Yes"),0,1)</f>
        <v>0</v>
      </c>
      <c r="K21" s="20"/>
      <c r="L21" s="20"/>
      <c r="M21" s="20"/>
      <c r="N21" s="20"/>
      <c r="O21" s="20"/>
      <c r="P21" s="20"/>
      <c r="Q21" s="20"/>
      <c r="R21" s="20"/>
      <c r="S21" s="4"/>
      <c r="T21" s="4"/>
      <c r="U21" s="4"/>
      <c r="V21" s="4"/>
      <c r="W21" s="4"/>
      <c r="X21" s="4"/>
      <c r="Y21" s="4"/>
      <c r="Z21" s="4"/>
      <c r="AA21" s="4"/>
      <c r="AB21" s="4"/>
      <c r="AC21" s="4"/>
      <c r="AD21" s="4"/>
      <c r="AE21" s="4"/>
      <c r="AF21" s="4"/>
      <c r="AG21" s="4"/>
      <c r="AH21" s="4"/>
      <c r="AI21" s="4"/>
      <c r="AJ21" s="4"/>
    </row>
    <row r="22" spans="1:36" ht="15" x14ac:dyDescent="0.2">
      <c r="A22" s="80" t="s">
        <v>408</v>
      </c>
      <c r="B22" s="271" t="str">
        <f>'GW Stmt Activities Exh 2'!B44</f>
        <v>Yes</v>
      </c>
      <c r="C22" s="271" t="str">
        <f>'GW Stmt Activities Exh 2'!C44</f>
        <v>Yes</v>
      </c>
      <c r="D22" s="271" t="str">
        <f>'GW Stmt Activities Exh 2'!D44</f>
        <v>Yes</v>
      </c>
      <c r="E22" s="271" t="str">
        <f>'GW Stmt Activities Exh 2'!E44</f>
        <v>Yes</v>
      </c>
      <c r="F22" s="271" t="str">
        <f>'GW Stmt Activities Exh 2'!H44</f>
        <v>Yes</v>
      </c>
      <c r="G22" s="20"/>
      <c r="H22" s="20"/>
      <c r="I22" s="20"/>
      <c r="J22" s="20">
        <f>IF(AND(B22="Yes",C22="Yes",D22="Yes",E22="Yes",F22="Yes"),0,1)</f>
        <v>0</v>
      </c>
      <c r="K22" s="20"/>
      <c r="L22" s="20"/>
      <c r="M22" s="20"/>
      <c r="N22" s="20"/>
      <c r="O22" s="20"/>
      <c r="P22" s="20"/>
      <c r="Q22" s="20"/>
      <c r="R22" s="20"/>
      <c r="S22" s="4"/>
      <c r="T22" s="4"/>
      <c r="U22" s="4"/>
      <c r="V22" s="4"/>
      <c r="W22" s="4"/>
      <c r="X22" s="4"/>
      <c r="Y22" s="4"/>
      <c r="Z22" s="4"/>
      <c r="AA22" s="4"/>
      <c r="AB22" s="4"/>
      <c r="AC22" s="4"/>
      <c r="AD22" s="4"/>
      <c r="AE22" s="4"/>
      <c r="AF22" s="4"/>
      <c r="AG22" s="4"/>
      <c r="AH22" s="4"/>
      <c r="AI22" s="4"/>
      <c r="AJ22" s="4"/>
    </row>
    <row r="23" spans="1:36" ht="15" x14ac:dyDescent="0.2">
      <c r="A23" s="70"/>
      <c r="B23" s="134"/>
      <c r="C23" s="134"/>
      <c r="D23" s="134"/>
      <c r="E23" s="20"/>
      <c r="F23" s="20"/>
      <c r="G23" s="20"/>
      <c r="H23" s="20"/>
      <c r="I23" s="20"/>
      <c r="J23" s="20"/>
      <c r="K23" s="20"/>
      <c r="L23" s="20"/>
      <c r="M23" s="20"/>
      <c r="N23" s="20"/>
      <c r="O23" s="20"/>
      <c r="P23" s="20"/>
      <c r="Q23" s="20"/>
      <c r="R23" s="20"/>
      <c r="S23" s="4"/>
      <c r="T23" s="4"/>
      <c r="U23" s="4"/>
      <c r="V23" s="4"/>
      <c r="W23" s="4"/>
      <c r="X23" s="4"/>
      <c r="Y23" s="4"/>
      <c r="Z23" s="4"/>
      <c r="AA23" s="4"/>
      <c r="AB23" s="4"/>
      <c r="AC23" s="4"/>
      <c r="AD23" s="4"/>
      <c r="AE23" s="4"/>
      <c r="AF23" s="4"/>
      <c r="AG23" s="4"/>
      <c r="AH23" s="4"/>
      <c r="AI23" s="4"/>
      <c r="AJ23" s="4"/>
    </row>
    <row r="24" spans="1:36" ht="15.75" customHeight="1" x14ac:dyDescent="0.2">
      <c r="A24" s="345" t="s">
        <v>7</v>
      </c>
      <c r="B24" s="68"/>
      <c r="C24" s="68"/>
      <c r="D24" s="68"/>
      <c r="E24" s="20"/>
      <c r="F24" s="20"/>
      <c r="G24" s="20"/>
      <c r="H24" s="20"/>
      <c r="I24" s="20"/>
      <c r="J24" s="20"/>
      <c r="K24" s="20"/>
      <c r="L24" s="20"/>
      <c r="M24" s="20"/>
      <c r="N24" s="20"/>
      <c r="O24" s="20"/>
      <c r="P24" s="20"/>
      <c r="Q24" s="20"/>
      <c r="R24" s="20"/>
      <c r="S24" s="4"/>
      <c r="T24" s="4"/>
      <c r="U24" s="4"/>
      <c r="V24" s="4"/>
      <c r="W24" s="4"/>
      <c r="X24" s="4"/>
      <c r="Y24" s="4"/>
      <c r="Z24" s="4"/>
      <c r="AA24" s="4"/>
      <c r="AB24" s="4"/>
      <c r="AC24" s="4"/>
      <c r="AD24" s="4"/>
      <c r="AE24" s="4"/>
      <c r="AF24" s="4"/>
      <c r="AG24" s="4"/>
      <c r="AH24" s="4"/>
      <c r="AI24" s="4"/>
      <c r="AJ24" s="4"/>
    </row>
    <row r="25" spans="1:36" ht="21.95" customHeight="1" x14ac:dyDescent="0.55000000000000004">
      <c r="A25" s="345"/>
      <c r="B25" s="339" t="s">
        <v>122</v>
      </c>
      <c r="C25" s="339"/>
      <c r="D25" s="339"/>
      <c r="E25" s="339"/>
      <c r="F25" s="335" t="s">
        <v>225</v>
      </c>
      <c r="G25" s="335" t="str">
        <f>'Govt Funds Bal Sh Exh 3'!G5</f>
        <v>Total Governmental Funds</v>
      </c>
      <c r="H25" s="20"/>
      <c r="I25" s="20"/>
      <c r="J25" s="20"/>
      <c r="K25" s="20"/>
      <c r="L25" s="20"/>
      <c r="M25" s="20"/>
      <c r="N25" s="20"/>
      <c r="O25" s="20"/>
      <c r="P25" s="20"/>
      <c r="Q25" s="20"/>
      <c r="R25" s="20"/>
      <c r="S25" s="4"/>
      <c r="T25" s="4"/>
      <c r="U25" s="4"/>
      <c r="V25" s="4"/>
      <c r="W25" s="4"/>
      <c r="X25" s="4"/>
      <c r="Y25" s="4"/>
      <c r="Z25" s="4"/>
      <c r="AA25" s="4"/>
      <c r="AB25" s="4"/>
      <c r="AC25" s="4"/>
      <c r="AD25" s="4"/>
      <c r="AE25" s="4"/>
      <c r="AF25" s="4"/>
      <c r="AG25" s="4"/>
      <c r="AH25" s="4"/>
      <c r="AI25" s="4"/>
      <c r="AJ25" s="4"/>
    </row>
    <row r="26" spans="1:36" ht="43.5" customHeight="1" x14ac:dyDescent="0.55000000000000004">
      <c r="A26" s="20"/>
      <c r="B26" s="258" t="str">
        <f>'Govt Funds Bal Sh Exh 3'!B7</f>
        <v>General Fund</v>
      </c>
      <c r="C26" s="258" t="str">
        <f>'Govt Funds Bal Sh Exh 3'!C7</f>
        <v>Owl - Doceo</v>
      </c>
      <c r="D26" s="258" t="str">
        <f>'Govt Funds Bal Sh Exh 3'!D7</f>
        <v>Owl - Erudio</v>
      </c>
      <c r="E26" s="258" t="str">
        <f>'Govt Funds Bal Sh Exh 3'!E7</f>
        <v>Owl - Discite</v>
      </c>
      <c r="F26" s="335">
        <f>'Govt Funds Bal Sh Exh 3'!F7</f>
        <v>0</v>
      </c>
      <c r="G26" s="335">
        <f>'Govt Funds Bal Sh Exh 3'!G7</f>
        <v>0</v>
      </c>
      <c r="H26" s="20"/>
      <c r="I26" s="20"/>
      <c r="J26" s="20"/>
      <c r="K26" s="20"/>
      <c r="L26" s="20"/>
      <c r="M26" s="20"/>
      <c r="N26" s="20"/>
      <c r="O26" s="20"/>
      <c r="P26" s="20"/>
      <c r="Q26" s="20"/>
      <c r="R26" s="20"/>
      <c r="S26" s="4"/>
      <c r="T26" s="4"/>
      <c r="U26" s="4"/>
      <c r="V26" s="4"/>
      <c r="W26" s="4"/>
      <c r="X26" s="4"/>
      <c r="Y26" s="4"/>
      <c r="Z26" s="4"/>
      <c r="AA26" s="4"/>
      <c r="AB26" s="4"/>
      <c r="AC26" s="4"/>
      <c r="AD26" s="4"/>
      <c r="AE26" s="4"/>
      <c r="AF26" s="4"/>
      <c r="AG26" s="4"/>
      <c r="AH26" s="4"/>
      <c r="AI26" s="4"/>
      <c r="AJ26" s="4"/>
    </row>
    <row r="27" spans="1:36" ht="15.75" customHeight="1" x14ac:dyDescent="0.2">
      <c r="A27" s="20"/>
      <c r="B27" s="20"/>
      <c r="C27" s="20"/>
      <c r="D27" s="20"/>
      <c r="E27" s="20"/>
      <c r="F27" s="20"/>
      <c r="G27" s="20"/>
      <c r="H27" s="20"/>
      <c r="I27" s="20"/>
      <c r="J27" s="20"/>
      <c r="K27" s="20"/>
      <c r="L27" s="20"/>
      <c r="M27" s="20"/>
      <c r="N27" s="20"/>
      <c r="O27" s="20"/>
      <c r="P27" s="20"/>
      <c r="Q27" s="20"/>
      <c r="R27" s="20"/>
      <c r="S27" s="4"/>
      <c r="T27" s="4"/>
      <c r="U27" s="4"/>
      <c r="V27" s="4"/>
      <c r="W27" s="4"/>
      <c r="X27" s="4"/>
      <c r="Y27" s="4"/>
      <c r="Z27" s="4"/>
      <c r="AA27" s="4"/>
      <c r="AB27" s="4"/>
      <c r="AC27" s="4"/>
      <c r="AD27" s="4"/>
      <c r="AE27" s="4"/>
      <c r="AF27" s="4"/>
      <c r="AG27" s="4"/>
      <c r="AH27" s="4"/>
      <c r="AI27" s="4"/>
      <c r="AJ27" s="4"/>
    </row>
    <row r="28" spans="1:36" ht="15.75" x14ac:dyDescent="0.25">
      <c r="A28" s="150" t="s">
        <v>6</v>
      </c>
      <c r="B28" s="20"/>
      <c r="C28" s="20"/>
      <c r="D28" s="20"/>
      <c r="E28" s="20"/>
      <c r="F28" s="20"/>
      <c r="G28" s="20"/>
      <c r="H28" s="20"/>
      <c r="I28" s="20"/>
      <c r="J28" s="20"/>
      <c r="K28" s="20"/>
      <c r="L28" s="20"/>
      <c r="M28" s="20"/>
      <c r="N28" s="20"/>
      <c r="O28" s="20"/>
      <c r="P28" s="20"/>
      <c r="Q28" s="20"/>
      <c r="R28" s="20"/>
      <c r="S28" s="4"/>
      <c r="T28" s="4"/>
      <c r="U28" s="4"/>
      <c r="V28" s="4"/>
      <c r="W28" s="4"/>
      <c r="X28" s="4"/>
      <c r="Y28" s="4"/>
      <c r="Z28" s="4"/>
      <c r="AA28" s="4"/>
      <c r="AB28" s="4"/>
      <c r="AC28" s="4"/>
      <c r="AD28" s="4"/>
      <c r="AE28" s="4"/>
      <c r="AF28" s="4"/>
      <c r="AG28" s="4"/>
      <c r="AH28" s="4"/>
      <c r="AI28" s="4"/>
      <c r="AJ28" s="4"/>
    </row>
    <row r="29" spans="1:36" ht="15" x14ac:dyDescent="0.2">
      <c r="A29" s="20"/>
      <c r="B29" s="20"/>
      <c r="C29" s="20"/>
      <c r="D29" s="20"/>
      <c r="E29" s="20"/>
      <c r="F29" s="20"/>
      <c r="G29" s="20"/>
      <c r="H29" s="20"/>
      <c r="I29" s="20"/>
      <c r="J29" s="20"/>
      <c r="K29" s="20"/>
      <c r="L29" s="20"/>
      <c r="M29" s="20"/>
      <c r="N29" s="20"/>
      <c r="O29" s="20"/>
      <c r="P29" s="20"/>
      <c r="Q29" s="20"/>
      <c r="R29" s="20"/>
      <c r="S29" s="4"/>
      <c r="T29" s="4"/>
      <c r="U29" s="4"/>
      <c r="V29" s="4"/>
      <c r="W29" s="4"/>
      <c r="X29" s="4"/>
      <c r="Y29" s="4"/>
      <c r="Z29" s="4"/>
      <c r="AA29" s="4"/>
      <c r="AB29" s="4"/>
      <c r="AC29" s="4"/>
      <c r="AD29" s="4"/>
      <c r="AE29" s="4"/>
      <c r="AF29" s="4"/>
      <c r="AG29" s="4"/>
      <c r="AH29" s="4"/>
      <c r="AI29" s="4"/>
      <c r="AJ29" s="4"/>
    </row>
    <row r="30" spans="1:36" ht="30" x14ac:dyDescent="0.2">
      <c r="A30" s="104" t="s">
        <v>186</v>
      </c>
      <c r="B30" s="134" t="str">
        <f>'Govt Funds Bal Sh Exh 3'!B46</f>
        <v>Yes</v>
      </c>
      <c r="C30" s="134" t="str">
        <f>'Govt Funds Bal Sh Exh 3'!M46</f>
        <v>Yes</v>
      </c>
      <c r="D30" s="134" t="str">
        <f>'Govt Funds Bal Sh Exh 3'!N46</f>
        <v>Yes</v>
      </c>
      <c r="E30" s="134" t="str">
        <f>'Govt Funds Bal Sh Exh 3'!V46</f>
        <v>Yes</v>
      </c>
      <c r="F30" s="134" t="str">
        <f>'Govt Funds Bal Sh Exh 3'!W46</f>
        <v>Yes</v>
      </c>
      <c r="G30" s="134" t="str">
        <f>'Govt Funds Bal Sh Exh 3'!X46</f>
        <v>Yes</v>
      </c>
      <c r="H30" s="20"/>
      <c r="I30" s="20"/>
      <c r="J30" s="20">
        <f>IF(AND(B30="Yes",C30="Yes",D30="Yes",E30="Yes",F30="Yes",G30="Yes"),0,1)</f>
        <v>0</v>
      </c>
      <c r="K30" s="20"/>
      <c r="L30" s="20"/>
      <c r="M30" s="20"/>
      <c r="N30" s="20"/>
      <c r="O30" s="20"/>
      <c r="P30" s="20"/>
      <c r="Q30" s="20"/>
      <c r="R30" s="20"/>
      <c r="S30" s="4"/>
      <c r="T30" s="4"/>
      <c r="U30" s="4"/>
      <c r="V30" s="4"/>
      <c r="W30" s="4"/>
      <c r="X30" s="4"/>
      <c r="Y30" s="4"/>
      <c r="Z30" s="4"/>
      <c r="AA30" s="4"/>
      <c r="AB30" s="4"/>
      <c r="AC30" s="4"/>
      <c r="AD30" s="4"/>
      <c r="AE30" s="4"/>
      <c r="AF30" s="4"/>
      <c r="AG30" s="4"/>
      <c r="AH30" s="4"/>
      <c r="AI30" s="4"/>
      <c r="AJ30" s="4"/>
    </row>
    <row r="31" spans="1:36" ht="15" x14ac:dyDescent="0.2">
      <c r="A31" s="20"/>
      <c r="B31" s="20"/>
      <c r="C31" s="20"/>
      <c r="D31" s="20"/>
      <c r="E31" s="20"/>
      <c r="F31" s="20"/>
      <c r="G31" s="20"/>
      <c r="H31" s="20"/>
      <c r="I31" s="20"/>
      <c r="J31" s="20"/>
      <c r="K31" s="20"/>
      <c r="L31" s="20"/>
      <c r="M31" s="20"/>
      <c r="N31" s="20"/>
      <c r="O31" s="20"/>
      <c r="P31" s="20"/>
      <c r="Q31" s="20"/>
      <c r="R31" s="20"/>
      <c r="S31" s="4"/>
      <c r="T31" s="4"/>
      <c r="U31" s="4"/>
      <c r="V31" s="4"/>
      <c r="W31" s="4"/>
      <c r="X31" s="4"/>
      <c r="Y31" s="4"/>
      <c r="Z31" s="4"/>
      <c r="AA31" s="4"/>
      <c r="AB31" s="4"/>
      <c r="AC31" s="4"/>
      <c r="AD31" s="4"/>
      <c r="AE31" s="4"/>
      <c r="AF31" s="4"/>
      <c r="AG31" s="4"/>
      <c r="AH31" s="4"/>
      <c r="AI31" s="4"/>
      <c r="AJ31" s="4"/>
    </row>
    <row r="32" spans="1:36" ht="30" x14ac:dyDescent="0.2">
      <c r="A32" s="105" t="s">
        <v>188</v>
      </c>
      <c r="B32" s="134" t="str">
        <f>'Govt Funds Bal Sh Exh 3'!B47</f>
        <v>Yes</v>
      </c>
      <c r="C32" s="134" t="str">
        <f>'Govt Funds Bal Sh Exh 3'!C47</f>
        <v>Yes</v>
      </c>
      <c r="D32" s="134" t="str">
        <f>'Govt Funds Bal Sh Exh 3'!D47</f>
        <v>Yes</v>
      </c>
      <c r="E32" s="134" t="str">
        <f>'Govt Funds Bal Sh Exh 3'!E47</f>
        <v>Yes</v>
      </c>
      <c r="F32" s="134" t="str">
        <f>'Govt Funds Bal Sh Exh 3'!F47</f>
        <v>Yes</v>
      </c>
      <c r="G32" s="134" t="str">
        <f>'Govt Funds Bal Sh Exh 3'!G47</f>
        <v>Yes</v>
      </c>
      <c r="H32" s="20"/>
      <c r="I32" s="20"/>
      <c r="J32" s="20">
        <f>IF(AND(B32="Yes",C32="Yes",D32="Yes",E32="Yes",F32="Yes",G32="Yes"),0,1)</f>
        <v>0</v>
      </c>
      <c r="K32" s="20"/>
      <c r="L32" s="20"/>
      <c r="M32" s="20"/>
      <c r="N32" s="20"/>
      <c r="O32" s="20"/>
      <c r="P32" s="20"/>
      <c r="Q32" s="20"/>
      <c r="R32" s="20"/>
      <c r="S32" s="4"/>
      <c r="T32" s="4"/>
      <c r="U32" s="4"/>
      <c r="V32" s="4"/>
      <c r="W32" s="4"/>
      <c r="X32" s="4"/>
      <c r="Y32" s="4"/>
      <c r="Z32" s="4"/>
      <c r="AA32" s="4"/>
      <c r="AB32" s="4"/>
      <c r="AC32" s="4"/>
      <c r="AD32" s="4"/>
      <c r="AE32" s="4"/>
      <c r="AF32" s="4"/>
      <c r="AG32" s="4"/>
      <c r="AH32" s="4"/>
      <c r="AI32" s="4"/>
      <c r="AJ32" s="4"/>
    </row>
    <row r="33" spans="1:36" ht="15" x14ac:dyDescent="0.2">
      <c r="A33" s="105"/>
      <c r="B33" s="134"/>
      <c r="C33" s="134"/>
      <c r="D33" s="134"/>
      <c r="E33" s="134"/>
      <c r="F33" s="134"/>
      <c r="G33" s="134"/>
      <c r="H33" s="20"/>
      <c r="I33" s="20"/>
      <c r="J33" s="20"/>
      <c r="K33" s="20"/>
      <c r="L33" s="20"/>
      <c r="M33" s="20"/>
      <c r="N33" s="20"/>
      <c r="O33" s="20"/>
      <c r="P33" s="20"/>
      <c r="Q33" s="20"/>
      <c r="R33" s="20"/>
      <c r="S33" s="4"/>
      <c r="T33" s="4"/>
      <c r="U33" s="4"/>
      <c r="V33" s="4"/>
      <c r="W33" s="4"/>
      <c r="X33" s="4"/>
      <c r="Y33" s="4"/>
      <c r="Z33" s="4"/>
      <c r="AA33" s="4"/>
      <c r="AB33" s="4"/>
      <c r="AC33" s="4"/>
      <c r="AD33" s="4"/>
      <c r="AE33" s="4"/>
      <c r="AF33" s="4"/>
      <c r="AG33" s="4"/>
      <c r="AH33" s="4"/>
      <c r="AI33" s="4"/>
      <c r="AJ33" s="4"/>
    </row>
    <row r="34" spans="1:36" ht="15.75" x14ac:dyDescent="0.25">
      <c r="A34" s="20" t="s">
        <v>333</v>
      </c>
      <c r="B34" s="311">
        <f>'Govt Funds Inc Stmt Exh 4'!B47</f>
        <v>0.18277062393082377</v>
      </c>
      <c r="C34" s="311">
        <f>'Govt Funds Inc Stmt Exh 4'!C47</f>
        <v>-0.28874065920950553</v>
      </c>
      <c r="D34" s="311">
        <f>'Govt Funds Inc Stmt Exh 4'!D47</f>
        <v>-0.28873753071735542</v>
      </c>
      <c r="E34" s="311">
        <f>'Govt Funds Inc Stmt Exh 4'!E47</f>
        <v>-0.25282625440568907</v>
      </c>
      <c r="F34" s="311" t="str">
        <f>'Govt Funds Inc Stmt Exh 4'!F47</f>
        <v xml:space="preserve">na   </v>
      </c>
      <c r="G34" s="311">
        <f>'Govt Funds Inc Stmt Exh 4'!G47</f>
        <v>-7.7870759795722111E-2</v>
      </c>
      <c r="H34" s="20"/>
      <c r="I34" s="20"/>
      <c r="J34" s="20"/>
      <c r="K34" s="20"/>
      <c r="L34" s="20"/>
      <c r="M34" s="20"/>
      <c r="N34" s="20"/>
      <c r="O34" s="20"/>
      <c r="P34" s="20"/>
      <c r="Q34" s="20"/>
      <c r="R34" s="20"/>
      <c r="S34" s="4"/>
      <c r="T34" s="4"/>
      <c r="U34" s="4"/>
      <c r="V34" s="4"/>
      <c r="W34" s="4"/>
      <c r="X34" s="4"/>
      <c r="Y34" s="4"/>
      <c r="Z34" s="4"/>
      <c r="AA34" s="4"/>
      <c r="AB34" s="4"/>
      <c r="AC34" s="4"/>
      <c r="AD34" s="4"/>
      <c r="AE34" s="4"/>
      <c r="AF34" s="4"/>
      <c r="AG34" s="4"/>
      <c r="AH34" s="4"/>
      <c r="AI34" s="4"/>
      <c r="AJ34" s="4"/>
    </row>
    <row r="35" spans="1:36" ht="15" x14ac:dyDescent="0.2">
      <c r="A35" s="20"/>
      <c r="B35" s="20"/>
      <c r="C35" s="20"/>
      <c r="D35" s="20"/>
      <c r="E35" s="20"/>
      <c r="F35" s="20"/>
      <c r="G35" s="20"/>
      <c r="H35" s="20"/>
      <c r="I35" s="20"/>
      <c r="J35" s="20"/>
      <c r="K35" s="20"/>
      <c r="L35" s="20"/>
      <c r="M35" s="20"/>
      <c r="N35" s="20"/>
      <c r="O35" s="20"/>
      <c r="P35" s="20"/>
      <c r="Q35" s="20"/>
      <c r="R35" s="20"/>
      <c r="S35" s="4"/>
      <c r="T35" s="4"/>
      <c r="U35" s="4"/>
      <c r="V35" s="4"/>
      <c r="W35" s="4"/>
      <c r="X35" s="4"/>
      <c r="Y35" s="4"/>
      <c r="Z35" s="4"/>
      <c r="AA35" s="4"/>
      <c r="AB35" s="4"/>
      <c r="AC35" s="4"/>
      <c r="AD35" s="4"/>
      <c r="AE35" s="4"/>
      <c r="AF35" s="4"/>
      <c r="AG35" s="4"/>
      <c r="AH35" s="4"/>
      <c r="AI35" s="4"/>
      <c r="AJ35" s="4"/>
    </row>
    <row r="36" spans="1:36" ht="34.5" customHeight="1" x14ac:dyDescent="0.25">
      <c r="A36" s="152" t="s">
        <v>11</v>
      </c>
      <c r="B36" s="142"/>
      <c r="C36" s="142"/>
      <c r="D36" s="142"/>
      <c r="E36" s="142"/>
      <c r="F36" s="142"/>
      <c r="G36" s="20"/>
      <c r="H36" s="20"/>
      <c r="I36" s="20"/>
      <c r="J36" s="20"/>
      <c r="K36" s="20"/>
      <c r="L36" s="20"/>
      <c r="M36" s="20"/>
      <c r="N36" s="20"/>
      <c r="O36" s="20"/>
      <c r="P36" s="20"/>
      <c r="Q36" s="20"/>
      <c r="R36" s="20"/>
      <c r="S36" s="4"/>
      <c r="T36" s="4"/>
      <c r="U36" s="4"/>
      <c r="V36" s="4"/>
      <c r="W36" s="4"/>
      <c r="X36" s="4"/>
      <c r="Y36" s="4"/>
      <c r="Z36" s="4"/>
      <c r="AA36" s="4"/>
      <c r="AB36" s="4"/>
      <c r="AC36" s="4"/>
      <c r="AD36" s="4"/>
      <c r="AE36" s="4"/>
      <c r="AF36" s="4"/>
      <c r="AG36" s="4"/>
      <c r="AH36" s="4"/>
      <c r="AI36" s="4"/>
      <c r="AJ36" s="4"/>
    </row>
    <row r="37" spans="1:36" ht="15" x14ac:dyDescent="0.2">
      <c r="A37" s="20"/>
      <c r="B37" s="20"/>
      <c r="C37" s="20"/>
      <c r="D37" s="20"/>
      <c r="E37" s="20"/>
      <c r="F37" s="20"/>
      <c r="G37" s="20"/>
      <c r="H37" s="20"/>
      <c r="I37" s="20"/>
      <c r="J37" s="20"/>
      <c r="K37" s="20"/>
      <c r="L37" s="20"/>
      <c r="M37" s="20"/>
      <c r="N37" s="20"/>
      <c r="O37" s="20"/>
      <c r="P37" s="20"/>
      <c r="Q37" s="20"/>
      <c r="R37" s="20"/>
      <c r="S37" s="4"/>
      <c r="T37" s="4"/>
      <c r="U37" s="4"/>
      <c r="V37" s="4"/>
      <c r="W37" s="4"/>
      <c r="X37" s="4"/>
      <c r="Y37" s="4"/>
      <c r="Z37" s="4"/>
      <c r="AA37" s="4"/>
      <c r="AB37" s="4"/>
      <c r="AC37" s="4"/>
      <c r="AD37" s="4"/>
      <c r="AE37" s="4"/>
      <c r="AF37" s="4"/>
      <c r="AG37" s="4"/>
      <c r="AH37" s="4"/>
      <c r="AI37" s="4"/>
      <c r="AJ37" s="4"/>
    </row>
    <row r="38" spans="1:36" ht="45" x14ac:dyDescent="0.2">
      <c r="A38" s="70" t="s">
        <v>187</v>
      </c>
      <c r="B38" s="135" t="str">
        <f>'Govt Funds Bal Sh Exh 3'!B47</f>
        <v>Yes</v>
      </c>
      <c r="C38" s="135" t="str">
        <f>'Govt Funds Bal Sh Exh 3'!C47</f>
        <v>Yes</v>
      </c>
      <c r="D38" s="135" t="str">
        <f>'Govt Funds Bal Sh Exh 3'!D47</f>
        <v>Yes</v>
      </c>
      <c r="E38" s="135" t="str">
        <f>'Govt Funds Bal Sh Exh 3'!E47</f>
        <v>Yes</v>
      </c>
      <c r="F38" s="135" t="str">
        <f>'Govt Funds Bal Sh Exh 3'!F47</f>
        <v>Yes</v>
      </c>
      <c r="G38" s="135" t="str">
        <f>'Govt Funds Bal Sh Exh 3'!G47</f>
        <v>Yes</v>
      </c>
      <c r="H38" s="20"/>
      <c r="I38" s="20"/>
      <c r="J38" s="20">
        <f>IF(AND(B38="Yes",C38="Yes",D38="Yes",E38="Yes",F38="Yes",G38="Yes"),0,1)</f>
        <v>0</v>
      </c>
      <c r="K38" s="20"/>
      <c r="L38" s="20"/>
      <c r="M38" s="20"/>
      <c r="N38" s="20"/>
      <c r="O38" s="20"/>
      <c r="P38" s="20"/>
      <c r="Q38" s="20"/>
      <c r="R38" s="20"/>
      <c r="S38" s="4"/>
      <c r="T38" s="4"/>
      <c r="U38" s="4"/>
      <c r="V38" s="4"/>
      <c r="W38" s="4"/>
      <c r="X38" s="4"/>
      <c r="Y38" s="4"/>
      <c r="Z38" s="4"/>
      <c r="AA38" s="4"/>
      <c r="AB38" s="4"/>
      <c r="AC38" s="4"/>
      <c r="AD38" s="4"/>
      <c r="AE38" s="4"/>
      <c r="AF38" s="4"/>
      <c r="AG38" s="4"/>
      <c r="AH38" s="4"/>
      <c r="AI38" s="4"/>
      <c r="AJ38" s="4"/>
    </row>
    <row r="39" spans="1:36" ht="15" x14ac:dyDescent="0.2">
      <c r="A39" s="70"/>
      <c r="B39" s="135"/>
      <c r="C39" s="135"/>
      <c r="D39" s="135"/>
      <c r="E39" s="135"/>
      <c r="F39" s="135"/>
      <c r="G39" s="153"/>
      <c r="H39" s="20"/>
      <c r="I39" s="20"/>
      <c r="J39" s="20"/>
      <c r="K39" s="20"/>
      <c r="L39" s="20"/>
      <c r="M39" s="20"/>
      <c r="N39" s="20"/>
      <c r="O39" s="20"/>
      <c r="P39" s="20"/>
      <c r="Q39" s="20"/>
      <c r="R39" s="20"/>
      <c r="S39" s="4"/>
      <c r="T39" s="4"/>
      <c r="U39" s="4"/>
      <c r="V39" s="4"/>
      <c r="W39" s="4"/>
      <c r="X39" s="4"/>
      <c r="Y39" s="4"/>
      <c r="Z39" s="4"/>
      <c r="AA39" s="4"/>
      <c r="AB39" s="4"/>
      <c r="AC39" s="4"/>
      <c r="AD39" s="4"/>
      <c r="AE39" s="4"/>
      <c r="AF39" s="4"/>
      <c r="AG39" s="4"/>
      <c r="AH39" s="4"/>
      <c r="AI39" s="4"/>
      <c r="AJ39" s="4"/>
    </row>
    <row r="40" spans="1:36" ht="15.75" x14ac:dyDescent="0.25">
      <c r="A40" s="28" t="s">
        <v>241</v>
      </c>
      <c r="B40" s="20"/>
      <c r="C40" s="135"/>
      <c r="D40" s="135"/>
      <c r="E40" s="135"/>
      <c r="F40" s="135"/>
      <c r="G40" s="153"/>
      <c r="H40" s="20"/>
      <c r="I40" s="20"/>
      <c r="J40" s="20"/>
      <c r="K40" s="20"/>
      <c r="L40" s="20"/>
      <c r="M40" s="20"/>
      <c r="N40" s="20"/>
      <c r="O40" s="20"/>
      <c r="P40" s="20"/>
      <c r="Q40" s="20"/>
      <c r="R40" s="20"/>
      <c r="S40" s="4"/>
      <c r="T40" s="4"/>
      <c r="U40" s="4"/>
      <c r="V40" s="4"/>
      <c r="W40" s="4"/>
      <c r="X40" s="4"/>
      <c r="Y40" s="4"/>
      <c r="Z40" s="4"/>
      <c r="AA40" s="4"/>
      <c r="AB40" s="4"/>
      <c r="AC40" s="4"/>
      <c r="AD40" s="4"/>
      <c r="AE40" s="4"/>
      <c r="AF40" s="4"/>
      <c r="AG40" s="4"/>
      <c r="AH40" s="4"/>
      <c r="AI40" s="4"/>
      <c r="AJ40" s="4"/>
    </row>
    <row r="41" spans="1:36" ht="15" x14ac:dyDescent="0.2">
      <c r="A41" s="36" t="s">
        <v>206</v>
      </c>
      <c r="B41" s="135"/>
      <c r="C41" s="135"/>
      <c r="D41" s="135" t="str">
        <f>'Recon Change Net Pos Exh 5'!F35</f>
        <v>Yes</v>
      </c>
      <c r="E41" s="135"/>
      <c r="F41" s="135"/>
      <c r="G41" s="153"/>
      <c r="H41" s="20"/>
      <c r="I41" s="20"/>
      <c r="J41" s="20">
        <f>IF(D41="Yes",0,1)</f>
        <v>0</v>
      </c>
      <c r="K41" s="20"/>
      <c r="L41" s="20"/>
      <c r="M41" s="20"/>
      <c r="N41" s="20"/>
      <c r="O41" s="20"/>
      <c r="P41" s="20"/>
      <c r="Q41" s="20"/>
      <c r="R41" s="20"/>
      <c r="S41" s="4"/>
      <c r="T41" s="4"/>
      <c r="U41" s="4"/>
      <c r="V41" s="4"/>
      <c r="W41" s="4"/>
      <c r="X41" s="4"/>
      <c r="Y41" s="4"/>
      <c r="Z41" s="4"/>
      <c r="AA41" s="4"/>
      <c r="AB41" s="4"/>
      <c r="AC41" s="4"/>
      <c r="AD41" s="4"/>
      <c r="AE41" s="4"/>
      <c r="AF41" s="4"/>
      <c r="AG41" s="4"/>
      <c r="AH41" s="4"/>
      <c r="AI41" s="4"/>
      <c r="AJ41" s="4"/>
    </row>
    <row r="42" spans="1:36" ht="15" x14ac:dyDescent="0.2">
      <c r="A42" s="20"/>
      <c r="B42" s="20"/>
      <c r="C42" s="20"/>
      <c r="D42" s="20"/>
      <c r="E42" s="20"/>
      <c r="F42" s="20"/>
      <c r="G42" s="20"/>
      <c r="H42" s="20"/>
      <c r="I42" s="20"/>
      <c r="J42" s="20"/>
      <c r="K42" s="20"/>
      <c r="L42" s="20"/>
      <c r="M42" s="20"/>
      <c r="N42" s="20"/>
      <c r="O42" s="20"/>
      <c r="P42" s="20"/>
      <c r="Q42" s="20"/>
      <c r="R42" s="20"/>
      <c r="S42" s="4"/>
      <c r="T42" s="4"/>
      <c r="U42" s="4"/>
      <c r="V42" s="4"/>
      <c r="W42" s="4"/>
      <c r="X42" s="4"/>
      <c r="Y42" s="4"/>
      <c r="Z42" s="4"/>
      <c r="AA42" s="4"/>
      <c r="AB42" s="4"/>
      <c r="AC42" s="4"/>
      <c r="AD42" s="4"/>
      <c r="AE42" s="4"/>
      <c r="AF42" s="4"/>
      <c r="AG42" s="4"/>
      <c r="AH42" s="4"/>
      <c r="AI42" s="4"/>
      <c r="AJ42" s="4"/>
    </row>
    <row r="43" spans="1:36" ht="15" customHeight="1" x14ac:dyDescent="0.2">
      <c r="A43" s="344" t="s">
        <v>20</v>
      </c>
      <c r="B43" s="20"/>
      <c r="C43" s="20"/>
      <c r="D43" s="20"/>
      <c r="E43" s="20"/>
      <c r="F43" s="20"/>
      <c r="G43" s="20"/>
      <c r="H43" s="20"/>
      <c r="I43" s="20"/>
      <c r="J43" s="20"/>
      <c r="K43" s="20"/>
      <c r="L43" s="20"/>
      <c r="M43" s="20"/>
      <c r="N43" s="20"/>
      <c r="O43" s="20"/>
      <c r="P43" s="20"/>
      <c r="Q43" s="20"/>
      <c r="R43" s="20"/>
      <c r="S43" s="4"/>
      <c r="T43" s="4"/>
      <c r="U43" s="4"/>
      <c r="V43" s="4"/>
      <c r="W43" s="4"/>
      <c r="X43" s="4"/>
      <c r="Y43" s="4"/>
      <c r="Z43" s="4"/>
      <c r="AA43" s="4"/>
      <c r="AB43" s="4"/>
      <c r="AC43" s="4"/>
      <c r="AD43" s="4"/>
      <c r="AE43" s="4"/>
      <c r="AF43" s="4"/>
      <c r="AG43" s="4"/>
      <c r="AH43" s="4"/>
      <c r="AI43" s="4"/>
      <c r="AJ43" s="4"/>
    </row>
    <row r="44" spans="1:36" ht="21.95" customHeight="1" x14ac:dyDescent="0.55000000000000004">
      <c r="A44" s="344"/>
      <c r="B44" s="339" t="s">
        <v>20</v>
      </c>
      <c r="C44" s="339"/>
      <c r="D44" s="339"/>
      <c r="E44" s="339"/>
      <c r="F44" s="339"/>
      <c r="G44" s="20"/>
      <c r="H44" s="20"/>
      <c r="I44" s="20"/>
      <c r="J44" s="20"/>
      <c r="K44" s="20"/>
      <c r="L44" s="20"/>
      <c r="M44" s="20"/>
      <c r="N44" s="20"/>
      <c r="O44" s="20"/>
      <c r="P44" s="20"/>
      <c r="Q44" s="20"/>
      <c r="R44" s="20"/>
      <c r="S44" s="4"/>
      <c r="T44" s="4"/>
      <c r="U44" s="4"/>
      <c r="V44" s="4"/>
      <c r="W44" s="4"/>
      <c r="X44" s="4"/>
      <c r="Y44" s="4"/>
      <c r="Z44" s="4"/>
      <c r="AA44" s="4"/>
      <c r="AB44" s="4"/>
      <c r="AC44" s="4"/>
      <c r="AD44" s="4"/>
      <c r="AE44" s="4"/>
      <c r="AF44" s="4"/>
      <c r="AG44" s="4"/>
      <c r="AH44" s="4"/>
      <c r="AI44" s="4"/>
      <c r="AJ44" s="4"/>
    </row>
    <row r="45" spans="1:36" ht="21.95" customHeight="1" x14ac:dyDescent="0.55000000000000004">
      <c r="A45" s="260"/>
      <c r="B45" s="257" t="str">
        <f>C26</f>
        <v>Owl - Doceo</v>
      </c>
      <c r="C45" s="257" t="str">
        <f>D26</f>
        <v>Owl - Erudio</v>
      </c>
      <c r="D45" s="257" t="str">
        <f>E26</f>
        <v>Owl - Discite</v>
      </c>
      <c r="E45" s="258" t="s">
        <v>225</v>
      </c>
      <c r="F45" s="258" t="s">
        <v>0</v>
      </c>
      <c r="G45" s="20"/>
      <c r="H45" s="20"/>
      <c r="I45" s="20"/>
      <c r="J45" s="20"/>
      <c r="K45" s="20"/>
      <c r="L45" s="20"/>
      <c r="M45" s="20"/>
      <c r="N45" s="20"/>
      <c r="O45" s="20"/>
      <c r="P45" s="20"/>
      <c r="Q45" s="20"/>
      <c r="R45" s="20"/>
      <c r="S45" s="4"/>
      <c r="T45" s="4"/>
      <c r="U45" s="4"/>
      <c r="V45" s="4"/>
      <c r="W45" s="4"/>
      <c r="X45" s="4"/>
      <c r="Y45" s="4"/>
      <c r="Z45" s="4"/>
      <c r="AA45" s="4"/>
      <c r="AB45" s="4"/>
      <c r="AC45" s="4"/>
      <c r="AD45" s="4"/>
      <c r="AE45" s="4"/>
      <c r="AF45" s="4"/>
      <c r="AG45" s="4"/>
      <c r="AH45" s="4"/>
      <c r="AI45" s="4"/>
      <c r="AJ45" s="4"/>
    </row>
    <row r="46" spans="1:36" ht="15.75" x14ac:dyDescent="0.25">
      <c r="A46" s="154" t="s">
        <v>165</v>
      </c>
      <c r="B46" s="154"/>
      <c r="C46" s="154"/>
      <c r="D46" s="154"/>
      <c r="E46" s="20"/>
      <c r="F46" s="20"/>
      <c r="G46" s="20"/>
      <c r="H46" s="20"/>
      <c r="I46" s="20"/>
      <c r="J46" s="20"/>
      <c r="K46" s="20"/>
      <c r="L46" s="20"/>
      <c r="M46" s="20"/>
      <c r="N46" s="20"/>
      <c r="O46" s="20"/>
      <c r="P46" s="20"/>
      <c r="Q46" s="20"/>
      <c r="R46" s="20"/>
      <c r="S46" s="4"/>
      <c r="T46" s="4"/>
      <c r="U46" s="4"/>
      <c r="V46" s="4"/>
      <c r="W46" s="4"/>
      <c r="X46" s="4"/>
      <c r="Y46" s="4"/>
      <c r="Z46" s="4"/>
      <c r="AA46" s="4"/>
      <c r="AB46" s="4"/>
      <c r="AC46" s="4"/>
      <c r="AD46" s="4"/>
      <c r="AE46" s="4"/>
      <c r="AF46" s="4"/>
      <c r="AG46" s="4"/>
      <c r="AH46" s="4"/>
      <c r="AI46" s="4"/>
      <c r="AJ46" s="4"/>
    </row>
    <row r="47" spans="1:36" ht="15.75" x14ac:dyDescent="0.25">
      <c r="A47" s="154"/>
      <c r="B47" s="154"/>
      <c r="C47" s="154"/>
      <c r="D47" s="154"/>
      <c r="E47" s="20"/>
      <c r="F47" s="20"/>
      <c r="G47" s="20"/>
      <c r="H47" s="20"/>
      <c r="I47" s="20"/>
      <c r="J47" s="20"/>
      <c r="K47" s="20"/>
      <c r="L47" s="20"/>
      <c r="M47" s="20"/>
      <c r="N47" s="20"/>
      <c r="O47" s="20"/>
      <c r="P47" s="20"/>
      <c r="Q47" s="20"/>
      <c r="R47" s="20"/>
      <c r="S47" s="4"/>
      <c r="T47" s="4"/>
      <c r="U47" s="4"/>
      <c r="V47" s="4"/>
      <c r="W47" s="4"/>
      <c r="X47" s="4"/>
      <c r="Y47" s="4"/>
      <c r="Z47" s="4"/>
      <c r="AA47" s="4"/>
      <c r="AB47" s="4"/>
      <c r="AC47" s="4"/>
      <c r="AD47" s="4"/>
      <c r="AE47" s="4"/>
      <c r="AF47" s="4"/>
      <c r="AG47" s="4"/>
      <c r="AH47" s="4"/>
      <c r="AI47" s="4"/>
      <c r="AJ47" s="4"/>
    </row>
    <row r="48" spans="1:36" ht="30" x14ac:dyDescent="0.2">
      <c r="A48" s="104" t="s">
        <v>186</v>
      </c>
      <c r="B48" s="134" t="str">
        <f>'Enterprise Net Position Exh 6'!B47</f>
        <v>Yes</v>
      </c>
      <c r="C48" s="134" t="str">
        <f>'Enterprise Net Position Exh 6'!C47</f>
        <v>Yes</v>
      </c>
      <c r="D48" s="134" t="str">
        <f>'Enterprise Net Position Exh 6'!D47</f>
        <v>Yes</v>
      </c>
      <c r="E48" s="134" t="str">
        <f>'Enterprise Net Position Exh 6'!E47</f>
        <v>Yes</v>
      </c>
      <c r="F48" s="134" t="str">
        <f>'Enterprise Net Position Exh 6'!F47</f>
        <v>Yes</v>
      </c>
      <c r="G48" s="20"/>
      <c r="H48" s="20"/>
      <c r="I48" s="20"/>
      <c r="J48" s="20">
        <f>IF(AND(B48="Yes",C48="Yes",D48="Yes",E48="Yes",F48="Yes"),0,1)</f>
        <v>0</v>
      </c>
      <c r="K48" s="20"/>
      <c r="L48" s="20"/>
      <c r="M48" s="20"/>
      <c r="N48" s="20"/>
      <c r="O48" s="20"/>
      <c r="P48" s="20"/>
      <c r="Q48" s="20"/>
      <c r="R48" s="20"/>
      <c r="S48" s="4"/>
      <c r="T48" s="4"/>
      <c r="U48" s="4"/>
      <c r="V48" s="4"/>
      <c r="W48" s="4"/>
      <c r="X48" s="4"/>
      <c r="Y48" s="4"/>
      <c r="Z48" s="4"/>
      <c r="AA48" s="4"/>
      <c r="AB48" s="4"/>
      <c r="AC48" s="4"/>
      <c r="AD48" s="4"/>
      <c r="AE48" s="4"/>
      <c r="AF48" s="4"/>
      <c r="AG48" s="4"/>
      <c r="AH48" s="4"/>
      <c r="AI48" s="4"/>
      <c r="AJ48" s="4"/>
    </row>
    <row r="49" spans="1:37" ht="30" x14ac:dyDescent="0.2">
      <c r="A49" s="105" t="s">
        <v>207</v>
      </c>
      <c r="B49" s="134"/>
      <c r="C49" s="134"/>
      <c r="D49" s="134"/>
      <c r="E49" s="134"/>
      <c r="F49" s="134" t="str">
        <f>'Enterprise Net Position Exh 6'!F48</f>
        <v>Yes</v>
      </c>
      <c r="G49" s="20"/>
      <c r="H49" s="20"/>
      <c r="I49" s="20"/>
      <c r="J49" s="20">
        <f>IF(F49="Yes",0,1)</f>
        <v>0</v>
      </c>
      <c r="K49" s="20"/>
      <c r="L49" s="20"/>
      <c r="M49" s="20"/>
      <c r="N49" s="20"/>
      <c r="O49" s="20"/>
      <c r="P49" s="20"/>
      <c r="Q49" s="20"/>
      <c r="R49" s="20"/>
      <c r="S49" s="4"/>
      <c r="T49" s="4"/>
      <c r="U49" s="4"/>
      <c r="V49" s="4"/>
      <c r="W49" s="4"/>
      <c r="X49" s="4"/>
      <c r="Y49" s="4"/>
      <c r="Z49" s="4"/>
      <c r="AA49" s="4"/>
      <c r="AB49" s="4"/>
      <c r="AC49" s="4"/>
      <c r="AD49" s="4"/>
      <c r="AE49" s="4"/>
      <c r="AF49" s="4"/>
      <c r="AG49" s="4"/>
      <c r="AH49" s="4"/>
      <c r="AI49" s="4"/>
      <c r="AJ49" s="4"/>
    </row>
    <row r="50" spans="1:37" ht="15" x14ac:dyDescent="0.2">
      <c r="A50" s="20"/>
      <c r="B50" s="20"/>
      <c r="C50" s="20"/>
      <c r="D50" s="20"/>
      <c r="E50" s="20"/>
      <c r="F50" s="20"/>
      <c r="G50" s="20"/>
      <c r="H50" s="20"/>
      <c r="I50" s="20"/>
      <c r="J50" s="20"/>
      <c r="K50" s="20"/>
      <c r="L50" s="20"/>
      <c r="M50" s="20"/>
      <c r="N50" s="20"/>
      <c r="O50" s="20"/>
      <c r="P50" s="20"/>
      <c r="Q50" s="20"/>
      <c r="R50" s="20"/>
      <c r="S50" s="4"/>
      <c r="T50" s="4"/>
      <c r="U50" s="4"/>
      <c r="V50" s="4"/>
      <c r="W50" s="4"/>
      <c r="X50" s="4"/>
      <c r="Y50" s="4"/>
      <c r="Z50" s="4"/>
      <c r="AA50" s="4"/>
      <c r="AB50" s="4"/>
      <c r="AC50" s="4"/>
      <c r="AD50" s="4"/>
      <c r="AE50" s="4"/>
      <c r="AF50" s="4"/>
      <c r="AG50" s="4"/>
      <c r="AH50" s="4"/>
      <c r="AI50" s="4"/>
      <c r="AJ50" s="4"/>
    </row>
    <row r="51" spans="1:37" ht="15.75" x14ac:dyDescent="0.25">
      <c r="A51" s="346" t="s">
        <v>173</v>
      </c>
      <c r="B51" s="346"/>
      <c r="C51" s="346"/>
      <c r="D51" s="154"/>
      <c r="E51" s="20"/>
      <c r="F51" s="20"/>
      <c r="G51" s="20"/>
      <c r="H51" s="20"/>
      <c r="I51" s="20"/>
      <c r="J51" s="20"/>
      <c r="K51" s="20"/>
      <c r="L51" s="20"/>
      <c r="M51" s="20"/>
      <c r="N51" s="20"/>
      <c r="O51" s="20"/>
      <c r="P51" s="20"/>
      <c r="Q51" s="20"/>
      <c r="R51" s="20"/>
      <c r="S51" s="4"/>
      <c r="T51" s="4"/>
      <c r="U51" s="4"/>
      <c r="V51" s="4"/>
      <c r="W51" s="4"/>
      <c r="X51" s="4"/>
      <c r="Y51" s="4"/>
      <c r="Z51" s="4"/>
      <c r="AA51" s="4"/>
      <c r="AB51" s="4"/>
      <c r="AC51" s="4"/>
      <c r="AD51" s="4"/>
      <c r="AE51" s="4"/>
      <c r="AF51" s="4"/>
      <c r="AG51" s="4"/>
      <c r="AH51" s="4"/>
      <c r="AI51" s="4"/>
      <c r="AJ51" s="4"/>
    </row>
    <row r="52" spans="1:37" ht="15" x14ac:dyDescent="0.2">
      <c r="A52" s="20"/>
      <c r="B52" s="20"/>
      <c r="C52" s="20"/>
      <c r="D52" s="20"/>
      <c r="E52" s="20"/>
      <c r="F52" s="20"/>
      <c r="G52" s="20"/>
      <c r="H52" s="20"/>
      <c r="I52" s="20"/>
      <c r="J52" s="20"/>
      <c r="K52" s="20"/>
      <c r="L52" s="20"/>
      <c r="M52" s="20"/>
      <c r="N52" s="20"/>
      <c r="O52" s="20"/>
      <c r="P52" s="20"/>
      <c r="Q52" s="20"/>
      <c r="R52" s="20"/>
      <c r="S52" s="4"/>
      <c r="T52" s="4"/>
      <c r="U52" s="4"/>
      <c r="V52" s="4"/>
      <c r="W52" s="4"/>
      <c r="X52" s="4"/>
      <c r="Y52" s="4"/>
      <c r="Z52" s="4"/>
      <c r="AA52" s="4"/>
      <c r="AB52" s="4"/>
      <c r="AC52" s="4"/>
      <c r="AD52" s="4"/>
      <c r="AE52" s="4"/>
      <c r="AF52" s="4"/>
      <c r="AG52" s="4"/>
      <c r="AH52" s="4"/>
      <c r="AI52" s="4"/>
      <c r="AJ52" s="4"/>
    </row>
    <row r="53" spans="1:37" ht="45" x14ac:dyDescent="0.2">
      <c r="A53" s="70" t="s">
        <v>208</v>
      </c>
      <c r="B53" s="134" t="str">
        <f>'Enterprise Income Stmt Exh 7'!B47</f>
        <v>Yes</v>
      </c>
      <c r="C53" s="134" t="str">
        <f>'Enterprise Income Stmt Exh 7'!C47</f>
        <v>Yes</v>
      </c>
      <c r="D53" s="134" t="str">
        <f>'Enterprise Income Stmt Exh 7'!D47</f>
        <v>Yes</v>
      </c>
      <c r="E53" s="134" t="str">
        <f>'Enterprise Income Stmt Exh 7'!E47</f>
        <v>Yes</v>
      </c>
      <c r="F53" s="134" t="str">
        <f>'Enterprise Income Stmt Exh 7'!F47</f>
        <v>Yes</v>
      </c>
      <c r="G53" s="20"/>
      <c r="H53" s="20"/>
      <c r="I53" s="20"/>
      <c r="J53" s="20">
        <f>IF(AND(B53="Yes",C53="Yes",D53="Yes",E53="Yes",F53="Yes"),0,1)</f>
        <v>0</v>
      </c>
      <c r="K53" s="20"/>
      <c r="L53" s="20"/>
      <c r="M53" s="20"/>
      <c r="N53" s="20"/>
      <c r="O53" s="20"/>
      <c r="P53" s="20"/>
      <c r="Q53" s="20"/>
      <c r="R53" s="20"/>
      <c r="S53" s="4"/>
      <c r="T53" s="4"/>
      <c r="U53" s="4"/>
      <c r="V53" s="4"/>
      <c r="W53" s="4"/>
      <c r="X53" s="4"/>
      <c r="Y53" s="4"/>
      <c r="Z53" s="4"/>
      <c r="AA53" s="4"/>
      <c r="AB53" s="4"/>
      <c r="AC53" s="4"/>
      <c r="AD53" s="4"/>
      <c r="AE53" s="4"/>
      <c r="AF53" s="4"/>
      <c r="AG53" s="4"/>
      <c r="AH53" s="4"/>
      <c r="AI53" s="4"/>
      <c r="AJ53" s="4"/>
    </row>
    <row r="54" spans="1:37" ht="15" x14ac:dyDescent="0.2">
      <c r="A54" s="20"/>
      <c r="B54" s="20"/>
      <c r="C54" s="20"/>
      <c r="D54" s="20"/>
      <c r="E54" s="20"/>
      <c r="F54" s="20"/>
      <c r="G54" s="20"/>
      <c r="H54" s="20"/>
      <c r="I54" s="20"/>
      <c r="J54" s="20"/>
      <c r="K54" s="20"/>
      <c r="L54" s="20"/>
      <c r="M54" s="20"/>
      <c r="N54" s="20"/>
      <c r="O54" s="20"/>
      <c r="P54" s="20"/>
      <c r="Q54" s="20"/>
      <c r="R54" s="20"/>
      <c r="S54" s="4"/>
      <c r="T54" s="4"/>
      <c r="U54" s="4"/>
      <c r="V54" s="4"/>
      <c r="W54" s="4"/>
      <c r="X54" s="4"/>
      <c r="Y54" s="4"/>
      <c r="Z54" s="4"/>
      <c r="AA54" s="4"/>
      <c r="AB54" s="4"/>
      <c r="AC54" s="4"/>
      <c r="AD54" s="4"/>
      <c r="AE54" s="4"/>
      <c r="AF54" s="4"/>
      <c r="AG54" s="4"/>
      <c r="AH54" s="4"/>
      <c r="AI54" s="4"/>
      <c r="AJ54" s="4"/>
    </row>
    <row r="55" spans="1:37" ht="15.75" x14ac:dyDescent="0.25">
      <c r="A55" s="155" t="s">
        <v>54</v>
      </c>
      <c r="B55" s="155"/>
      <c r="C55" s="155"/>
      <c r="D55" s="155"/>
      <c r="E55" s="20"/>
      <c r="F55" s="20"/>
      <c r="G55" s="20"/>
      <c r="H55" s="20"/>
      <c r="I55" s="20"/>
      <c r="J55" s="20"/>
      <c r="K55" s="20"/>
      <c r="L55" s="20"/>
      <c r="M55" s="20"/>
      <c r="N55" s="20"/>
      <c r="O55" s="20"/>
      <c r="P55" s="20"/>
      <c r="Q55" s="20"/>
      <c r="R55" s="20"/>
      <c r="S55" s="4"/>
      <c r="T55" s="4"/>
      <c r="U55" s="4"/>
      <c r="V55" s="4"/>
      <c r="W55" s="4"/>
      <c r="X55" s="4"/>
      <c r="Y55" s="4"/>
      <c r="Z55" s="4"/>
      <c r="AA55" s="4"/>
      <c r="AB55" s="4"/>
      <c r="AC55" s="4"/>
      <c r="AD55" s="4"/>
      <c r="AE55" s="4"/>
      <c r="AF55" s="4"/>
      <c r="AG55" s="4"/>
      <c r="AH55" s="4"/>
      <c r="AI55" s="4"/>
      <c r="AJ55" s="4"/>
    </row>
    <row r="56" spans="1:37" ht="15" x14ac:dyDescent="0.2">
      <c r="A56" s="20"/>
      <c r="B56" s="20"/>
      <c r="C56" s="20"/>
      <c r="D56" s="20"/>
      <c r="E56" s="20"/>
      <c r="F56" s="20"/>
      <c r="G56" s="20"/>
      <c r="H56" s="20"/>
      <c r="I56" s="20"/>
      <c r="J56" s="20"/>
      <c r="K56" s="20"/>
      <c r="L56" s="20"/>
      <c r="M56" s="20"/>
      <c r="N56" s="20"/>
      <c r="O56" s="20"/>
      <c r="P56" s="20"/>
      <c r="Q56" s="20"/>
      <c r="R56" s="20"/>
      <c r="S56" s="4"/>
      <c r="T56" s="4"/>
      <c r="U56" s="4"/>
      <c r="V56" s="4"/>
      <c r="W56" s="4"/>
      <c r="X56" s="4"/>
      <c r="Y56" s="4"/>
      <c r="Z56" s="4"/>
      <c r="AA56" s="4"/>
      <c r="AB56" s="4"/>
      <c r="AC56" s="4"/>
      <c r="AD56" s="4"/>
      <c r="AE56" s="4"/>
      <c r="AF56" s="4"/>
      <c r="AG56" s="4"/>
      <c r="AH56" s="4"/>
      <c r="AI56" s="4"/>
      <c r="AJ56" s="4"/>
    </row>
    <row r="57" spans="1:37" ht="15" x14ac:dyDescent="0.2">
      <c r="A57" s="36" t="s">
        <v>214</v>
      </c>
      <c r="B57" s="134" t="str">
        <f>'Enterprise Cash Flow Exh 8'!B44</f>
        <v>Yes</v>
      </c>
      <c r="C57" s="134" t="str">
        <f>'Enterprise Cash Flow Exh 8'!C44</f>
        <v>Yes</v>
      </c>
      <c r="D57" s="134" t="str">
        <f>'Enterprise Cash Flow Exh 8'!D44</f>
        <v>Yes</v>
      </c>
      <c r="E57" s="134" t="str">
        <f>'Enterprise Cash Flow Exh 8'!E44</f>
        <v>Yes</v>
      </c>
      <c r="F57" s="134" t="str">
        <f>'Enterprise Cash Flow Exh 8'!F44</f>
        <v>Yes</v>
      </c>
      <c r="G57" s="20"/>
      <c r="H57" s="20"/>
      <c r="I57" s="20"/>
      <c r="J57" s="20">
        <f>IF(AND(B57="Yes",C57="Yes",D57="Yes",E57="Yes",F57="Yes"),0,1)</f>
        <v>0</v>
      </c>
      <c r="K57" s="20"/>
      <c r="L57" s="20"/>
      <c r="M57" s="20"/>
      <c r="N57" s="20"/>
      <c r="O57" s="20"/>
      <c r="P57" s="20"/>
      <c r="Q57" s="20"/>
      <c r="R57" s="20"/>
      <c r="S57" s="4"/>
      <c r="T57" s="4"/>
      <c r="U57" s="4"/>
      <c r="V57" s="4"/>
      <c r="W57" s="4"/>
      <c r="X57" s="4"/>
      <c r="Y57" s="4"/>
      <c r="Z57" s="4"/>
      <c r="AA57" s="4"/>
      <c r="AB57" s="4"/>
      <c r="AC57" s="4"/>
      <c r="AD57" s="4"/>
      <c r="AE57" s="4"/>
      <c r="AF57" s="4"/>
      <c r="AG57" s="4"/>
      <c r="AH57" s="4"/>
      <c r="AI57" s="4"/>
      <c r="AJ57" s="4"/>
    </row>
    <row r="58" spans="1:37" ht="30" x14ac:dyDescent="0.2">
      <c r="A58" s="70" t="s">
        <v>215</v>
      </c>
      <c r="B58" s="134" t="str">
        <f>'Enterprise Cash Flow Exh 8'!B45</f>
        <v>Yes</v>
      </c>
      <c r="C58" s="134" t="str">
        <f>'Enterprise Cash Flow Exh 8'!C45</f>
        <v>Yes</v>
      </c>
      <c r="D58" s="134" t="str">
        <f>'Enterprise Cash Flow Exh 8'!D45</f>
        <v>Yes</v>
      </c>
      <c r="E58" s="134" t="str">
        <f>'Enterprise Cash Flow Exh 8'!E45</f>
        <v>Yes</v>
      </c>
      <c r="F58" s="134" t="str">
        <f>'Enterprise Cash Flow Exh 8'!F45</f>
        <v>Yes</v>
      </c>
      <c r="G58" s="20"/>
      <c r="H58" s="20"/>
      <c r="I58" s="20"/>
      <c r="J58" s="20">
        <f>IF(AND(B58="Yes",C58="Yes",D58="Yes",E58="Yes",F58="Yes"),0,1)</f>
        <v>0</v>
      </c>
      <c r="K58" s="20"/>
      <c r="L58" s="20"/>
      <c r="M58" s="20"/>
      <c r="N58" s="20"/>
      <c r="O58" s="20"/>
      <c r="P58" s="20"/>
      <c r="Q58" s="20"/>
      <c r="R58" s="20"/>
      <c r="S58" s="4"/>
      <c r="T58" s="4"/>
      <c r="U58" s="4"/>
      <c r="V58" s="4"/>
      <c r="W58" s="4"/>
      <c r="X58" s="4"/>
      <c r="Y58" s="4"/>
      <c r="Z58" s="4"/>
      <c r="AA58" s="4"/>
      <c r="AB58" s="4"/>
      <c r="AC58" s="4"/>
      <c r="AD58" s="4"/>
      <c r="AE58" s="4"/>
      <c r="AF58" s="4"/>
      <c r="AG58" s="4"/>
      <c r="AH58" s="4"/>
      <c r="AI58" s="4"/>
      <c r="AJ58" s="4"/>
    </row>
    <row r="59" spans="1:37" ht="30" x14ac:dyDescent="0.2">
      <c r="A59" s="70" t="s">
        <v>265</v>
      </c>
      <c r="B59" s="134" t="str">
        <f>'Enterprise Cash Flow Exh 8'!B46</f>
        <v>Yes</v>
      </c>
      <c r="C59" s="134" t="str">
        <f>'Enterprise Cash Flow Exh 8'!C46</f>
        <v>Yes</v>
      </c>
      <c r="D59" s="134" t="str">
        <f>'Enterprise Cash Flow Exh 8'!D46</f>
        <v>Yes</v>
      </c>
      <c r="E59" s="134" t="str">
        <f>'Enterprise Cash Flow Exh 8'!E46</f>
        <v>Yes</v>
      </c>
      <c r="F59" s="134" t="str">
        <f>'Enterprise Cash Flow Exh 8'!F46</f>
        <v>Yes</v>
      </c>
      <c r="G59" s="20"/>
      <c r="H59" s="20"/>
      <c r="I59" s="20"/>
      <c r="J59" s="20">
        <f>IF(AND(B59="Yes",C59="Yes",D59="Yes",E59="Yes",F59="Yes"),0,1)</f>
        <v>0</v>
      </c>
      <c r="K59" s="20"/>
      <c r="L59" s="20"/>
      <c r="M59" s="20"/>
      <c r="N59" s="20"/>
      <c r="O59" s="20"/>
      <c r="P59" s="20"/>
      <c r="Q59" s="20"/>
      <c r="R59" s="20"/>
      <c r="S59" s="4"/>
      <c r="T59" s="4"/>
      <c r="U59" s="4"/>
      <c r="V59" s="4"/>
      <c r="W59" s="4"/>
      <c r="X59" s="4"/>
      <c r="Y59" s="4"/>
      <c r="Z59" s="4"/>
      <c r="AA59" s="4"/>
      <c r="AB59" s="4"/>
      <c r="AC59" s="4"/>
      <c r="AD59" s="4"/>
      <c r="AE59" s="4"/>
      <c r="AF59" s="4"/>
      <c r="AG59" s="4"/>
      <c r="AH59" s="4"/>
      <c r="AI59" s="4"/>
      <c r="AJ59" s="4"/>
    </row>
    <row r="60" spans="1:37" ht="30" x14ac:dyDescent="0.2">
      <c r="A60" s="240" t="s">
        <v>385</v>
      </c>
      <c r="B60" s="134" t="str">
        <f>'Enterprise Cash Flow Exh 8'!B47</f>
        <v>Yes</v>
      </c>
      <c r="C60" s="134" t="str">
        <f>'Enterprise Cash Flow Exh 8'!C47</f>
        <v>Yes</v>
      </c>
      <c r="D60" s="134" t="str">
        <f>'Enterprise Cash Flow Exh 8'!D47</f>
        <v>Yes</v>
      </c>
      <c r="E60" s="134" t="str">
        <f>'Enterprise Cash Flow Exh 8'!E47</f>
        <v>Yes</v>
      </c>
      <c r="F60" s="134" t="str">
        <f>'Enterprise Cash Flow Exh 8'!F47</f>
        <v>Yes</v>
      </c>
      <c r="G60" s="20"/>
      <c r="H60" s="20"/>
      <c r="I60" s="20"/>
      <c r="J60" s="20">
        <f>IF(AND(B60="Yes",C60="Yes",D60="Yes",E60="Yes",F60="Yes"),0,1)</f>
        <v>0</v>
      </c>
      <c r="K60" s="20"/>
      <c r="L60" s="20"/>
      <c r="M60" s="20"/>
      <c r="N60" s="20"/>
      <c r="O60" s="20"/>
      <c r="P60" s="20"/>
      <c r="Q60" s="20"/>
      <c r="R60" s="20"/>
      <c r="S60" s="4"/>
      <c r="T60" s="4"/>
      <c r="U60" s="4"/>
      <c r="V60" s="4"/>
      <c r="W60" s="4"/>
      <c r="X60" s="4"/>
      <c r="Y60" s="4"/>
      <c r="Z60" s="4"/>
      <c r="AA60" s="4"/>
      <c r="AB60" s="4"/>
      <c r="AC60" s="4"/>
      <c r="AD60" s="4"/>
      <c r="AE60" s="4"/>
      <c r="AF60" s="4"/>
      <c r="AG60" s="4"/>
      <c r="AH60" s="4"/>
      <c r="AI60" s="4"/>
      <c r="AJ60" s="4"/>
    </row>
    <row r="61" spans="1:37" ht="15" x14ac:dyDescent="0.2">
      <c r="A61" s="20"/>
      <c r="B61" s="20"/>
      <c r="C61" s="20"/>
      <c r="D61" s="20"/>
      <c r="E61" s="20"/>
      <c r="F61" s="20"/>
      <c r="G61" s="20"/>
      <c r="H61" s="20"/>
      <c r="I61" s="20"/>
      <c r="J61" s="20"/>
      <c r="K61" s="20"/>
      <c r="L61" s="20"/>
      <c r="M61" s="20"/>
      <c r="N61" s="20"/>
      <c r="O61" s="20"/>
      <c r="P61" s="20"/>
      <c r="Q61" s="20"/>
      <c r="R61" s="20"/>
      <c r="S61" s="4"/>
      <c r="T61" s="4"/>
      <c r="U61" s="4"/>
      <c r="V61" s="4"/>
      <c r="W61" s="4"/>
      <c r="X61" s="4"/>
      <c r="Y61" s="4"/>
      <c r="Z61" s="4"/>
      <c r="AA61" s="4"/>
      <c r="AB61" s="4"/>
      <c r="AC61" s="4"/>
      <c r="AD61" s="4"/>
      <c r="AE61" s="4"/>
      <c r="AF61" s="4"/>
      <c r="AG61" s="4"/>
      <c r="AH61" s="4"/>
      <c r="AI61" s="4"/>
      <c r="AJ61" s="4"/>
    </row>
    <row r="62" spans="1:37" ht="15.75" customHeight="1" x14ac:dyDescent="0.2">
      <c r="A62" s="343" t="s">
        <v>341</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ht="21.95" customHeight="1" x14ac:dyDescent="0.25">
      <c r="A63" s="343"/>
      <c r="B63" s="335" t="s">
        <v>274</v>
      </c>
      <c r="C63" s="336" t="s">
        <v>101</v>
      </c>
      <c r="D63" s="336" t="s">
        <v>111</v>
      </c>
      <c r="E63" s="336" t="s">
        <v>278</v>
      </c>
      <c r="F63" s="335" t="s">
        <v>225</v>
      </c>
      <c r="G63" s="259"/>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row>
    <row r="64" spans="1:37" ht="21.95" customHeight="1" x14ac:dyDescent="0.55000000000000004">
      <c r="A64" s="20"/>
      <c r="B64" s="335"/>
      <c r="C64" s="336"/>
      <c r="D64" s="336"/>
      <c r="E64" s="336"/>
      <c r="F64" s="335"/>
      <c r="G64" s="258" t="s">
        <v>0</v>
      </c>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row>
    <row r="65" spans="1:37" ht="15.75" x14ac:dyDescent="0.25">
      <c r="A65" s="317" t="str">
        <f>C26</f>
        <v>Owl - Doceo</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row>
    <row r="66" spans="1:37" ht="15"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row>
    <row r="67" spans="1:37" ht="15.75" x14ac:dyDescent="0.25">
      <c r="A67" s="342" t="s">
        <v>6</v>
      </c>
      <c r="B67" s="342"/>
      <c r="C67" s="342"/>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ht="15"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ht="36" customHeight="1" x14ac:dyDescent="0.2">
      <c r="A69" s="58" t="s">
        <v>186</v>
      </c>
      <c r="B69" s="68" t="str">
        <f>'Doceo Cnty etc SRF Bal Sh - SI'!B39</f>
        <v>Yes</v>
      </c>
      <c r="C69" s="68" t="str">
        <f>'Doceo Cnty etc SRF Bal Sh - SI'!C39</f>
        <v>Yes</v>
      </c>
      <c r="D69" s="68" t="str">
        <f>'Doceo Cnty etc SRF Bal Sh - SI'!D39</f>
        <v>Yes</v>
      </c>
      <c r="E69" s="68" t="str">
        <f>'Doceo Cnty etc SRF Bal Sh - SI'!E39</f>
        <v>Yes</v>
      </c>
      <c r="F69" s="68" t="str">
        <f>'Doceo Cnty etc SRF Bal Sh - SI'!F39</f>
        <v>Yes</v>
      </c>
      <c r="G69" s="68" t="str">
        <f>'Doceo Cnty etc SRF Bal Sh - SI'!G39</f>
        <v>Yes</v>
      </c>
      <c r="H69" s="20"/>
      <c r="I69" s="20"/>
      <c r="J69" s="20">
        <f>IF(AND(B69="Yes",C69="Yes",D69="Yes",E69="Yes",F69="Yes",G69="Yes"),0,1)</f>
        <v>0</v>
      </c>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row>
    <row r="70" spans="1:37" ht="15" x14ac:dyDescent="0.2">
      <c r="A70" s="58"/>
      <c r="B70" s="68"/>
      <c r="C70" s="68"/>
      <c r="D70" s="68"/>
      <c r="E70" s="68"/>
      <c r="F70" s="68"/>
      <c r="G70" s="6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row>
    <row r="71" spans="1:37" ht="15.75" x14ac:dyDescent="0.25">
      <c r="A71" s="342" t="s">
        <v>221</v>
      </c>
      <c r="B71" s="342"/>
      <c r="C71" s="342"/>
      <c r="D71" s="68"/>
      <c r="E71" s="68"/>
      <c r="F71" s="68"/>
      <c r="G71" s="6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ht="15" x14ac:dyDescent="0.2">
      <c r="A72" s="58"/>
      <c r="B72" s="68"/>
      <c r="C72" s="68"/>
      <c r="D72" s="68"/>
      <c r="E72" s="68"/>
      <c r="F72" s="68"/>
      <c r="G72" s="6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ht="24" customHeight="1" x14ac:dyDescent="0.2">
      <c r="A73" s="173" t="s">
        <v>283</v>
      </c>
      <c r="B73" s="68" t="str">
        <f>'Doceo Cnty etc SRF Inc St - SI'!B47</f>
        <v>Yes</v>
      </c>
      <c r="C73" s="68" t="str">
        <f>'Doceo Cnty etc SRF Inc St - SI'!C47</f>
        <v>Yes</v>
      </c>
      <c r="D73" s="68" t="str">
        <f>'Doceo Cnty etc SRF Inc St - SI'!D47</f>
        <v>Yes</v>
      </c>
      <c r="E73" s="68" t="str">
        <f>'Doceo Cnty etc SRF Inc St - SI'!E47</f>
        <v>Yes</v>
      </c>
      <c r="F73" s="68" t="str">
        <f>'Doceo Cnty etc SRF Inc St - SI'!E47</f>
        <v>Yes</v>
      </c>
      <c r="G73" s="68" t="str">
        <f>'Doceo Cnty etc SRF Inc St - SI'!G47</f>
        <v>Yes</v>
      </c>
      <c r="H73" s="20"/>
      <c r="I73" s="20"/>
      <c r="J73" s="20">
        <f>IF(AND(B73="Yes",C73="Yes",D73="Yes",E73="Yes",F73="Yes",G73="Yes"),0,1)</f>
        <v>0</v>
      </c>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ht="15" x14ac:dyDescent="0.2">
      <c r="A74" s="173"/>
      <c r="B74" s="68"/>
      <c r="C74" s="68"/>
      <c r="D74" s="68"/>
      <c r="E74" s="68"/>
      <c r="F74" s="68"/>
      <c r="G74" s="6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ht="40.5" x14ac:dyDescent="0.55000000000000004">
      <c r="A75" s="317" t="str">
        <f>C26</f>
        <v>Owl - Doceo</v>
      </c>
      <c r="B75" s="257" t="s">
        <v>134</v>
      </c>
      <c r="C75" s="258" t="s">
        <v>407</v>
      </c>
      <c r="D75" s="258" t="s">
        <v>225</v>
      </c>
      <c r="E75" s="258" t="s">
        <v>0</v>
      </c>
      <c r="F75" s="68"/>
      <c r="G75" s="68"/>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ht="15" x14ac:dyDescent="0.2">
      <c r="A76" s="20"/>
      <c r="B76" s="20"/>
      <c r="C76" s="20"/>
      <c r="D76" s="20"/>
      <c r="E76" s="20"/>
      <c r="F76" s="68"/>
      <c r="G76" s="6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1:37" ht="15.75" x14ac:dyDescent="0.25">
      <c r="A77" s="341" t="s">
        <v>165</v>
      </c>
      <c r="B77" s="341"/>
      <c r="C77" s="341"/>
      <c r="D77" s="19"/>
      <c r="E77" s="19"/>
      <c r="F77" s="68"/>
      <c r="G77" s="68"/>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1:37" ht="15" x14ac:dyDescent="0.2">
      <c r="A78" s="20"/>
      <c r="B78" s="20"/>
      <c r="C78" s="20"/>
      <c r="D78" s="20"/>
      <c r="E78" s="20"/>
      <c r="F78" s="68"/>
      <c r="G78" s="6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1:37" ht="30" x14ac:dyDescent="0.2">
      <c r="A79" s="104" t="s">
        <v>186</v>
      </c>
      <c r="B79" s="68" t="str">
        <f>'Doceo Enterprise Net Pos - SI'!B45</f>
        <v>Yes</v>
      </c>
      <c r="C79" s="68" t="str">
        <f>'Doceo Enterprise Net Pos - SI'!C45</f>
        <v>Yes</v>
      </c>
      <c r="D79" s="68" t="str">
        <f>'Doceo Enterprise Net Pos - SI'!D45</f>
        <v>Yes</v>
      </c>
      <c r="E79" s="68" t="str">
        <f>'Doceo Enterprise Net Pos - SI'!E45</f>
        <v>Yes</v>
      </c>
      <c r="F79" s="68"/>
      <c r="G79" s="68"/>
      <c r="H79" s="20"/>
      <c r="I79" s="20"/>
      <c r="J79" s="20">
        <f>IF(AND(B79="Yes",C79="Yes",D79="Yes",E79="Yes"),0,1)</f>
        <v>0</v>
      </c>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1:37" ht="30" x14ac:dyDescent="0.2">
      <c r="A80" s="240" t="s">
        <v>207</v>
      </c>
      <c r="B80" s="68" t="str">
        <f>'Doceo Enterprise Net Pos - SI'!B46</f>
        <v>Yes</v>
      </c>
      <c r="C80" s="68" t="str">
        <f>'Doceo Enterprise Net Pos - SI'!C46</f>
        <v>Yes</v>
      </c>
      <c r="D80" s="68" t="str">
        <f>'Doceo Enterprise Net Pos - SI'!D46</f>
        <v>Yes</v>
      </c>
      <c r="E80" s="68" t="str">
        <f>'Doceo Enterprise Net Pos - SI'!E46</f>
        <v>Yes</v>
      </c>
      <c r="F80" s="68"/>
      <c r="G80" s="68"/>
      <c r="H80" s="20"/>
      <c r="I80" s="20"/>
      <c r="J80" s="20">
        <f>IF(AND(B80="Yes",C80="Yes",D80="Yes",E80="Yes"),0,1)</f>
        <v>0</v>
      </c>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1:37" ht="15" x14ac:dyDescent="0.2">
      <c r="A81" s="36" t="s">
        <v>339</v>
      </c>
      <c r="B81" s="63"/>
      <c r="C81" s="63"/>
      <c r="D81" s="63"/>
      <c r="E81" s="68" t="str">
        <f>'Doceo Enterprise Net Pos - SI'!E47</f>
        <v>Yes</v>
      </c>
      <c r="F81" s="68"/>
      <c r="G81" s="68"/>
      <c r="H81" s="20"/>
      <c r="I81" s="20"/>
      <c r="J81" s="20">
        <f>IF(E81="Yes",0,1)</f>
        <v>0</v>
      </c>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1:37" ht="15" x14ac:dyDescent="0.2">
      <c r="A82" s="20"/>
      <c r="B82" s="20"/>
      <c r="C82" s="20"/>
      <c r="D82" s="20"/>
      <c r="E82" s="20"/>
      <c r="F82" s="68"/>
      <c r="G82" s="6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1:37" ht="15.75" x14ac:dyDescent="0.25">
      <c r="A83" s="341" t="s">
        <v>220</v>
      </c>
      <c r="B83" s="341"/>
      <c r="C83" s="341"/>
      <c r="D83" s="19"/>
      <c r="E83" s="19"/>
      <c r="F83" s="68"/>
      <c r="G83" s="68"/>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1:37" ht="15" x14ac:dyDescent="0.2">
      <c r="A84" s="20"/>
      <c r="B84" s="20"/>
      <c r="C84" s="20"/>
      <c r="D84" s="20"/>
      <c r="E84" s="20"/>
      <c r="F84" s="68"/>
      <c r="G84" s="6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1:37" ht="45" x14ac:dyDescent="0.2">
      <c r="A85" s="240" t="s">
        <v>208</v>
      </c>
      <c r="B85" s="68" t="str">
        <f>'Doceo Enterprise Inc Stmt - SI'!B43</f>
        <v>Yes</v>
      </c>
      <c r="C85" s="68" t="str">
        <f>'Doceo Enterprise Inc Stmt - SI'!C43</f>
        <v>Yes</v>
      </c>
      <c r="D85" s="68" t="str">
        <f>'Doceo Enterprise Inc Stmt - SI'!D43</f>
        <v>Yes</v>
      </c>
      <c r="E85" s="68" t="str">
        <f>'Doceo Enterprise Inc Stmt - SI'!E43</f>
        <v>Yes</v>
      </c>
      <c r="F85" s="68"/>
      <c r="G85" s="68"/>
      <c r="H85" s="20"/>
      <c r="I85" s="20"/>
      <c r="J85" s="20">
        <f>IF(AND(B85="Yes",C85="Yes",D85="Yes",E85="Yes"),0,1)</f>
        <v>0</v>
      </c>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6" spans="1:37" ht="30" x14ac:dyDescent="0.2">
      <c r="A86" s="240" t="s">
        <v>340</v>
      </c>
      <c r="E86" s="68" t="str">
        <f>'Doceo Enterprise Inc Stmt - SI'!E44</f>
        <v>Yes</v>
      </c>
      <c r="F86" s="68"/>
      <c r="G86" s="68"/>
      <c r="H86" s="20"/>
      <c r="I86" s="20"/>
      <c r="J86" s="20">
        <f>IF(E86="Yes",0,1)</f>
        <v>0</v>
      </c>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row>
    <row r="87" spans="1:37" ht="15" x14ac:dyDescent="0.2">
      <c r="F87" s="68"/>
      <c r="G87" s="6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row>
    <row r="88" spans="1:37" ht="15.75" x14ac:dyDescent="0.25">
      <c r="A88" s="342" t="s">
        <v>54</v>
      </c>
      <c r="B88" s="342"/>
      <c r="C88" s="342"/>
      <c r="D88" s="21"/>
      <c r="E88" s="21"/>
      <c r="F88" s="68"/>
      <c r="G88" s="6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row>
    <row r="89" spans="1:37" ht="15.75" x14ac:dyDescent="0.25">
      <c r="A89" s="21"/>
      <c r="B89" s="21"/>
      <c r="C89" s="21"/>
      <c r="D89" s="21"/>
      <c r="E89" s="21"/>
      <c r="F89" s="68"/>
      <c r="G89" s="6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row>
    <row r="90" spans="1:37" ht="30" x14ac:dyDescent="0.2">
      <c r="A90" s="39" t="s">
        <v>214</v>
      </c>
      <c r="B90" s="68" t="str">
        <f>'Doceo Enterprise Cash Flow - SI'!B42</f>
        <v>Yes</v>
      </c>
      <c r="C90" s="68" t="str">
        <f>'Doceo Enterprise Cash Flow - SI'!C42</f>
        <v>Yes</v>
      </c>
      <c r="D90" s="68" t="str">
        <f>'Doceo Enterprise Cash Flow - SI'!D42</f>
        <v>Yes</v>
      </c>
      <c r="E90" s="68" t="str">
        <f>'Doceo Enterprise Cash Flow - SI'!E42</f>
        <v>Yes</v>
      </c>
      <c r="F90" s="68"/>
      <c r="G90" s="68"/>
      <c r="H90" s="20"/>
      <c r="I90" s="20"/>
      <c r="J90" s="20">
        <f>IF(AND(B90="Yes",C90="Yes",D90="Yes",E90="Yes"),0,1)</f>
        <v>0</v>
      </c>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row>
    <row r="91" spans="1:37" ht="30" x14ac:dyDescent="0.2">
      <c r="A91" s="39" t="s">
        <v>215</v>
      </c>
      <c r="B91" s="68" t="str">
        <f>'Doceo Enterprise Cash Flow - SI'!B43</f>
        <v>Yes</v>
      </c>
      <c r="C91" s="68" t="str">
        <f>'Doceo Enterprise Cash Flow - SI'!C43</f>
        <v>Yes</v>
      </c>
      <c r="D91" s="68" t="str">
        <f>'Doceo Enterprise Cash Flow - SI'!D43</f>
        <v>Yes</v>
      </c>
      <c r="E91" s="68" t="str">
        <f>'Doceo Enterprise Cash Flow - SI'!E43</f>
        <v>Yes</v>
      </c>
      <c r="F91" s="68"/>
      <c r="G91" s="68"/>
      <c r="H91" s="20"/>
      <c r="I91" s="20"/>
      <c r="J91" s="20">
        <f>IF(AND(B91="Yes",C91="Yes",D91="Yes",E91="Yes"),0,1)</f>
        <v>0</v>
      </c>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row>
    <row r="92" spans="1:37" ht="30" x14ac:dyDescent="0.2">
      <c r="A92" s="39" t="s">
        <v>265</v>
      </c>
      <c r="B92" s="68" t="str">
        <f>'Doceo Enterprise Cash Flow - SI'!B44</f>
        <v>Yes</v>
      </c>
      <c r="C92" s="68" t="str">
        <f>'Doceo Enterprise Cash Flow - SI'!C44</f>
        <v>Yes</v>
      </c>
      <c r="D92" s="68" t="str">
        <f>'Doceo Enterprise Cash Flow - SI'!D44</f>
        <v>Yes</v>
      </c>
      <c r="E92" s="68" t="str">
        <f>'Doceo Enterprise Cash Flow - SI'!E44</f>
        <v>Yes</v>
      </c>
      <c r="F92" s="68"/>
      <c r="G92" s="68"/>
      <c r="H92" s="20"/>
      <c r="I92" s="20"/>
      <c r="J92" s="20">
        <f>IF(AND(B92="Yes",C92="Yes",D92="Yes",E92="Yes"),0,1)</f>
        <v>0</v>
      </c>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row>
    <row r="93" spans="1:37" ht="15" x14ac:dyDescent="0.2">
      <c r="F93" s="68"/>
      <c r="G93" s="6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row>
    <row r="94" spans="1:37" ht="15.75" x14ac:dyDescent="0.25">
      <c r="B94" s="335" t="s">
        <v>274</v>
      </c>
      <c r="C94" s="336" t="s">
        <v>101</v>
      </c>
      <c r="D94" s="336" t="s">
        <v>111</v>
      </c>
      <c r="E94" s="336" t="s">
        <v>278</v>
      </c>
      <c r="F94" s="335" t="s">
        <v>225</v>
      </c>
      <c r="G94" s="25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row>
    <row r="95" spans="1:37" ht="24" customHeight="1" x14ac:dyDescent="0.55000000000000004">
      <c r="A95" s="20"/>
      <c r="B95" s="335"/>
      <c r="C95" s="336"/>
      <c r="D95" s="336"/>
      <c r="E95" s="336"/>
      <c r="F95" s="335"/>
      <c r="G95" s="258" t="s">
        <v>0</v>
      </c>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row r="96" spans="1:37" ht="15.75" x14ac:dyDescent="0.25">
      <c r="A96" s="150" t="str">
        <f>D26</f>
        <v>Owl - Erudio</v>
      </c>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row>
    <row r="97" spans="1:37" ht="15"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row>
    <row r="98" spans="1:37" ht="15.75" x14ac:dyDescent="0.25">
      <c r="A98" s="342" t="s">
        <v>6</v>
      </c>
      <c r="B98" s="342"/>
      <c r="C98" s="342"/>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row>
    <row r="99" spans="1:37" ht="15"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row>
    <row r="100" spans="1:37" ht="36" customHeight="1" x14ac:dyDescent="0.2">
      <c r="A100" s="58" t="s">
        <v>186</v>
      </c>
      <c r="B100" s="59" t="str">
        <f>'Erudio Cnty etc SRF Bal Sh - SI'!B47</f>
        <v>Yes</v>
      </c>
      <c r="C100" s="59" t="str">
        <f>'Erudio Cnty etc SRF Bal Sh - SI'!C47</f>
        <v>Yes</v>
      </c>
      <c r="D100" s="59" t="str">
        <f>'Erudio Cnty etc SRF Bal Sh - SI'!D47</f>
        <v>Yes</v>
      </c>
      <c r="E100" s="59" t="str">
        <f>'Erudio Cnty etc SRF Bal Sh - SI'!E47</f>
        <v>Yes</v>
      </c>
      <c r="F100" s="59" t="str">
        <f>'Erudio Cnty etc SRF Bal Sh - SI'!F47</f>
        <v>Yes</v>
      </c>
      <c r="G100" s="59" t="str">
        <f>'Erudio Cnty etc SRF Bal Sh - SI'!G47</f>
        <v>Yes</v>
      </c>
      <c r="H100" s="20"/>
      <c r="I100" s="20"/>
      <c r="J100" s="20">
        <f>IF(AND(B100="Yes",C100="Yes",D100="Yes",E100="Yes",F100="Yes",G100="Yes"),0,1)</f>
        <v>0</v>
      </c>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row>
    <row r="101" spans="1:37" ht="15" x14ac:dyDescent="0.2">
      <c r="A101" s="58"/>
      <c r="B101" s="59"/>
      <c r="C101" s="59"/>
      <c r="D101" s="59"/>
      <c r="E101" s="59"/>
      <c r="F101" s="59"/>
      <c r="G101" s="5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row>
    <row r="102" spans="1:37" ht="15.75" x14ac:dyDescent="0.25">
      <c r="A102" s="342" t="s">
        <v>221</v>
      </c>
      <c r="B102" s="342"/>
      <c r="C102" s="342"/>
      <c r="D102" s="59"/>
      <c r="E102" s="59"/>
      <c r="F102" s="59"/>
      <c r="G102" s="5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row>
    <row r="103" spans="1:37" ht="15" x14ac:dyDescent="0.2">
      <c r="A103" s="58"/>
      <c r="B103" s="59"/>
      <c r="C103" s="59"/>
      <c r="D103" s="59"/>
      <c r="E103" s="59"/>
      <c r="F103" s="59"/>
      <c r="G103" s="5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row>
    <row r="104" spans="1:37" ht="24" customHeight="1" x14ac:dyDescent="0.2">
      <c r="A104" s="173" t="s">
        <v>283</v>
      </c>
      <c r="B104" s="68" t="str">
        <f>'Erudio Cnty etc SRF Inc St - SI'!B47</f>
        <v>Yes</v>
      </c>
      <c r="C104" s="68" t="str">
        <f>'Erudio Cnty etc SRF Inc St - SI'!C47</f>
        <v>Yes</v>
      </c>
      <c r="D104" s="68" t="str">
        <f>'Erudio Cnty etc SRF Inc St - SI'!D47</f>
        <v>Yes</v>
      </c>
      <c r="E104" s="68" t="str">
        <f>'Erudio Cnty etc SRF Inc St - SI'!E47</f>
        <v>Yes</v>
      </c>
      <c r="F104" s="68" t="str">
        <f>'Erudio Cnty etc SRF Inc St - SI'!F47</f>
        <v>Yes</v>
      </c>
      <c r="G104" s="68" t="str">
        <f>'Erudio Cnty etc SRF Inc St - SI'!G47</f>
        <v>Yes</v>
      </c>
      <c r="H104" s="20"/>
      <c r="I104" s="20"/>
      <c r="J104" s="20">
        <f>IF(AND(B104="Yes",C104="Yes",D104="Yes",E104="Yes",F104="Yes",G104="Yes"),0,1)</f>
        <v>0</v>
      </c>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row>
    <row r="105" spans="1:37" ht="15" x14ac:dyDescent="0.2">
      <c r="A105" s="173"/>
      <c r="B105" s="68"/>
      <c r="C105" s="68"/>
      <c r="D105" s="68"/>
      <c r="E105" s="68"/>
      <c r="F105" s="68"/>
      <c r="G105" s="6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row>
    <row r="106" spans="1:37" ht="40.5" x14ac:dyDescent="0.55000000000000004">
      <c r="A106" s="150" t="str">
        <f>D26</f>
        <v>Owl - Erudio</v>
      </c>
      <c r="B106" s="257" t="s">
        <v>134</v>
      </c>
      <c r="C106" s="258" t="s">
        <v>407</v>
      </c>
      <c r="D106" s="258" t="s">
        <v>225</v>
      </c>
      <c r="E106" s="258" t="s">
        <v>0</v>
      </c>
      <c r="F106" s="68"/>
      <c r="G106" s="6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row>
    <row r="107" spans="1:37" ht="15" x14ac:dyDescent="0.2">
      <c r="A107" s="20"/>
      <c r="B107" s="20"/>
      <c r="C107" s="20"/>
      <c r="D107" s="20"/>
      <c r="E107" s="20"/>
      <c r="F107" s="68"/>
      <c r="G107" s="6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row>
    <row r="108" spans="1:37" ht="15.75" x14ac:dyDescent="0.25">
      <c r="A108" s="341" t="s">
        <v>165</v>
      </c>
      <c r="B108" s="341"/>
      <c r="C108" s="341"/>
      <c r="D108" s="19"/>
      <c r="E108" s="19"/>
      <c r="F108" s="68"/>
      <c r="G108" s="6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row>
    <row r="109" spans="1:37" ht="15" x14ac:dyDescent="0.2">
      <c r="A109" s="20"/>
      <c r="B109" s="20"/>
      <c r="C109" s="20"/>
      <c r="D109" s="20"/>
      <c r="E109" s="20"/>
      <c r="F109" s="68"/>
      <c r="G109" s="6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row>
    <row r="110" spans="1:37" ht="30" x14ac:dyDescent="0.2">
      <c r="A110" s="104" t="s">
        <v>186</v>
      </c>
      <c r="B110" s="68" t="str">
        <f>'Erudio Enterprise Net Pos - SI'!B45</f>
        <v>Yes</v>
      </c>
      <c r="C110" s="68" t="str">
        <f>'Erudio Enterprise Net Pos - SI'!C45</f>
        <v>Yes</v>
      </c>
      <c r="D110" s="68" t="str">
        <f>'Erudio Enterprise Net Pos - SI'!D45</f>
        <v>Yes</v>
      </c>
      <c r="E110" s="68" t="str">
        <f>'Erudio Enterprise Net Pos - SI'!E45</f>
        <v>Yes</v>
      </c>
      <c r="F110" s="68"/>
      <c r="G110" s="68"/>
      <c r="H110" s="20"/>
      <c r="I110" s="20"/>
      <c r="J110" s="20">
        <f>IF(AND(B110="Yes",C110="Yes",D110="Yes",E110="Yes"),0,1)</f>
        <v>0</v>
      </c>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row>
    <row r="111" spans="1:37" ht="30" x14ac:dyDescent="0.2">
      <c r="A111" s="240" t="s">
        <v>207</v>
      </c>
      <c r="B111" s="68" t="str">
        <f>'Erudio Enterprise Net Pos - SI'!B46</f>
        <v>Yes</v>
      </c>
      <c r="C111" s="68" t="str">
        <f>'Erudio Enterprise Net Pos - SI'!C46</f>
        <v>Yes</v>
      </c>
      <c r="D111" s="68" t="str">
        <f>'Erudio Enterprise Net Pos - SI'!D46</f>
        <v>Yes</v>
      </c>
      <c r="E111" s="68" t="str">
        <f>'Erudio Enterprise Net Pos - SI'!E46</f>
        <v>Yes</v>
      </c>
      <c r="F111" s="68"/>
      <c r="G111" s="68"/>
      <c r="H111" s="20"/>
      <c r="I111" s="20"/>
      <c r="J111" s="20">
        <f>IF(AND(B111="Yes",C111="Yes",D111="Yes",E111="Yes"),0,1)</f>
        <v>0</v>
      </c>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row>
    <row r="112" spans="1:37" ht="15" x14ac:dyDescent="0.2">
      <c r="A112" s="36" t="s">
        <v>339</v>
      </c>
      <c r="B112" s="63"/>
      <c r="C112" s="63"/>
      <c r="D112" s="63"/>
      <c r="E112" s="68" t="str">
        <f>'Erudio Enterprise Net Pos - SI'!E47</f>
        <v>Yes</v>
      </c>
      <c r="F112" s="68"/>
      <c r="G112" s="68"/>
      <c r="H112" s="20"/>
      <c r="I112" s="20"/>
      <c r="J112" s="20">
        <f>IF(E112="Yes",0,1)</f>
        <v>0</v>
      </c>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row>
    <row r="113" spans="1:37" ht="15" x14ac:dyDescent="0.2">
      <c r="A113" s="20"/>
      <c r="B113" s="20"/>
      <c r="C113" s="20"/>
      <c r="D113" s="20"/>
      <c r="E113" s="20"/>
      <c r="F113" s="68"/>
      <c r="G113" s="6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row>
    <row r="114" spans="1:37" ht="15.75" x14ac:dyDescent="0.25">
      <c r="A114" s="341" t="s">
        <v>220</v>
      </c>
      <c r="B114" s="341"/>
      <c r="C114" s="341"/>
      <c r="D114" s="19"/>
      <c r="E114" s="19"/>
      <c r="F114" s="68"/>
      <c r="G114" s="6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row>
    <row r="115" spans="1:37" ht="15" x14ac:dyDescent="0.2">
      <c r="A115" s="20"/>
      <c r="B115" s="20"/>
      <c r="C115" s="20"/>
      <c r="D115" s="20"/>
      <c r="E115" s="20"/>
      <c r="F115" s="68"/>
      <c r="G115" s="6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row>
    <row r="116" spans="1:37" ht="45" x14ac:dyDescent="0.2">
      <c r="A116" s="240" t="s">
        <v>208</v>
      </c>
      <c r="B116" s="68" t="str">
        <f>'Erudio Enterprise Inc Stmt - SI'!B43</f>
        <v>Yes</v>
      </c>
      <c r="C116" s="68" t="str">
        <f>'Erudio Enterprise Inc Stmt - SI'!C43</f>
        <v>Yes</v>
      </c>
      <c r="D116" s="68" t="str">
        <f>'Erudio Enterprise Inc Stmt - SI'!D43</f>
        <v>Yes</v>
      </c>
      <c r="E116" s="68" t="str">
        <f>'Erudio Enterprise Inc Stmt - SI'!E43</f>
        <v>Yes</v>
      </c>
      <c r="F116" s="68"/>
      <c r="G116" s="68"/>
      <c r="H116" s="20"/>
      <c r="I116" s="20"/>
      <c r="J116" s="20">
        <f>IF(AND(B116="Yes",C116="Yes",D116="Yes",E116="Yes"),0,1)</f>
        <v>0</v>
      </c>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row>
    <row r="117" spans="1:37" ht="30" x14ac:dyDescent="0.2">
      <c r="A117" s="240" t="s">
        <v>340</v>
      </c>
      <c r="E117" s="68" t="str">
        <f>'Erudio Enterprise Inc Stmt - SI'!E44</f>
        <v>Yes</v>
      </c>
      <c r="F117" s="68"/>
      <c r="G117" s="68"/>
      <c r="H117" s="20"/>
      <c r="I117" s="20"/>
      <c r="J117" s="20">
        <f>IF(E117="Yes",0,1)</f>
        <v>0</v>
      </c>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row>
    <row r="118" spans="1:37" ht="15" x14ac:dyDescent="0.2">
      <c r="F118" s="68"/>
      <c r="G118" s="6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row>
    <row r="119" spans="1:37" ht="15.75" x14ac:dyDescent="0.25">
      <c r="A119" s="342" t="s">
        <v>54</v>
      </c>
      <c r="B119" s="342"/>
      <c r="C119" s="342"/>
      <c r="D119" s="21"/>
      <c r="E119" s="21"/>
      <c r="F119" s="68"/>
      <c r="G119" s="6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row>
    <row r="120" spans="1:37" ht="15.75" x14ac:dyDescent="0.25">
      <c r="A120" s="21"/>
      <c r="B120" s="21"/>
      <c r="C120" s="21"/>
      <c r="D120" s="21"/>
      <c r="E120" s="21"/>
      <c r="F120" s="68"/>
      <c r="G120" s="6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row>
    <row r="121" spans="1:37" ht="30" x14ac:dyDescent="0.2">
      <c r="A121" s="39" t="s">
        <v>214</v>
      </c>
      <c r="B121" s="68" t="str">
        <f>'Erudio Enterprise Cash Flow- SI'!B42</f>
        <v>Yes</v>
      </c>
      <c r="C121" s="68" t="str">
        <f>'Erudio Enterprise Cash Flow- SI'!C42</f>
        <v>Yes</v>
      </c>
      <c r="D121" s="68" t="str">
        <f>'Erudio Enterprise Cash Flow- SI'!D42</f>
        <v>Yes</v>
      </c>
      <c r="E121" s="68" t="str">
        <f>'Erudio Enterprise Cash Flow- SI'!E42</f>
        <v>Yes</v>
      </c>
      <c r="F121" s="68"/>
      <c r="G121" s="68"/>
      <c r="H121" s="20"/>
      <c r="I121" s="20"/>
      <c r="J121" s="20">
        <f>IF(AND(B121="Yes",C121="Yes",D121="Yes",E121="Yes"),0,1)</f>
        <v>0</v>
      </c>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row>
    <row r="122" spans="1:37" ht="30" x14ac:dyDescent="0.2">
      <c r="A122" s="39" t="s">
        <v>215</v>
      </c>
      <c r="B122" s="68" t="str">
        <f>'Erudio Enterprise Cash Flow- SI'!B43</f>
        <v>Yes</v>
      </c>
      <c r="C122" s="68" t="str">
        <f>'Erudio Enterprise Cash Flow- SI'!C43</f>
        <v>Yes</v>
      </c>
      <c r="D122" s="68" t="str">
        <f>'Erudio Enterprise Cash Flow- SI'!D43</f>
        <v>Yes</v>
      </c>
      <c r="E122" s="68" t="str">
        <f>'Erudio Enterprise Cash Flow- SI'!E43</f>
        <v>Yes</v>
      </c>
      <c r="F122" s="68"/>
      <c r="G122" s="68"/>
      <c r="H122" s="20"/>
      <c r="I122" s="20"/>
      <c r="J122" s="20">
        <f>IF(AND(B122="Yes",C122="Yes",D122="Yes",E122="Yes"),0,1)</f>
        <v>0</v>
      </c>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row>
    <row r="123" spans="1:37" ht="30" x14ac:dyDescent="0.2">
      <c r="A123" s="39" t="s">
        <v>265</v>
      </c>
      <c r="B123" s="68" t="str">
        <f>'Erudio Enterprise Cash Flow- SI'!B44</f>
        <v>Yes</v>
      </c>
      <c r="C123" s="68" t="str">
        <f>'Erudio Enterprise Cash Flow- SI'!C44</f>
        <v>Yes</v>
      </c>
      <c r="D123" s="68" t="str">
        <f>'Erudio Enterprise Cash Flow- SI'!D44</f>
        <v>Yes</v>
      </c>
      <c r="E123" s="68" t="str">
        <f>'Erudio Enterprise Cash Flow- SI'!E44</f>
        <v>Yes</v>
      </c>
      <c r="F123" s="68"/>
      <c r="G123" s="68"/>
      <c r="H123" s="20"/>
      <c r="I123" s="20"/>
      <c r="J123" s="20">
        <f>IF(AND(B123="Yes",C123="Yes",D123="Yes",E123="Yes"),0,1)</f>
        <v>0</v>
      </c>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row>
    <row r="124" spans="1:37" ht="15" x14ac:dyDescent="0.2">
      <c r="F124" s="68"/>
      <c r="G124" s="6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row>
    <row r="125" spans="1:37" ht="15.75" x14ac:dyDescent="0.25">
      <c r="A125" s="150" t="str">
        <f>E26</f>
        <v>Owl - Discite</v>
      </c>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row>
    <row r="126" spans="1:37" ht="15.75" x14ac:dyDescent="0.25">
      <c r="A126" s="15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row>
    <row r="127" spans="1:37" ht="15.75" x14ac:dyDescent="0.25">
      <c r="A127" s="342" t="s">
        <v>6</v>
      </c>
      <c r="B127" s="342"/>
      <c r="C127" s="342"/>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row>
    <row r="128" spans="1:37" ht="15"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row>
    <row r="129" spans="1:37" ht="36" customHeight="1" x14ac:dyDescent="0.2">
      <c r="A129" s="58" t="s">
        <v>186</v>
      </c>
      <c r="B129" s="68" t="str">
        <f>'Discite Cnty etc SRF Bal Sh- SI'!B44</f>
        <v>Yes</v>
      </c>
      <c r="C129" s="68" t="str">
        <f>'Discite Cnty etc SRF Bal Sh- SI'!C44</f>
        <v>Yes</v>
      </c>
      <c r="D129" s="68" t="str">
        <f>'Discite Cnty etc SRF Bal Sh- SI'!D44</f>
        <v>Yes</v>
      </c>
      <c r="E129" s="68" t="str">
        <f>'Discite Cnty etc SRF Bal Sh- SI'!E44</f>
        <v>Yes</v>
      </c>
      <c r="F129" s="68" t="str">
        <f>'Discite Cnty etc SRF Bal Sh- SI'!F44</f>
        <v>Yes</v>
      </c>
      <c r="G129" s="68" t="str">
        <f>'Discite Cnty etc SRF Bal Sh- SI'!G44</f>
        <v>Yes</v>
      </c>
      <c r="H129" s="20"/>
      <c r="I129" s="20"/>
      <c r="J129" s="20">
        <f>IF(AND(B129="Yes",C129="Yes",D129="Yes",E129="Yes",F129="Yes",G129="Yes"),0,1)</f>
        <v>0</v>
      </c>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row>
    <row r="130" spans="1:37" ht="15" x14ac:dyDescent="0.2">
      <c r="B130" s="68"/>
      <c r="C130" s="68"/>
      <c r="D130" s="68"/>
      <c r="E130" s="58"/>
      <c r="F130" s="68"/>
      <c r="G130" s="68"/>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row>
    <row r="131" spans="1:37" ht="15.75" x14ac:dyDescent="0.25">
      <c r="A131" s="342" t="s">
        <v>221</v>
      </c>
      <c r="B131" s="342"/>
      <c r="C131" s="342"/>
      <c r="D131" s="68"/>
      <c r="E131" s="68"/>
      <c r="F131" s="68"/>
      <c r="G131" s="6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row>
    <row r="132" spans="1:37" ht="15" x14ac:dyDescent="0.2">
      <c r="A132" s="58"/>
      <c r="B132" s="68"/>
      <c r="C132" s="68"/>
      <c r="D132" s="68"/>
      <c r="E132" s="68"/>
      <c r="F132" s="68"/>
      <c r="G132" s="6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row>
    <row r="133" spans="1:37" ht="24" customHeight="1" x14ac:dyDescent="0.2">
      <c r="A133" s="173" t="s">
        <v>283</v>
      </c>
      <c r="B133" s="68" t="str">
        <f>'Discite Cnty etc SRF Inc St- SI'!B47</f>
        <v>Yes</v>
      </c>
      <c r="C133" s="68" t="str">
        <f>'Discite Cnty etc SRF Inc St- SI'!C47</f>
        <v>Yes</v>
      </c>
      <c r="D133" s="68" t="str">
        <f>'Discite Cnty etc SRF Inc St- SI'!D47</f>
        <v>Yes</v>
      </c>
      <c r="E133" s="68" t="str">
        <f>'Discite Cnty etc SRF Inc St- SI'!E47</f>
        <v>Yes</v>
      </c>
      <c r="F133" s="68" t="str">
        <f>'Discite Cnty etc SRF Inc St- SI'!F47</f>
        <v>Yes</v>
      </c>
      <c r="G133" s="68" t="str">
        <f>'Discite Cnty etc SRF Inc St- SI'!G47</f>
        <v>Yes</v>
      </c>
      <c r="H133" s="20"/>
      <c r="I133" s="20"/>
      <c r="J133" s="20">
        <f>IF(AND(B133="Yes",C133="Yes",D133="Yes",E133="Yes",F133="Yes",G133="Yes"),0,1)</f>
        <v>0</v>
      </c>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row>
    <row r="134" spans="1:37" ht="15"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row>
    <row r="135" spans="1:37" ht="40.5" x14ac:dyDescent="0.55000000000000004">
      <c r="A135" s="150" t="str">
        <f>E26</f>
        <v>Owl - Discite</v>
      </c>
      <c r="B135" s="257" t="s">
        <v>134</v>
      </c>
      <c r="C135" s="258" t="s">
        <v>407</v>
      </c>
      <c r="D135" s="258" t="s">
        <v>225</v>
      </c>
      <c r="E135" s="258" t="s">
        <v>0</v>
      </c>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row>
    <row r="136" spans="1:37" ht="15"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row>
    <row r="137" spans="1:37" ht="15.75" x14ac:dyDescent="0.25">
      <c r="A137" s="341" t="s">
        <v>165</v>
      </c>
      <c r="B137" s="341"/>
      <c r="C137" s="341"/>
      <c r="D137" s="19"/>
      <c r="E137" s="19"/>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row>
    <row r="138" spans="1:37" ht="15"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row>
    <row r="139" spans="1:37" ht="30" x14ac:dyDescent="0.2">
      <c r="A139" s="104" t="s">
        <v>186</v>
      </c>
      <c r="B139" s="68" t="str">
        <f>'Discite Enterprise Net Pos - SI'!B45</f>
        <v>Yes</v>
      </c>
      <c r="C139" s="68" t="str">
        <f>'Discite Enterprise Net Pos - SI'!C45</f>
        <v>Yes</v>
      </c>
      <c r="D139" s="68" t="str">
        <f>'Discite Enterprise Net Pos - SI'!D45</f>
        <v>Yes</v>
      </c>
      <c r="E139" s="68" t="str">
        <f>'Discite Enterprise Net Pos - SI'!E45</f>
        <v>Yes</v>
      </c>
      <c r="F139" s="20"/>
      <c r="G139" s="20"/>
      <c r="H139" s="20"/>
      <c r="I139" s="20"/>
      <c r="J139" s="20">
        <f>IF(AND(B139="Yes",C139="Yes",D139="Yes",E139="Yes"),0,1)</f>
        <v>0</v>
      </c>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row>
    <row r="140" spans="1:37" ht="30" x14ac:dyDescent="0.2">
      <c r="A140" s="240" t="s">
        <v>207</v>
      </c>
      <c r="B140" s="68" t="str">
        <f>'Discite Enterprise Net Pos - SI'!B46</f>
        <v>Yes</v>
      </c>
      <c r="C140" s="68" t="str">
        <f>'Discite Enterprise Net Pos - SI'!C46</f>
        <v>Yes</v>
      </c>
      <c r="D140" s="68" t="str">
        <f>'Discite Enterprise Net Pos - SI'!D46</f>
        <v>Yes</v>
      </c>
      <c r="E140" s="68" t="str">
        <f>'Discite Enterprise Net Pos - SI'!E46</f>
        <v>Yes</v>
      </c>
      <c r="F140" s="20"/>
      <c r="G140" s="20"/>
      <c r="H140" s="20"/>
      <c r="I140" s="20"/>
      <c r="J140" s="20">
        <f>IF(AND(B140="Yes",C140="Yes",D140="Yes",E140="Yes"),0,1)</f>
        <v>0</v>
      </c>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row>
    <row r="141" spans="1:37" ht="15" x14ac:dyDescent="0.2">
      <c r="A141" s="36" t="s">
        <v>339</v>
      </c>
      <c r="B141" s="63"/>
      <c r="C141" s="63"/>
      <c r="D141" s="63"/>
      <c r="E141" s="68" t="str">
        <f>'Discite Enterprise Net Pos - SI'!E47</f>
        <v>Yes</v>
      </c>
      <c r="F141" s="20"/>
      <c r="G141" s="20"/>
      <c r="H141" s="20"/>
      <c r="I141" s="20"/>
      <c r="J141" s="20">
        <f>IF(E141="Yes",0,1)</f>
        <v>0</v>
      </c>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row>
    <row r="142" spans="1:37" ht="15"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row>
    <row r="143" spans="1:37" ht="15.75" x14ac:dyDescent="0.25">
      <c r="A143" s="341" t="s">
        <v>220</v>
      </c>
      <c r="B143" s="341"/>
      <c r="C143" s="341"/>
      <c r="D143" s="19"/>
      <c r="E143" s="19"/>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row>
    <row r="144" spans="1:37" ht="15"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row>
    <row r="145" spans="1:37" ht="45" x14ac:dyDescent="0.2">
      <c r="A145" s="240" t="s">
        <v>208</v>
      </c>
      <c r="B145" s="68" t="str">
        <f>'Discite Enterprise Inc Stmt- SI'!B43</f>
        <v>Yes</v>
      </c>
      <c r="C145" s="68" t="str">
        <f>'Discite Enterprise Inc Stmt- SI'!C43</f>
        <v>Yes</v>
      </c>
      <c r="D145" s="68" t="str">
        <f>'Discite Enterprise Inc Stmt- SI'!D43</f>
        <v>Yes</v>
      </c>
      <c r="E145" s="68" t="str">
        <f>'Discite Enterprise Inc Stmt- SI'!E43</f>
        <v>Yes</v>
      </c>
      <c r="F145" s="20"/>
      <c r="G145" s="20"/>
      <c r="H145" s="20"/>
      <c r="I145" s="20"/>
      <c r="J145" s="20">
        <f>IF(AND(B145="Yes",C145="Yes",D145="Yes",E145="Yes"),0,1)</f>
        <v>0</v>
      </c>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row>
    <row r="146" spans="1:37" ht="30" x14ac:dyDescent="0.2">
      <c r="A146" s="240" t="s">
        <v>340</v>
      </c>
      <c r="E146" s="68" t="str">
        <f>'Discite Enterprise Inc Stmt- SI'!E44</f>
        <v>Yes</v>
      </c>
      <c r="F146" s="20"/>
      <c r="G146" s="20"/>
      <c r="H146" s="20"/>
      <c r="I146" s="20"/>
      <c r="J146" s="20">
        <f>IF(E146="Yes",0,1)</f>
        <v>0</v>
      </c>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row>
    <row r="147" spans="1:37" ht="15" x14ac:dyDescent="0.2">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row>
    <row r="148" spans="1:37" ht="15.75" x14ac:dyDescent="0.25">
      <c r="A148" s="342" t="s">
        <v>54</v>
      </c>
      <c r="B148" s="342"/>
      <c r="C148" s="342"/>
      <c r="D148" s="21"/>
      <c r="E148" s="21"/>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row>
    <row r="149" spans="1:37" ht="15.75" x14ac:dyDescent="0.25">
      <c r="A149" s="21"/>
      <c r="B149" s="21"/>
      <c r="C149" s="21"/>
      <c r="D149" s="21"/>
      <c r="E149" s="21"/>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row>
    <row r="150" spans="1:37" ht="30" x14ac:dyDescent="0.2">
      <c r="A150" s="39" t="s">
        <v>214</v>
      </c>
      <c r="B150" s="68" t="str">
        <f>'Discite Enterprise CashFlow- SI'!B42</f>
        <v>Yes</v>
      </c>
      <c r="C150" s="68" t="str">
        <f>'Discite Enterprise CashFlow- SI'!C42</f>
        <v>Yes</v>
      </c>
      <c r="D150" s="68" t="str">
        <f>'Discite Enterprise CashFlow- SI'!D42</f>
        <v>Yes</v>
      </c>
      <c r="E150" s="68" t="str">
        <f>'Discite Enterprise CashFlow- SI'!E42</f>
        <v>Yes</v>
      </c>
      <c r="F150" s="20"/>
      <c r="G150" s="20"/>
      <c r="H150" s="20"/>
      <c r="I150" s="20"/>
      <c r="J150" s="20">
        <f>IF(AND(B150="Yes",C150="Yes",D150="Yes",E150="Yes"),0,1)</f>
        <v>0</v>
      </c>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row>
    <row r="151" spans="1:37" ht="30" x14ac:dyDescent="0.2">
      <c r="A151" s="39" t="s">
        <v>215</v>
      </c>
      <c r="B151" s="68" t="str">
        <f>'Discite Enterprise CashFlow- SI'!B43</f>
        <v>Yes</v>
      </c>
      <c r="C151" s="68" t="str">
        <f>'Discite Enterprise CashFlow- SI'!C43</f>
        <v>Yes</v>
      </c>
      <c r="D151" s="68" t="str">
        <f>'Discite Enterprise CashFlow- SI'!D43</f>
        <v>Yes</v>
      </c>
      <c r="E151" s="68" t="str">
        <f>'Discite Enterprise CashFlow- SI'!E43</f>
        <v>Yes</v>
      </c>
      <c r="F151" s="20"/>
      <c r="G151" s="20"/>
      <c r="H151" s="20"/>
      <c r="I151" s="20"/>
      <c r="J151" s="20">
        <f>IF(AND(B151="Yes",C151="Yes",D151="Yes",E151="Yes"),0,1)</f>
        <v>0</v>
      </c>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row>
    <row r="152" spans="1:37" ht="30" x14ac:dyDescent="0.2">
      <c r="A152" s="39" t="s">
        <v>265</v>
      </c>
      <c r="B152" s="68" t="str">
        <f>'Discite Enterprise CashFlow- SI'!B44</f>
        <v>Yes</v>
      </c>
      <c r="C152" s="68" t="str">
        <f>'Discite Enterprise CashFlow- SI'!C44</f>
        <v>Yes</v>
      </c>
      <c r="D152" s="68" t="str">
        <f>'Discite Enterprise CashFlow- SI'!D44</f>
        <v>Yes</v>
      </c>
      <c r="E152" s="68" t="str">
        <f>'Discite Enterprise CashFlow- SI'!E44</f>
        <v>Yes</v>
      </c>
      <c r="F152" s="20"/>
      <c r="G152" s="20"/>
      <c r="H152" s="20"/>
      <c r="I152" s="20"/>
      <c r="J152" s="20">
        <f>IF(AND(B152="Yes",C152="Yes",D152="Yes",E152="Yes"),0,1)</f>
        <v>0</v>
      </c>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row>
    <row r="153" spans="1:37" ht="15" x14ac:dyDescent="0.2">
      <c r="A153" s="39"/>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row>
    <row r="154" spans="1:37" ht="15" x14ac:dyDescent="0.2">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row>
    <row r="155" spans="1:37" ht="20.100000000000001" customHeight="1" x14ac:dyDescent="0.2">
      <c r="A155" s="283" t="s">
        <v>297</v>
      </c>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row>
    <row r="156" spans="1:37" ht="15"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row>
    <row r="157" spans="1:37" ht="15.75" x14ac:dyDescent="0.25">
      <c r="A157" s="150" t="s">
        <v>298</v>
      </c>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row>
    <row r="158" spans="1:37" ht="15"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row>
    <row r="159" spans="1:37" ht="32.1" customHeight="1" x14ac:dyDescent="0.2">
      <c r="A159" s="175" t="s">
        <v>252</v>
      </c>
      <c r="B159" s="163" t="str">
        <f>'Nonprofit - General Fund B-A'!C50</f>
        <v>Yes</v>
      </c>
      <c r="C159" s="20"/>
      <c r="D159" s="20"/>
      <c r="E159" s="20"/>
      <c r="F159" s="20"/>
      <c r="G159" s="20"/>
      <c r="H159" s="20"/>
      <c r="I159" s="20"/>
      <c r="J159" s="20">
        <f>IF(AND(B159="Yes"),0,1)</f>
        <v>0</v>
      </c>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row>
    <row r="160" spans="1:37" ht="32.1" customHeight="1" x14ac:dyDescent="0.2">
      <c r="A160" s="175" t="s">
        <v>270</v>
      </c>
      <c r="B160" s="163" t="str">
        <f>'Nonprofit - General Fund B-A'!C51</f>
        <v>Yes</v>
      </c>
      <c r="C160" s="20"/>
      <c r="D160" s="20"/>
      <c r="E160" s="20"/>
      <c r="F160" s="20"/>
      <c r="G160" s="20"/>
      <c r="H160" s="20"/>
      <c r="I160" s="20"/>
      <c r="J160" s="20">
        <f>IF(AND(B160="Yes"),0,1)</f>
        <v>0</v>
      </c>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row>
    <row r="161" spans="1:37" ht="15" x14ac:dyDescent="0.2">
      <c r="A161" s="69"/>
      <c r="B161" s="163"/>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row>
    <row r="162" spans="1:37" ht="15" x14ac:dyDescent="0.2">
      <c r="A162" s="69"/>
      <c r="B162" s="163"/>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row>
    <row r="163" spans="1:37" ht="20.25" x14ac:dyDescent="0.55000000000000004">
      <c r="A163" s="174" t="s">
        <v>96</v>
      </c>
      <c r="B163" s="257" t="str">
        <f>C26</f>
        <v>Owl - Doceo</v>
      </c>
      <c r="C163" s="257" t="str">
        <f>D26</f>
        <v>Owl - Erudio</v>
      </c>
      <c r="D163" s="257" t="str">
        <f>E26</f>
        <v>Owl - Discite</v>
      </c>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row>
    <row r="164" spans="1:37" ht="15"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row>
    <row r="165" spans="1:37" ht="15.75" x14ac:dyDescent="0.25">
      <c r="A165" s="155" t="s">
        <v>274</v>
      </c>
      <c r="B165" s="12"/>
      <c r="C165" s="12"/>
      <c r="D165" s="12"/>
      <c r="E165" s="12"/>
      <c r="F165" s="12"/>
      <c r="G165" s="12"/>
      <c r="H165" s="12"/>
      <c r="I165" s="12"/>
      <c r="J165" s="12"/>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row>
    <row r="166" spans="1:37" ht="15"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row>
    <row r="167" spans="1:37" ht="36" customHeight="1" x14ac:dyDescent="0.2">
      <c r="A167" s="175" t="s">
        <v>252</v>
      </c>
      <c r="B167" s="68" t="str">
        <f>'School County etc SRF IS B-A'!C51</f>
        <v>Yes</v>
      </c>
      <c r="C167" s="68" t="str">
        <f>'School County etc SRF IS B-A'!G51</f>
        <v>Yes</v>
      </c>
      <c r="D167" s="68" t="str">
        <f>'School County etc SRF IS B-A'!K51</f>
        <v>Yes</v>
      </c>
      <c r="E167" s="20"/>
      <c r="F167" s="20"/>
      <c r="G167" s="20"/>
      <c r="H167" s="20"/>
      <c r="I167" s="20"/>
      <c r="J167" s="20">
        <f>IF(AND(B167="Yes",C167="Yes",D167="Yes"),0,1)</f>
        <v>0</v>
      </c>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row>
    <row r="168" spans="1:37" ht="36" customHeight="1" x14ac:dyDescent="0.2">
      <c r="A168" s="175" t="s">
        <v>270</v>
      </c>
      <c r="B168" s="68" t="str">
        <f>'School County etc SRF IS B-A'!C52</f>
        <v>Yes</v>
      </c>
      <c r="C168" s="68" t="str">
        <f>'School County etc SRF IS B-A'!G52</f>
        <v>Yes</v>
      </c>
      <c r="D168" s="68" t="str">
        <f>'School County etc SRF IS B-A'!K52</f>
        <v>Yes</v>
      </c>
      <c r="E168" s="20"/>
      <c r="F168" s="20"/>
      <c r="G168" s="20"/>
      <c r="H168" s="20"/>
      <c r="I168" s="20"/>
      <c r="J168" s="20">
        <f>IF(AND(B168="Yes",C168="Yes",D168="Yes"),0,1)</f>
        <v>0</v>
      </c>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row>
    <row r="169" spans="1:37" ht="15"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row>
    <row r="170" spans="1:37" ht="15.75" x14ac:dyDescent="0.25">
      <c r="A170" s="155" t="s">
        <v>101</v>
      </c>
      <c r="B170" s="15"/>
      <c r="C170" s="15"/>
      <c r="D170" s="15"/>
      <c r="E170" s="15"/>
      <c r="F170" s="15"/>
      <c r="G170" s="15"/>
      <c r="H170" s="15"/>
      <c r="I170" s="15"/>
      <c r="J170" s="15"/>
      <c r="K170" s="15"/>
      <c r="L170" s="15"/>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row>
    <row r="171" spans="1:37" ht="15"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row>
    <row r="172" spans="1:37" ht="36" customHeight="1" x14ac:dyDescent="0.2">
      <c r="A172" s="58" t="s">
        <v>253</v>
      </c>
      <c r="B172" s="68" t="str">
        <f>'State Public School SRF IS B-A'!C36</f>
        <v>Yes</v>
      </c>
      <c r="C172" s="68" t="str">
        <f>'State Public School SRF IS B-A'!G36</f>
        <v>Yes</v>
      </c>
      <c r="D172" s="68" t="str">
        <f>'State Public School SRF IS B-A'!K36</f>
        <v>Yes</v>
      </c>
      <c r="E172" s="20"/>
      <c r="F172" s="20"/>
      <c r="G172" s="20"/>
      <c r="H172" s="20"/>
      <c r="I172" s="20"/>
      <c r="J172" s="20">
        <f>IF(AND(B172="Yes",C172="Yes",D172="Yes"),0,1)</f>
        <v>0</v>
      </c>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row>
    <row r="173" spans="1:37" ht="36" customHeight="1" x14ac:dyDescent="0.2">
      <c r="A173" s="175" t="s">
        <v>293</v>
      </c>
      <c r="B173" s="68" t="str">
        <f>'State Public School SRF IS B-A'!C37</f>
        <v>Yes</v>
      </c>
      <c r="C173" s="68" t="str">
        <f>'State Public School SRF IS B-A'!G37</f>
        <v>Yes</v>
      </c>
      <c r="D173" s="68" t="str">
        <f>'State Public School SRF IS B-A'!K37</f>
        <v>Yes</v>
      </c>
      <c r="E173" s="20"/>
      <c r="F173" s="20"/>
      <c r="G173" s="20"/>
      <c r="H173" s="20"/>
      <c r="I173" s="20"/>
      <c r="J173" s="20">
        <f>IF(AND(B173="Yes",C173="Yes",D173="Yes"),0,1)</f>
        <v>0</v>
      </c>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row>
    <row r="174" spans="1:37" ht="15"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row>
    <row r="175" spans="1:37" ht="15.75" x14ac:dyDescent="0.25">
      <c r="A175" s="155" t="s">
        <v>111</v>
      </c>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row>
    <row r="176" spans="1:37" ht="15"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row>
    <row r="177" spans="1:37" ht="36" customHeight="1" x14ac:dyDescent="0.2">
      <c r="A177" s="175" t="s">
        <v>294</v>
      </c>
      <c r="B177" s="163" t="str">
        <f>'Fed Grants SRF IS B-A'!C39</f>
        <v>Yes</v>
      </c>
      <c r="C177" s="340" t="s">
        <v>398</v>
      </c>
      <c r="D177" s="340"/>
      <c r="E177" s="75"/>
      <c r="F177" s="20"/>
      <c r="G177" s="20"/>
      <c r="H177" s="20"/>
      <c r="I177" s="20"/>
      <c r="J177" s="20">
        <f>IF(AND(B177="Yes"),0,1)</f>
        <v>0</v>
      </c>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row>
    <row r="178" spans="1:37" ht="36" customHeight="1" x14ac:dyDescent="0.2">
      <c r="A178" s="175" t="s">
        <v>293</v>
      </c>
      <c r="B178" s="163" t="str">
        <f>'Fed Grants SRF IS B-A'!C40</f>
        <v>Yes</v>
      </c>
      <c r="C178" s="340"/>
      <c r="D178" s="340"/>
      <c r="E178" s="20"/>
      <c r="F178" s="20"/>
      <c r="G178" s="20"/>
      <c r="H178" s="20"/>
      <c r="I178" s="20"/>
      <c r="J178" s="20">
        <f>IF(AND(B178="Yes"),0,1)</f>
        <v>0</v>
      </c>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row>
    <row r="179" spans="1:37" ht="15"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row>
    <row r="180" spans="1:37" ht="15.75" x14ac:dyDescent="0.25">
      <c r="A180" s="155" t="s">
        <v>236</v>
      </c>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row>
    <row r="181" spans="1:37" ht="15"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row>
    <row r="182" spans="1:37" ht="36" customHeight="1" x14ac:dyDescent="0.2">
      <c r="A182" s="69" t="s">
        <v>295</v>
      </c>
      <c r="B182" s="340" t="s">
        <v>397</v>
      </c>
      <c r="C182" s="340"/>
      <c r="D182" s="68" t="str">
        <f>'Student Activity B-A'!C31</f>
        <v>Yes</v>
      </c>
      <c r="E182" s="20"/>
      <c r="F182" s="20"/>
      <c r="G182" s="20"/>
      <c r="H182" s="20"/>
      <c r="I182" s="20"/>
      <c r="J182" s="20">
        <f>IF(AND(D182="Yes"),0,1)</f>
        <v>0</v>
      </c>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row>
    <row r="183" spans="1:37" ht="36" customHeight="1" x14ac:dyDescent="0.2">
      <c r="A183" s="69" t="s">
        <v>270</v>
      </c>
      <c r="B183" s="340"/>
      <c r="C183" s="340"/>
      <c r="D183" s="68" t="str">
        <f>'Student Activity B-A'!C32</f>
        <v>Yes</v>
      </c>
      <c r="E183" s="20"/>
      <c r="F183" s="20"/>
      <c r="G183" s="20"/>
      <c r="H183" s="20"/>
      <c r="I183" s="20"/>
      <c r="J183" s="20">
        <f>IF(AND(D183="Yes"),0,1)</f>
        <v>0</v>
      </c>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row>
    <row r="184" spans="1:37" ht="15"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row>
    <row r="185" spans="1:37" ht="15.75" x14ac:dyDescent="0.25">
      <c r="A185" s="174" t="s">
        <v>20</v>
      </c>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row>
    <row r="186" spans="1:37" ht="15"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row>
    <row r="187" spans="1:37" ht="15.75" x14ac:dyDescent="0.25">
      <c r="A187" s="155" t="s">
        <v>312</v>
      </c>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row>
    <row r="188" spans="1:37" ht="15"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row>
    <row r="189" spans="1:37" ht="21.95" customHeight="1" x14ac:dyDescent="0.2">
      <c r="A189" s="242" t="s">
        <v>302</v>
      </c>
      <c r="B189" s="20"/>
      <c r="C189" s="20"/>
      <c r="D189" s="20"/>
      <c r="E189" s="134" t="str">
        <f>'Food Service B-A'!O41</f>
        <v>Yes</v>
      </c>
      <c r="F189" s="20"/>
      <c r="G189" s="20"/>
      <c r="H189" s="20"/>
      <c r="I189" s="20"/>
      <c r="J189" s="20">
        <f>IF(AND(E189="Yes"),0,1)</f>
        <v>0</v>
      </c>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row>
    <row r="190" spans="1:37" ht="21.95" customHeight="1" x14ac:dyDescent="0.2">
      <c r="A190" s="243" t="s">
        <v>269</v>
      </c>
      <c r="B190" s="134" t="str">
        <f>'Food Service B-A'!C42</f>
        <v>Yes</v>
      </c>
      <c r="C190" s="134" t="str">
        <f>'Food Service B-A'!G42</f>
        <v>Yes</v>
      </c>
      <c r="D190" s="134" t="str">
        <f>'Food Service B-A'!K42</f>
        <v>Yes</v>
      </c>
      <c r="E190" s="134" t="str">
        <f>'Food Service B-A'!O42</f>
        <v>Yes</v>
      </c>
      <c r="F190" s="20"/>
      <c r="G190" s="20"/>
      <c r="H190" s="20"/>
      <c r="I190" s="20"/>
      <c r="J190" s="20">
        <f>IF(AND(B190="Yes",C190="Yes",D190="Yes",E190="Yes"),0,1)</f>
        <v>0</v>
      </c>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row>
    <row r="191" spans="1:37" ht="36" customHeight="1" x14ac:dyDescent="0.2">
      <c r="A191" s="175" t="s">
        <v>308</v>
      </c>
      <c r="B191" s="134" t="str">
        <f>'Food Service B-A'!C43</f>
        <v>Yes</v>
      </c>
      <c r="C191" s="134" t="str">
        <f>'Food Service B-A'!G43</f>
        <v>Yes</v>
      </c>
      <c r="D191" s="134" t="str">
        <f>'Food Service B-A'!K43</f>
        <v>Yes</v>
      </c>
      <c r="E191" s="68"/>
      <c r="F191" s="20"/>
      <c r="G191" s="20"/>
      <c r="H191" s="20"/>
      <c r="I191" s="20"/>
      <c r="J191" s="20">
        <f>IF(AND(B191="Yes",C191="Yes",D191="Yes"),0,1)</f>
        <v>0</v>
      </c>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row>
    <row r="192" spans="1:37" ht="21.95" customHeight="1" x14ac:dyDescent="0.2">
      <c r="A192" s="173" t="s">
        <v>306</v>
      </c>
      <c r="B192" s="134" t="str">
        <f>'Food Service B-A'!B44</f>
        <v>Yes</v>
      </c>
      <c r="C192" s="134" t="str">
        <f>'Food Service B-A'!F44</f>
        <v>Yes</v>
      </c>
      <c r="D192" s="134" t="str">
        <f>'Food Service B-A'!J44</f>
        <v>Yes</v>
      </c>
      <c r="E192" s="20"/>
      <c r="F192" s="20"/>
      <c r="G192" s="20"/>
      <c r="H192" s="20"/>
      <c r="I192" s="20"/>
      <c r="J192" s="20">
        <f>IF(AND(B192="Yes",C192="Yes",D192="Yes"),0,1)</f>
        <v>0</v>
      </c>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row>
    <row r="193" spans="1:37" ht="15"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row>
    <row r="194" spans="1:37" ht="15.75" x14ac:dyDescent="0.25">
      <c r="A194" s="155" t="s">
        <v>407</v>
      </c>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row>
    <row r="195" spans="1:37" ht="15"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row>
    <row r="196" spans="1:37" ht="21.95" customHeight="1" x14ac:dyDescent="0.2">
      <c r="A196" s="242" t="s">
        <v>302</v>
      </c>
      <c r="B196" s="20"/>
      <c r="C196" s="20"/>
      <c r="D196" s="20"/>
      <c r="E196" s="63" t="str">
        <f>'Child Care B-A'!O36</f>
        <v>Yes</v>
      </c>
      <c r="F196" s="20"/>
      <c r="G196" s="20"/>
      <c r="H196" s="20"/>
      <c r="I196" s="20"/>
      <c r="J196" s="20">
        <f>IF(AND(E196="Yes"),0,1)</f>
        <v>0</v>
      </c>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row>
    <row r="197" spans="1:37" ht="21.95" customHeight="1" x14ac:dyDescent="0.2">
      <c r="A197" s="243" t="s">
        <v>269</v>
      </c>
      <c r="B197" s="20" t="str">
        <f>'Child Care B-A'!C37</f>
        <v>Yes</v>
      </c>
      <c r="C197" s="20" t="str">
        <f>'Child Care B-A'!G37</f>
        <v>Yes</v>
      </c>
      <c r="D197" s="20" t="str">
        <f>'Child Care B-A'!K37</f>
        <v>Yes</v>
      </c>
      <c r="E197" s="63" t="str">
        <f>'Child Care B-A'!O37</f>
        <v>Yes</v>
      </c>
      <c r="F197" s="20"/>
      <c r="G197" s="20"/>
      <c r="H197" s="20"/>
      <c r="I197" s="20"/>
      <c r="J197" s="20">
        <f>IF(AND(B197="Yes",C197="Yes",D197="Yes",E197="Yes"),0,1)</f>
        <v>0</v>
      </c>
      <c r="K197" s="20"/>
      <c r="L197" s="20"/>
      <c r="M197" s="20"/>
      <c r="N197" s="20"/>
      <c r="O197" s="20"/>
      <c r="P197" s="20"/>
      <c r="Q197" s="20"/>
      <c r="R197" s="20"/>
      <c r="S197" s="4"/>
      <c r="T197" s="4"/>
      <c r="U197" s="4"/>
      <c r="V197" s="4"/>
      <c r="W197" s="4"/>
      <c r="X197" s="4"/>
      <c r="Y197" s="4"/>
      <c r="Z197" s="4"/>
      <c r="AA197" s="4"/>
      <c r="AB197" s="4"/>
      <c r="AC197" s="4"/>
      <c r="AD197" s="4"/>
      <c r="AE197" s="4"/>
      <c r="AF197" s="4"/>
      <c r="AG197" s="4"/>
      <c r="AH197" s="4"/>
      <c r="AI197" s="4"/>
      <c r="AJ197" s="4"/>
    </row>
    <row r="198" spans="1:37" ht="36" customHeight="1" x14ac:dyDescent="0.2">
      <c r="A198" s="175" t="s">
        <v>308</v>
      </c>
      <c r="B198" s="20" t="str">
        <f>'Child Care B-A'!C38</f>
        <v>Yes</v>
      </c>
      <c r="C198" s="20" t="str">
        <f>'Child Care B-A'!G38</f>
        <v>Yes</v>
      </c>
      <c r="D198" s="20" t="str">
        <f>'Child Care B-A'!K38</f>
        <v>Yes</v>
      </c>
      <c r="E198" s="20"/>
      <c r="F198" s="20"/>
      <c r="G198" s="20"/>
      <c r="H198" s="20"/>
      <c r="I198" s="20"/>
      <c r="J198" s="20">
        <f>IF(AND(B198="Yes",C198="Yes",D198="Yes"),0,1)</f>
        <v>0</v>
      </c>
      <c r="K198" s="20"/>
      <c r="L198" s="20"/>
      <c r="M198" s="20"/>
      <c r="N198" s="20"/>
      <c r="O198" s="20"/>
      <c r="P198" s="20"/>
      <c r="Q198" s="20"/>
      <c r="R198" s="20"/>
      <c r="S198" s="4"/>
      <c r="T198" s="4"/>
      <c r="U198" s="4"/>
      <c r="V198" s="4"/>
      <c r="W198" s="4"/>
      <c r="X198" s="4"/>
      <c r="Y198" s="4"/>
      <c r="Z198" s="4"/>
      <c r="AA198" s="4"/>
      <c r="AB198" s="4"/>
      <c r="AC198" s="4"/>
      <c r="AD198" s="4"/>
      <c r="AE198" s="4"/>
      <c r="AF198" s="4"/>
      <c r="AG198" s="4"/>
      <c r="AH198" s="4"/>
      <c r="AI198" s="4"/>
      <c r="AJ198" s="4"/>
    </row>
    <row r="199" spans="1:37" ht="21.95" customHeight="1" x14ac:dyDescent="0.2">
      <c r="A199" s="173" t="s">
        <v>306</v>
      </c>
      <c r="B199" s="20" t="str">
        <f>'Child Care B-A'!B39</f>
        <v>Yes</v>
      </c>
      <c r="C199" s="20" t="str">
        <f>'Child Care B-A'!F39</f>
        <v>Yes</v>
      </c>
      <c r="D199" s="20" t="str">
        <f>'Child Care B-A'!J39</f>
        <v>Yes</v>
      </c>
      <c r="E199" s="20"/>
      <c r="F199" s="20"/>
      <c r="G199" s="20"/>
      <c r="H199" s="20"/>
      <c r="I199" s="20"/>
      <c r="J199" s="20">
        <f>IF(AND(B199="Yes",C199="Yes",D199="Yes"),0,1)</f>
        <v>0</v>
      </c>
      <c r="K199" s="20"/>
      <c r="L199" s="20"/>
      <c r="M199" s="20"/>
      <c r="N199" s="20"/>
      <c r="O199" s="20"/>
      <c r="P199" s="20"/>
      <c r="Q199" s="20"/>
      <c r="R199" s="20"/>
      <c r="S199" s="4"/>
      <c r="T199" s="4"/>
      <c r="U199" s="4"/>
      <c r="V199" s="4"/>
      <c r="W199" s="4"/>
      <c r="X199" s="4"/>
      <c r="Y199" s="4"/>
      <c r="Z199" s="4"/>
      <c r="AA199" s="4"/>
      <c r="AB199" s="4"/>
      <c r="AC199" s="4"/>
      <c r="AD199" s="4"/>
      <c r="AE199" s="4"/>
      <c r="AF199" s="4"/>
      <c r="AG199" s="4"/>
      <c r="AH199" s="4"/>
      <c r="AI199" s="4"/>
      <c r="AJ199" s="4"/>
    </row>
    <row r="200" spans="1:37" ht="15" x14ac:dyDescent="0.2">
      <c r="A200" s="20"/>
      <c r="B200" s="20"/>
      <c r="C200" s="20"/>
      <c r="D200" s="20"/>
      <c r="E200" s="20"/>
      <c r="F200" s="20"/>
      <c r="G200" s="20"/>
      <c r="H200" s="20"/>
      <c r="I200" s="20"/>
      <c r="J200" s="20"/>
      <c r="K200" s="20"/>
      <c r="L200" s="20"/>
      <c r="M200" s="20"/>
      <c r="N200" s="20"/>
      <c r="O200" s="20"/>
      <c r="P200" s="20"/>
      <c r="Q200" s="20"/>
      <c r="R200" s="20"/>
      <c r="S200" s="4"/>
      <c r="T200" s="4"/>
      <c r="U200" s="4"/>
      <c r="V200" s="4"/>
      <c r="W200" s="4"/>
      <c r="X200" s="4"/>
      <c r="Y200" s="4"/>
      <c r="Z200" s="4"/>
      <c r="AA200" s="4"/>
      <c r="AB200" s="4"/>
      <c r="AC200" s="4"/>
      <c r="AD200" s="4"/>
      <c r="AE200" s="4"/>
      <c r="AF200" s="4"/>
      <c r="AG200" s="4"/>
      <c r="AH200" s="4"/>
      <c r="AI200" s="4"/>
      <c r="AJ200" s="4"/>
    </row>
    <row r="201" spans="1:37" ht="15" x14ac:dyDescent="0.2">
      <c r="A201" s="20"/>
      <c r="B201" s="20"/>
      <c r="C201" s="20"/>
      <c r="D201" s="20"/>
      <c r="E201" s="20"/>
      <c r="F201" s="20"/>
      <c r="G201" s="20"/>
      <c r="H201" s="20"/>
      <c r="I201" s="20"/>
      <c r="J201" s="20"/>
      <c r="K201" s="20"/>
      <c r="L201" s="20"/>
      <c r="M201" s="20"/>
      <c r="N201" s="20"/>
      <c r="O201" s="20"/>
      <c r="P201" s="20"/>
      <c r="Q201" s="20"/>
      <c r="R201" s="20"/>
      <c r="S201" s="4"/>
      <c r="T201" s="4"/>
      <c r="U201" s="4"/>
      <c r="V201" s="4"/>
      <c r="W201" s="4"/>
      <c r="X201" s="4"/>
      <c r="Y201" s="4"/>
      <c r="Z201" s="4"/>
      <c r="AA201" s="4"/>
      <c r="AB201" s="4"/>
      <c r="AC201" s="4"/>
      <c r="AD201" s="4"/>
      <c r="AE201" s="4"/>
      <c r="AF201" s="4"/>
      <c r="AG201" s="4"/>
      <c r="AH201" s="4"/>
      <c r="AI201" s="4"/>
      <c r="AJ201" s="4"/>
    </row>
    <row r="202" spans="1:37" ht="15.75" x14ac:dyDescent="0.25">
      <c r="A202" s="174"/>
      <c r="B202" s="20"/>
      <c r="C202" s="20"/>
      <c r="D202" s="20"/>
      <c r="E202" s="20"/>
      <c r="F202" s="20"/>
      <c r="G202" s="20"/>
      <c r="H202" s="20"/>
      <c r="I202" s="20"/>
      <c r="J202" s="20"/>
      <c r="K202" s="20"/>
      <c r="L202" s="20"/>
      <c r="M202" s="20"/>
      <c r="N202" s="20"/>
      <c r="O202" s="20"/>
      <c r="P202" s="20"/>
      <c r="Q202" s="20"/>
      <c r="R202" s="20"/>
      <c r="S202" s="4"/>
      <c r="T202" s="4"/>
      <c r="U202" s="4"/>
      <c r="V202" s="4"/>
      <c r="W202" s="4"/>
      <c r="X202" s="4"/>
      <c r="Y202" s="4"/>
      <c r="Z202" s="4"/>
      <c r="AA202" s="4"/>
      <c r="AB202" s="4"/>
      <c r="AC202" s="4"/>
      <c r="AD202" s="4"/>
      <c r="AE202" s="4"/>
      <c r="AF202" s="4"/>
      <c r="AG202" s="4"/>
      <c r="AH202" s="4"/>
      <c r="AI202" s="4"/>
      <c r="AJ202" s="4"/>
    </row>
    <row r="203" spans="1:37" ht="15" x14ac:dyDescent="0.2">
      <c r="A203" s="20"/>
      <c r="B203" s="20"/>
      <c r="C203" s="20"/>
      <c r="D203" s="20"/>
      <c r="E203" s="20"/>
      <c r="F203" s="20"/>
      <c r="G203" s="20"/>
      <c r="H203" s="20"/>
      <c r="I203" s="20"/>
      <c r="J203" s="20"/>
      <c r="K203" s="20"/>
      <c r="L203" s="20"/>
      <c r="M203" s="20"/>
      <c r="N203" s="20"/>
      <c r="O203" s="20"/>
      <c r="P203" s="20"/>
      <c r="Q203" s="20"/>
      <c r="R203" s="20"/>
      <c r="S203" s="4"/>
      <c r="T203" s="4"/>
      <c r="U203" s="4"/>
      <c r="V203" s="4"/>
      <c r="W203" s="4"/>
      <c r="X203" s="4"/>
      <c r="Y203" s="4"/>
      <c r="Z203" s="4"/>
      <c r="AA203" s="4"/>
      <c r="AB203" s="4"/>
      <c r="AC203" s="4"/>
      <c r="AD203" s="4"/>
      <c r="AE203" s="4"/>
      <c r="AF203" s="4"/>
      <c r="AG203" s="4"/>
      <c r="AH203" s="4"/>
      <c r="AI203" s="4"/>
      <c r="AJ203" s="4"/>
    </row>
    <row r="204" spans="1:37" ht="15.75" x14ac:dyDescent="0.25">
      <c r="A204" s="155"/>
      <c r="B204" s="338"/>
      <c r="C204" s="337"/>
      <c r="D204" s="337"/>
      <c r="E204" s="337"/>
      <c r="F204" s="338"/>
      <c r="G204" s="87"/>
      <c r="H204" s="20"/>
      <c r="I204" s="20"/>
      <c r="J204" s="20"/>
      <c r="K204" s="20"/>
      <c r="L204" s="20"/>
      <c r="M204" s="20"/>
      <c r="N204" s="20"/>
      <c r="O204" s="20"/>
      <c r="P204" s="20"/>
      <c r="Q204" s="20"/>
      <c r="R204" s="20"/>
    </row>
    <row r="205" spans="1:37" ht="17.25" x14ac:dyDescent="0.35">
      <c r="A205" s="20"/>
      <c r="B205" s="338"/>
      <c r="C205" s="337"/>
      <c r="D205" s="337"/>
      <c r="E205" s="337"/>
      <c r="F205" s="338"/>
      <c r="G205" s="26"/>
      <c r="H205" s="20"/>
      <c r="I205" s="20"/>
      <c r="J205" s="20"/>
      <c r="K205" s="20"/>
      <c r="L205" s="20"/>
      <c r="M205" s="20"/>
      <c r="N205" s="20"/>
      <c r="O205" s="20"/>
      <c r="P205" s="20"/>
      <c r="Q205" s="20"/>
      <c r="R205" s="20"/>
    </row>
    <row r="206" spans="1:37" ht="15" x14ac:dyDescent="0.2">
      <c r="A206" s="20"/>
      <c r="B206" s="20"/>
      <c r="C206" s="20"/>
      <c r="D206" s="20"/>
      <c r="E206" s="20"/>
      <c r="F206" s="20"/>
      <c r="G206" s="20"/>
      <c r="H206" s="20"/>
      <c r="I206" s="20"/>
      <c r="J206" s="20"/>
      <c r="K206" s="20"/>
      <c r="L206" s="20"/>
      <c r="M206" s="20"/>
      <c r="N206" s="20"/>
      <c r="O206" s="20"/>
      <c r="P206" s="20"/>
      <c r="Q206" s="20"/>
      <c r="R206" s="20"/>
    </row>
    <row r="207" spans="1:37" ht="15.75" x14ac:dyDescent="0.25">
      <c r="A207" s="155"/>
      <c r="B207" s="20"/>
      <c r="C207" s="20"/>
      <c r="D207" s="20"/>
      <c r="E207" s="20"/>
      <c r="F207" s="20"/>
      <c r="G207" s="20"/>
      <c r="H207" s="20"/>
      <c r="I207" s="20"/>
      <c r="J207" s="20"/>
      <c r="K207" s="20"/>
      <c r="L207" s="20"/>
      <c r="M207" s="20"/>
      <c r="N207" s="20"/>
      <c r="O207" s="20"/>
      <c r="P207" s="20"/>
      <c r="Q207" s="20"/>
      <c r="R207" s="20"/>
    </row>
    <row r="208" spans="1:37" ht="15" x14ac:dyDescent="0.2">
      <c r="A208" s="20"/>
      <c r="B208" s="20"/>
      <c r="C208" s="20"/>
      <c r="D208" s="20"/>
      <c r="E208" s="20"/>
      <c r="F208" s="20"/>
      <c r="G208" s="20"/>
      <c r="H208" s="20"/>
      <c r="I208" s="20"/>
      <c r="J208" s="20"/>
      <c r="K208" s="20"/>
      <c r="L208" s="20"/>
      <c r="M208" s="20"/>
      <c r="N208" s="20"/>
      <c r="O208" s="20"/>
      <c r="P208" s="20"/>
      <c r="Q208" s="20"/>
      <c r="R208" s="20"/>
    </row>
    <row r="209" spans="1:18" ht="15.75" x14ac:dyDescent="0.25">
      <c r="A209" s="342"/>
      <c r="B209" s="342"/>
      <c r="C209" s="342"/>
      <c r="D209" s="20"/>
      <c r="E209" s="20"/>
      <c r="F209" s="20"/>
      <c r="G209" s="20"/>
      <c r="H209" s="20"/>
      <c r="I209" s="20"/>
      <c r="J209" s="20"/>
      <c r="K209" s="20"/>
      <c r="L209" s="20"/>
      <c r="M209" s="20"/>
      <c r="N209" s="20"/>
      <c r="O209" s="20"/>
      <c r="P209" s="20"/>
      <c r="Q209" s="20"/>
      <c r="R209" s="20"/>
    </row>
    <row r="210" spans="1:18" ht="15" x14ac:dyDescent="0.2">
      <c r="A210" s="20"/>
      <c r="B210" s="20"/>
      <c r="C210" s="20"/>
      <c r="D210" s="20"/>
      <c r="E210" s="20"/>
      <c r="F210" s="20"/>
      <c r="G210" s="20"/>
      <c r="H210" s="20"/>
      <c r="I210" s="20"/>
      <c r="J210" s="20"/>
      <c r="K210" s="20"/>
      <c r="L210" s="20"/>
      <c r="M210" s="20"/>
      <c r="N210" s="20"/>
      <c r="O210" s="20"/>
      <c r="P210" s="20"/>
      <c r="Q210" s="20"/>
      <c r="R210" s="20"/>
    </row>
    <row r="211" spans="1:18" ht="15" x14ac:dyDescent="0.2">
      <c r="A211" s="58"/>
      <c r="B211" s="68"/>
      <c r="C211" s="68"/>
      <c r="D211" s="68"/>
      <c r="E211" s="68"/>
      <c r="F211" s="68"/>
      <c r="G211" s="68"/>
      <c r="H211" s="20"/>
      <c r="I211" s="20"/>
      <c r="J211" s="20"/>
      <c r="K211" s="20"/>
      <c r="L211" s="20"/>
      <c r="M211" s="20"/>
      <c r="N211" s="20"/>
      <c r="O211" s="20"/>
      <c r="P211" s="20"/>
      <c r="Q211" s="20"/>
      <c r="R211" s="20"/>
    </row>
    <row r="212" spans="1:18" ht="15" x14ac:dyDescent="0.2">
      <c r="A212" s="20"/>
      <c r="B212" s="20"/>
      <c r="C212" s="20"/>
      <c r="D212" s="20"/>
      <c r="E212" s="20"/>
      <c r="F212" s="20"/>
      <c r="G212" s="20"/>
      <c r="H212" s="20"/>
      <c r="I212" s="20"/>
      <c r="J212" s="20"/>
      <c r="K212" s="20"/>
      <c r="L212" s="20"/>
      <c r="M212" s="20"/>
      <c r="N212" s="20"/>
      <c r="O212" s="20"/>
      <c r="P212" s="20"/>
      <c r="Q212" s="20"/>
      <c r="R212" s="20"/>
    </row>
    <row r="213" spans="1:18" ht="15.75" x14ac:dyDescent="0.25">
      <c r="D213" s="21"/>
      <c r="E213" s="21"/>
      <c r="F213" s="21"/>
      <c r="G213" s="21"/>
      <c r="H213" s="20"/>
      <c r="I213" s="20"/>
      <c r="J213" s="20"/>
      <c r="K213" s="20"/>
      <c r="L213" s="20"/>
      <c r="M213" s="20"/>
      <c r="N213" s="20"/>
      <c r="O213" s="20"/>
      <c r="P213" s="20"/>
      <c r="Q213" s="20"/>
      <c r="R213" s="20"/>
    </row>
    <row r="214" spans="1:18" ht="15" x14ac:dyDescent="0.2">
      <c r="A214" s="20"/>
      <c r="B214" s="20"/>
      <c r="C214" s="20"/>
      <c r="D214" s="20"/>
      <c r="E214" s="20"/>
      <c r="F214" s="20"/>
      <c r="G214" s="20"/>
      <c r="H214" s="20"/>
      <c r="I214" s="20"/>
      <c r="J214" s="20"/>
      <c r="K214" s="20"/>
      <c r="L214" s="20"/>
      <c r="M214" s="20"/>
      <c r="N214" s="20"/>
      <c r="O214" s="20"/>
      <c r="P214" s="20"/>
      <c r="Q214" s="20"/>
      <c r="R214" s="20"/>
    </row>
    <row r="215" spans="1:18" ht="15" x14ac:dyDescent="0.2">
      <c r="A215" s="20"/>
      <c r="B215" s="86"/>
      <c r="C215" s="86"/>
      <c r="D215" s="86"/>
      <c r="E215" s="86"/>
      <c r="F215" s="86"/>
      <c r="G215" s="86"/>
      <c r="H215" s="20"/>
      <c r="I215" s="20"/>
      <c r="J215" s="20"/>
      <c r="K215" s="20"/>
      <c r="L215" s="20"/>
      <c r="M215" s="20"/>
      <c r="N215" s="20"/>
      <c r="O215" s="20"/>
      <c r="P215" s="20"/>
      <c r="Q215" s="20"/>
      <c r="R215" s="20"/>
    </row>
    <row r="216" spans="1:18" ht="15" x14ac:dyDescent="0.2">
      <c r="A216" s="20"/>
      <c r="B216" s="20"/>
      <c r="C216" s="20"/>
      <c r="D216" s="20"/>
      <c r="E216" s="20"/>
      <c r="F216" s="20"/>
      <c r="G216" s="20"/>
      <c r="H216" s="20"/>
      <c r="I216" s="20"/>
      <c r="J216" s="20"/>
      <c r="K216" s="20"/>
      <c r="L216" s="20"/>
      <c r="M216" s="20"/>
      <c r="N216" s="20"/>
      <c r="O216" s="20"/>
      <c r="P216" s="20"/>
      <c r="Q216" s="20"/>
      <c r="R216" s="20"/>
    </row>
    <row r="217" spans="1:18" ht="15" x14ac:dyDescent="0.2">
      <c r="F217" s="20"/>
      <c r="G217" s="20"/>
      <c r="H217" s="20"/>
      <c r="I217" s="20"/>
      <c r="J217" s="20"/>
      <c r="K217" s="20"/>
      <c r="L217" s="20"/>
      <c r="M217" s="20"/>
      <c r="N217" s="20"/>
      <c r="O217" s="20"/>
      <c r="P217" s="20"/>
      <c r="Q217" s="20"/>
      <c r="R217" s="20"/>
    </row>
    <row r="218" spans="1:18" ht="15" x14ac:dyDescent="0.2">
      <c r="F218" s="20"/>
      <c r="G218" s="20"/>
      <c r="H218" s="20"/>
      <c r="I218" s="20"/>
      <c r="J218" s="20"/>
      <c r="K218" s="20"/>
      <c r="L218" s="20"/>
      <c r="M218" s="20"/>
      <c r="N218" s="20"/>
      <c r="O218" s="20"/>
      <c r="P218" s="20"/>
      <c r="Q218" s="20"/>
      <c r="R218" s="20"/>
    </row>
    <row r="219" spans="1:18" ht="15" x14ac:dyDescent="0.2">
      <c r="F219" s="20"/>
      <c r="G219" s="20"/>
      <c r="H219" s="20"/>
      <c r="I219" s="20"/>
      <c r="J219" s="20"/>
      <c r="K219" s="20"/>
      <c r="L219" s="20"/>
      <c r="M219" s="20"/>
      <c r="N219" s="20"/>
      <c r="O219" s="20"/>
      <c r="P219" s="20"/>
      <c r="Q219" s="20"/>
      <c r="R219" s="20"/>
    </row>
    <row r="220" spans="1:18" ht="15" x14ac:dyDescent="0.2">
      <c r="F220" s="20"/>
      <c r="G220" s="20"/>
      <c r="H220" s="20"/>
      <c r="I220" s="20"/>
      <c r="J220" s="20"/>
      <c r="K220" s="20"/>
      <c r="L220" s="20"/>
      <c r="M220" s="20"/>
      <c r="N220" s="20"/>
      <c r="O220" s="20"/>
      <c r="P220" s="20"/>
      <c r="Q220" s="20"/>
      <c r="R220" s="20"/>
    </row>
    <row r="221" spans="1:18" ht="15" x14ac:dyDescent="0.2">
      <c r="F221" s="20"/>
      <c r="G221" s="20"/>
      <c r="H221" s="20"/>
      <c r="I221" s="20"/>
      <c r="J221" s="20"/>
      <c r="K221" s="20"/>
      <c r="L221" s="20"/>
      <c r="M221" s="20"/>
      <c r="N221" s="20"/>
      <c r="O221" s="20"/>
      <c r="P221" s="20"/>
      <c r="Q221" s="20"/>
      <c r="R221" s="20"/>
    </row>
    <row r="222" spans="1:18" ht="15" x14ac:dyDescent="0.2">
      <c r="F222" s="20"/>
      <c r="G222" s="20"/>
      <c r="H222" s="20"/>
      <c r="I222" s="20"/>
      <c r="J222" s="20"/>
      <c r="K222" s="20"/>
      <c r="L222" s="20"/>
      <c r="M222" s="20"/>
      <c r="N222" s="20"/>
      <c r="O222" s="20"/>
      <c r="P222" s="20"/>
      <c r="Q222" s="20"/>
      <c r="R222" s="20"/>
    </row>
    <row r="223" spans="1:18" ht="15" x14ac:dyDescent="0.2">
      <c r="F223" s="20"/>
      <c r="G223" s="20"/>
      <c r="H223" s="20"/>
      <c r="I223" s="20"/>
      <c r="J223" s="20"/>
      <c r="K223" s="20"/>
      <c r="L223" s="20"/>
      <c r="M223" s="20"/>
      <c r="N223" s="20"/>
      <c r="O223" s="20"/>
      <c r="P223" s="20"/>
      <c r="Q223" s="20"/>
      <c r="R223" s="20"/>
    </row>
    <row r="224" spans="1:18" ht="15" x14ac:dyDescent="0.2">
      <c r="F224" s="20"/>
      <c r="G224" s="20"/>
      <c r="H224" s="20"/>
      <c r="I224" s="20"/>
      <c r="J224" s="20"/>
      <c r="K224" s="20"/>
      <c r="L224" s="20"/>
      <c r="M224" s="20"/>
      <c r="N224" s="20"/>
      <c r="O224" s="20"/>
      <c r="P224" s="20"/>
      <c r="Q224" s="20"/>
      <c r="R224" s="20"/>
    </row>
    <row r="225" spans="6:18" ht="15" x14ac:dyDescent="0.2">
      <c r="F225" s="20"/>
      <c r="G225" s="20"/>
      <c r="H225" s="20"/>
      <c r="I225" s="20"/>
      <c r="J225" s="20"/>
      <c r="K225" s="20"/>
      <c r="L225" s="20"/>
      <c r="M225" s="20"/>
      <c r="N225" s="20"/>
      <c r="O225" s="20"/>
      <c r="P225" s="20"/>
      <c r="Q225" s="20"/>
      <c r="R225" s="20"/>
    </row>
    <row r="226" spans="6:18" ht="15" x14ac:dyDescent="0.2">
      <c r="F226" s="20"/>
      <c r="G226" s="20"/>
      <c r="H226" s="20"/>
      <c r="I226" s="20"/>
      <c r="J226" s="20"/>
      <c r="K226" s="20"/>
      <c r="L226" s="20"/>
      <c r="M226" s="20"/>
      <c r="N226" s="20"/>
      <c r="O226" s="20"/>
      <c r="P226" s="20"/>
      <c r="Q226" s="20"/>
      <c r="R226" s="20"/>
    </row>
    <row r="227" spans="6:18" ht="15" x14ac:dyDescent="0.2">
      <c r="F227" s="20"/>
      <c r="G227" s="20"/>
      <c r="H227" s="20"/>
      <c r="I227" s="20"/>
      <c r="J227" s="20"/>
      <c r="K227" s="20"/>
      <c r="L227" s="20"/>
      <c r="M227" s="20"/>
      <c r="N227" s="20"/>
      <c r="O227" s="20"/>
      <c r="P227" s="20"/>
      <c r="Q227" s="20"/>
      <c r="R227" s="20"/>
    </row>
    <row r="228" spans="6:18" ht="15" x14ac:dyDescent="0.2">
      <c r="F228" s="20"/>
      <c r="G228" s="20"/>
      <c r="H228" s="20"/>
      <c r="I228" s="20"/>
      <c r="J228" s="20"/>
      <c r="K228" s="20"/>
      <c r="L228" s="20"/>
      <c r="M228" s="20"/>
      <c r="N228" s="20"/>
      <c r="O228" s="20"/>
      <c r="P228" s="20"/>
      <c r="Q228" s="20"/>
      <c r="R228" s="20"/>
    </row>
    <row r="230" spans="6:18" ht="15.75" customHeight="1" x14ac:dyDescent="0.2"/>
    <row r="231" spans="6:18" ht="12.75" customHeight="1" x14ac:dyDescent="0.2"/>
  </sheetData>
  <mergeCells count="42">
    <mergeCell ref="A24:A25"/>
    <mergeCell ref="A108:C108"/>
    <mergeCell ref="A114:C114"/>
    <mergeCell ref="B94:B95"/>
    <mergeCell ref="C94:C95"/>
    <mergeCell ref="A51:C51"/>
    <mergeCell ref="A77:C77"/>
    <mergeCell ref="A83:C83"/>
    <mergeCell ref="A88:C88"/>
    <mergeCell ref="A67:C67"/>
    <mergeCell ref="A98:C98"/>
    <mergeCell ref="A209:C209"/>
    <mergeCell ref="B204:B205"/>
    <mergeCell ref="C204:C205"/>
    <mergeCell ref="A62:A63"/>
    <mergeCell ref="A43:A44"/>
    <mergeCell ref="A131:C131"/>
    <mergeCell ref="A127:C127"/>
    <mergeCell ref="A102:C102"/>
    <mergeCell ref="A71:C71"/>
    <mergeCell ref="A119:C119"/>
    <mergeCell ref="D204:D205"/>
    <mergeCell ref="E204:E205"/>
    <mergeCell ref="F204:F205"/>
    <mergeCell ref="G25:G26"/>
    <mergeCell ref="B44:F44"/>
    <mergeCell ref="B25:E25"/>
    <mergeCell ref="F63:F64"/>
    <mergeCell ref="F25:F26"/>
    <mergeCell ref="D94:D95"/>
    <mergeCell ref="E94:E95"/>
    <mergeCell ref="F94:F95"/>
    <mergeCell ref="B182:C183"/>
    <mergeCell ref="C177:D178"/>
    <mergeCell ref="A137:C137"/>
    <mergeCell ref="A143:C143"/>
    <mergeCell ref="A148:C148"/>
    <mergeCell ref="B2:D2"/>
    <mergeCell ref="B63:B64"/>
    <mergeCell ref="C63:C64"/>
    <mergeCell ref="D63:D64"/>
    <mergeCell ref="E63:E64"/>
  </mergeCells>
  <conditionalFormatting sqref="B13:D13 B7:D9">
    <cfRule type="cellIs" dxfId="132" priority="44" stopIfTrue="1" operator="notEqual">
      <formula>"Yes"</formula>
    </cfRule>
  </conditionalFormatting>
  <conditionalFormatting sqref="B48:F48 F49 B53:F53 B57:F58">
    <cfRule type="cellIs" dxfId="131" priority="41" stopIfTrue="1" operator="notEqual">
      <formula>"Yes"</formula>
    </cfRule>
  </conditionalFormatting>
  <conditionalFormatting sqref="B100:G100 B129:G129 B104:G104 B133:G133">
    <cfRule type="cellIs" dxfId="130" priority="40" stopIfTrue="1" operator="notEqual">
      <formula>"Yes"</formula>
    </cfRule>
  </conditionalFormatting>
  <conditionalFormatting sqref="B100:G100">
    <cfRule type="cellIs" dxfId="129" priority="39" stopIfTrue="1" operator="notEqual">
      <formula>"Yes"</formula>
    </cfRule>
  </conditionalFormatting>
  <conditionalFormatting sqref="B190:E190">
    <cfRule type="cellIs" dxfId="128" priority="38" stopIfTrue="1" operator="notEqual">
      <formula>"Yes"</formula>
    </cfRule>
  </conditionalFormatting>
  <conditionalFormatting sqref="E189">
    <cfRule type="cellIs" dxfId="127" priority="37" stopIfTrue="1" operator="notEqual">
      <formula>"Yes"</formula>
    </cfRule>
  </conditionalFormatting>
  <conditionalFormatting sqref="B191:D191">
    <cfRule type="cellIs" dxfId="126" priority="36" stopIfTrue="1" operator="notEqual">
      <formula>"Yes"</formula>
    </cfRule>
  </conditionalFormatting>
  <conditionalFormatting sqref="B192:D192">
    <cfRule type="cellIs" dxfId="125" priority="35" stopIfTrue="1" operator="notEqual">
      <formula>"Yes"</formula>
    </cfRule>
  </conditionalFormatting>
  <conditionalFormatting sqref="B21:F22">
    <cfRule type="cellIs" dxfId="124" priority="34" stopIfTrue="1" operator="notEqual">
      <formula>"Yes"</formula>
    </cfRule>
  </conditionalFormatting>
  <conditionalFormatting sqref="C16">
    <cfRule type="cellIs" dxfId="123" priority="33" stopIfTrue="1" operator="notEqual">
      <formula>"Yes"</formula>
    </cfRule>
  </conditionalFormatting>
  <conditionalFormatting sqref="C15">
    <cfRule type="cellIs" dxfId="122" priority="32" stopIfTrue="1" operator="notEqual">
      <formula>"Yes"</formula>
    </cfRule>
  </conditionalFormatting>
  <conditionalFormatting sqref="B59:F60">
    <cfRule type="cellIs" dxfId="121" priority="31" stopIfTrue="1" operator="notEqual">
      <formula>"Yes"</formula>
    </cfRule>
  </conditionalFormatting>
  <conditionalFormatting sqref="B90:E92">
    <cfRule type="cellIs" dxfId="120" priority="25" stopIfTrue="1" operator="notEqual">
      <formula>"Yes"</formula>
    </cfRule>
  </conditionalFormatting>
  <conditionalFormatting sqref="C79:E79">
    <cfRule type="cellIs" dxfId="119" priority="23" stopIfTrue="1" operator="notEqual">
      <formula>"Yes"</formula>
    </cfRule>
  </conditionalFormatting>
  <conditionalFormatting sqref="E86">
    <cfRule type="cellIs" dxfId="118" priority="18" stopIfTrue="1" operator="notEqual">
      <formula>"Yes"</formula>
    </cfRule>
  </conditionalFormatting>
  <conditionalFormatting sqref="B79:E80">
    <cfRule type="cellIs" dxfId="117" priority="24" stopIfTrue="1" operator="notEqual">
      <formula>"Yes"</formula>
    </cfRule>
  </conditionalFormatting>
  <conditionalFormatting sqref="B80:E80 E81">
    <cfRule type="cellIs" dxfId="116" priority="22" stopIfTrue="1" operator="notEqual">
      <formula>"Yes"</formula>
    </cfRule>
  </conditionalFormatting>
  <conditionalFormatting sqref="E81">
    <cfRule type="cellIs" dxfId="115" priority="21" stopIfTrue="1" operator="notEqual">
      <formula>"Yes"</formula>
    </cfRule>
  </conditionalFormatting>
  <conditionalFormatting sqref="B85:E85">
    <cfRule type="cellIs" dxfId="114" priority="20" stopIfTrue="1" operator="notEqual">
      <formula>"Yes"</formula>
    </cfRule>
  </conditionalFormatting>
  <conditionalFormatting sqref="B121:E123">
    <cfRule type="cellIs" dxfId="113" priority="17" stopIfTrue="1" operator="notEqual">
      <formula>"Yes"</formula>
    </cfRule>
  </conditionalFormatting>
  <conditionalFormatting sqref="C110:E110">
    <cfRule type="cellIs" dxfId="112" priority="15" stopIfTrue="1" operator="notEqual">
      <formula>"Yes"</formula>
    </cfRule>
  </conditionalFormatting>
  <conditionalFormatting sqref="E117">
    <cfRule type="cellIs" dxfId="111" priority="10" stopIfTrue="1" operator="notEqual">
      <formula>"Yes"</formula>
    </cfRule>
  </conditionalFormatting>
  <conditionalFormatting sqref="B110:E111">
    <cfRule type="cellIs" dxfId="110" priority="16" stopIfTrue="1" operator="notEqual">
      <formula>"Yes"</formula>
    </cfRule>
  </conditionalFormatting>
  <conditionalFormatting sqref="E112 B111:E111">
    <cfRule type="cellIs" dxfId="109" priority="14" stopIfTrue="1" operator="notEqual">
      <formula>"Yes"</formula>
    </cfRule>
  </conditionalFormatting>
  <conditionalFormatting sqref="E112">
    <cfRule type="cellIs" dxfId="108" priority="13" stopIfTrue="1" operator="notEqual">
      <formula>"Yes"</formula>
    </cfRule>
  </conditionalFormatting>
  <conditionalFormatting sqref="B116:E116">
    <cfRule type="cellIs" dxfId="107" priority="12" stopIfTrue="1" operator="notEqual">
      <formula>"Yes"</formula>
    </cfRule>
  </conditionalFormatting>
  <conditionalFormatting sqref="E146">
    <cfRule type="cellIs" dxfId="106" priority="1" stopIfTrue="1" operator="notEqual">
      <formula>"Yes"</formula>
    </cfRule>
  </conditionalFormatting>
  <conditionalFormatting sqref="B150:E152">
    <cfRule type="cellIs" dxfId="105" priority="9" stopIfTrue="1" operator="notEqual">
      <formula>"Yes"</formula>
    </cfRule>
  </conditionalFormatting>
  <conditionalFormatting sqref="C139:E139">
    <cfRule type="cellIs" dxfId="104" priority="7" stopIfTrue="1" operator="notEqual">
      <formula>"Yes"</formula>
    </cfRule>
  </conditionalFormatting>
  <conditionalFormatting sqref="E141">
    <cfRule type="cellIs" dxfId="103" priority="2" stopIfTrue="1" operator="notEqual">
      <formula>"Yes"</formula>
    </cfRule>
  </conditionalFormatting>
  <conditionalFormatting sqref="B139:E140">
    <cfRule type="cellIs" dxfId="102" priority="8" stopIfTrue="1" operator="notEqual">
      <formula>"Yes"</formula>
    </cfRule>
  </conditionalFormatting>
  <conditionalFormatting sqref="B140:E140 E141">
    <cfRule type="cellIs" dxfId="101" priority="6" stopIfTrue="1" operator="notEqual">
      <formula>"Yes"</formula>
    </cfRule>
  </conditionalFormatting>
  <conditionalFormatting sqref="E141">
    <cfRule type="cellIs" dxfId="100" priority="5" stopIfTrue="1" operator="notEqual">
      <formula>"Yes"</formula>
    </cfRule>
  </conditionalFormatting>
  <conditionalFormatting sqref="B145:E145">
    <cfRule type="cellIs" dxfId="99" priority="4" stopIfTrue="1" operator="notEqual">
      <formula>"Yes"</formula>
    </cfRule>
  </conditionalFormatting>
  <pageMargins left="0.7" right="0.7" top="0.75" bottom="0.75" header="0.3" footer="0.3"/>
  <pageSetup scale="63" fitToHeight="0" orientation="portrait" r:id="rId1"/>
  <headerFooter>
    <oddHeader>&amp;C&amp;"Arial,Bold"&amp;12Check Totals - Summary &amp; Analysis</oddHeader>
    <oddFooter>&amp;L&amp;12Revised:  October 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39997558519241921"/>
    <pageSetUpPr fitToPage="1"/>
  </sheetPr>
  <dimension ref="A1:AL87"/>
  <sheetViews>
    <sheetView showGridLines="0" zoomScaleNormal="100" zoomScaleSheetLayoutView="70" zoomScalePageLayoutView="80" workbookViewId="0">
      <selection activeCell="A33" sqref="A33"/>
    </sheetView>
  </sheetViews>
  <sheetFormatPr defaultRowHeight="12.75" x14ac:dyDescent="0.2"/>
  <cols>
    <col min="1" max="1" width="42.7109375" customWidth="1"/>
    <col min="2" max="4" width="14.7109375" customWidth="1"/>
    <col min="5" max="6" width="14.7109375" hidden="1" customWidth="1"/>
    <col min="7" max="10" width="14.7109375" customWidth="1"/>
    <col min="11" max="13" width="16.7109375" customWidth="1"/>
    <col min="14" max="20" width="14.7109375" customWidth="1"/>
    <col min="21" max="21" width="13.7109375" customWidth="1"/>
    <col min="22" max="22" width="12.140625" bestFit="1" customWidth="1"/>
    <col min="24" max="24" width="11" bestFit="1" customWidth="1"/>
  </cols>
  <sheetData>
    <row r="1" spans="1:38" ht="15.75" customHeight="1" x14ac:dyDescent="0.25">
      <c r="A1" s="341" t="str">
        <f>'GW Net Position Exh 1'!A1</f>
        <v>Owl Charter, Inc.</v>
      </c>
      <c r="B1" s="341"/>
      <c r="C1" s="341"/>
      <c r="D1" s="341"/>
      <c r="E1" s="341"/>
      <c r="F1" s="341"/>
      <c r="G1" s="341"/>
      <c r="H1" s="19"/>
      <c r="I1" s="19"/>
      <c r="J1" s="19"/>
      <c r="K1" s="19"/>
      <c r="L1" s="19"/>
      <c r="M1" s="19"/>
      <c r="N1" s="19"/>
      <c r="O1" s="19"/>
      <c r="P1" s="19"/>
      <c r="Q1" s="19"/>
      <c r="R1" s="19"/>
      <c r="S1" s="19"/>
      <c r="T1" s="19"/>
      <c r="U1" s="19"/>
      <c r="V1" s="19"/>
      <c r="W1" s="20"/>
      <c r="X1" s="20"/>
      <c r="Y1" s="20"/>
      <c r="Z1" s="20"/>
      <c r="AA1" s="20"/>
      <c r="AB1" s="20"/>
      <c r="AC1" s="20"/>
      <c r="AD1" s="20"/>
      <c r="AE1" s="20"/>
      <c r="AF1" s="20"/>
      <c r="AG1" s="20"/>
      <c r="AH1" s="11"/>
      <c r="AI1" s="11"/>
      <c r="AJ1" s="11"/>
      <c r="AK1" s="11"/>
      <c r="AL1" s="11"/>
    </row>
    <row r="2" spans="1:38" ht="15.75" customHeight="1" x14ac:dyDescent="0.25">
      <c r="A2" s="383" t="s">
        <v>346</v>
      </c>
      <c r="B2" s="383"/>
      <c r="C2" s="383"/>
      <c r="D2" s="383"/>
      <c r="E2" s="383"/>
      <c r="F2" s="383"/>
      <c r="G2" s="383"/>
      <c r="H2" s="21"/>
      <c r="I2" s="21"/>
      <c r="J2" s="21"/>
      <c r="K2" s="21"/>
      <c r="L2" s="21"/>
      <c r="M2" s="21"/>
      <c r="N2" s="21"/>
      <c r="O2" s="21"/>
      <c r="P2" s="21"/>
      <c r="Q2" s="21"/>
      <c r="R2" s="21"/>
      <c r="S2" s="21"/>
      <c r="T2" s="20"/>
      <c r="U2" s="20"/>
      <c r="V2" s="20"/>
      <c r="W2" s="20"/>
      <c r="X2" s="20"/>
      <c r="Y2" s="20"/>
      <c r="Z2" s="20"/>
      <c r="AA2" s="20"/>
      <c r="AB2" s="20"/>
      <c r="AC2" s="20"/>
      <c r="AD2" s="20"/>
      <c r="AE2" s="20"/>
      <c r="AF2" s="20"/>
      <c r="AG2" s="20"/>
      <c r="AH2" s="11"/>
      <c r="AI2" s="11"/>
      <c r="AJ2" s="11"/>
      <c r="AK2" s="11"/>
      <c r="AL2" s="11"/>
    </row>
    <row r="3" spans="1:38" ht="15.75" hidden="1" customHeight="1" x14ac:dyDescent="0.25">
      <c r="A3" s="342"/>
      <c r="B3" s="342"/>
      <c r="C3" s="342"/>
      <c r="D3" s="342"/>
      <c r="E3" s="342"/>
      <c r="F3" s="342"/>
      <c r="G3" s="342"/>
      <c r="H3" s="21"/>
      <c r="I3" s="21"/>
      <c r="J3" s="21"/>
      <c r="K3" s="21"/>
      <c r="L3" s="21"/>
      <c r="M3" s="21"/>
      <c r="N3" s="21"/>
      <c r="O3" s="21"/>
      <c r="P3" s="21"/>
      <c r="Q3" s="21"/>
      <c r="R3" s="21"/>
      <c r="S3" s="21"/>
      <c r="T3" s="20"/>
      <c r="U3" s="20"/>
      <c r="V3" s="20"/>
      <c r="W3" s="20"/>
      <c r="X3" s="20"/>
      <c r="Y3" s="20"/>
      <c r="Z3" s="20"/>
      <c r="AA3" s="20"/>
      <c r="AB3" s="20"/>
      <c r="AC3" s="20"/>
      <c r="AD3" s="20"/>
      <c r="AE3" s="20"/>
      <c r="AF3" s="20"/>
      <c r="AG3" s="20"/>
      <c r="AH3" s="11"/>
      <c r="AI3" s="11"/>
      <c r="AJ3" s="11"/>
      <c r="AK3" s="11"/>
      <c r="AL3" s="11"/>
    </row>
    <row r="4" spans="1:38" ht="15.75" customHeight="1" thickBot="1" x14ac:dyDescent="0.3">
      <c r="A4" s="374" t="str">
        <f>+'GW Net Position Exh 1'!A3</f>
        <v>June 30, 2020</v>
      </c>
      <c r="B4" s="374"/>
      <c r="C4" s="374"/>
      <c r="D4" s="374"/>
      <c r="E4" s="374"/>
      <c r="F4" s="374"/>
      <c r="G4" s="374"/>
      <c r="H4" s="21"/>
      <c r="I4" s="21"/>
      <c r="J4" s="21"/>
      <c r="K4" s="21"/>
      <c r="L4" s="21"/>
      <c r="M4" s="21"/>
      <c r="N4" s="21"/>
      <c r="O4" s="21"/>
      <c r="P4" s="21"/>
      <c r="Q4" s="21"/>
      <c r="R4" s="21"/>
      <c r="S4" s="21"/>
      <c r="T4" s="20"/>
      <c r="U4" s="20"/>
      <c r="V4" s="20"/>
      <c r="W4" s="20"/>
      <c r="X4" s="20"/>
      <c r="Y4" s="20"/>
      <c r="Z4" s="20"/>
      <c r="AA4" s="20"/>
      <c r="AB4" s="20"/>
      <c r="AC4" s="20"/>
      <c r="AD4" s="20"/>
      <c r="AE4" s="20"/>
      <c r="AF4" s="20"/>
      <c r="AG4" s="20"/>
      <c r="AH4" s="11"/>
      <c r="AI4" s="11"/>
      <c r="AJ4" s="11"/>
      <c r="AK4" s="11"/>
      <c r="AL4" s="11"/>
    </row>
    <row r="5" spans="1:38" ht="21.95" customHeight="1" x14ac:dyDescent="0.35">
      <c r="A5" s="23"/>
      <c r="B5" s="372" t="str">
        <f>'Govt Funds Bal Sh Exh 3'!C7</f>
        <v>Owl - Doceo</v>
      </c>
      <c r="C5" s="372"/>
      <c r="D5" s="372"/>
      <c r="E5" s="372"/>
      <c r="F5" s="372"/>
      <c r="G5" s="372"/>
      <c r="H5" s="24"/>
      <c r="I5" s="67"/>
      <c r="J5" s="67"/>
      <c r="K5" s="387" t="s">
        <v>392</v>
      </c>
      <c r="L5" s="388"/>
      <c r="M5" s="389"/>
      <c r="N5" s="67"/>
      <c r="O5" s="67"/>
      <c r="P5" s="67"/>
      <c r="Q5" s="67"/>
      <c r="R5" s="67"/>
      <c r="S5" s="67"/>
      <c r="T5" s="67"/>
      <c r="U5" s="20"/>
      <c r="V5" s="20"/>
      <c r="W5" s="20"/>
      <c r="X5" s="20"/>
      <c r="Y5" s="20"/>
      <c r="Z5" s="20"/>
      <c r="AA5" s="20"/>
      <c r="AB5" s="20"/>
      <c r="AC5" s="20"/>
      <c r="AD5" s="20"/>
      <c r="AE5" s="20"/>
      <c r="AF5" s="20"/>
      <c r="AG5" s="20"/>
      <c r="AH5" s="11"/>
      <c r="AI5" s="11"/>
      <c r="AJ5" s="11"/>
      <c r="AK5" s="11"/>
      <c r="AL5" s="11"/>
    </row>
    <row r="6" spans="1:38" ht="18" customHeight="1" x14ac:dyDescent="0.35">
      <c r="A6" s="23"/>
      <c r="B6" s="384" t="s">
        <v>342</v>
      </c>
      <c r="C6" s="384" t="s">
        <v>343</v>
      </c>
      <c r="D6" s="384" t="s">
        <v>344</v>
      </c>
      <c r="E6" s="384" t="s">
        <v>278</v>
      </c>
      <c r="F6" s="384" t="s">
        <v>225</v>
      </c>
      <c r="G6" s="287"/>
      <c r="H6" s="24"/>
      <c r="I6" s="386" t="s">
        <v>390</v>
      </c>
      <c r="J6" s="67"/>
      <c r="K6" s="390"/>
      <c r="L6" s="391"/>
      <c r="M6" s="392"/>
      <c r="N6" s="67"/>
      <c r="O6" s="365"/>
      <c r="P6" s="365"/>
      <c r="Q6" s="365"/>
      <c r="R6" s="365"/>
      <c r="S6" s="365"/>
      <c r="T6" s="365"/>
      <c r="U6" s="20"/>
      <c r="V6" s="20"/>
      <c r="W6" s="20"/>
      <c r="X6" s="20"/>
      <c r="Y6" s="20"/>
      <c r="Z6" s="20"/>
      <c r="AA6" s="20"/>
      <c r="AB6" s="20"/>
      <c r="AC6" s="20"/>
      <c r="AD6" s="20"/>
      <c r="AE6" s="20"/>
      <c r="AF6" s="20"/>
      <c r="AG6" s="20"/>
      <c r="AH6" s="11"/>
      <c r="AI6" s="11"/>
      <c r="AJ6" s="11"/>
      <c r="AK6" s="11"/>
      <c r="AL6" s="11"/>
    </row>
    <row r="7" spans="1:38" ht="18" customHeight="1" thickBot="1" x14ac:dyDescent="0.4">
      <c r="A7" s="20"/>
      <c r="B7" s="384"/>
      <c r="C7" s="384"/>
      <c r="D7" s="384"/>
      <c r="E7" s="384"/>
      <c r="F7" s="384"/>
      <c r="G7" s="288" t="s">
        <v>345</v>
      </c>
      <c r="H7" s="27"/>
      <c r="I7" s="386"/>
      <c r="J7" s="325" t="s">
        <v>391</v>
      </c>
      <c r="K7" s="393"/>
      <c r="L7" s="394"/>
      <c r="M7" s="395"/>
      <c r="N7" s="27"/>
      <c r="O7" s="27"/>
      <c r="P7" s="27"/>
      <c r="Q7" s="27"/>
      <c r="R7" s="27"/>
      <c r="S7" s="27"/>
      <c r="T7" s="27"/>
      <c r="U7" s="20"/>
      <c r="V7" s="20"/>
      <c r="W7" s="20"/>
      <c r="X7" s="20"/>
      <c r="Y7" s="20"/>
      <c r="Z7" s="20"/>
      <c r="AA7" s="20"/>
      <c r="AB7" s="20"/>
      <c r="AC7" s="20"/>
      <c r="AD7" s="20"/>
      <c r="AE7" s="20"/>
      <c r="AF7" s="20"/>
      <c r="AG7" s="20"/>
      <c r="AH7" s="11"/>
      <c r="AI7" s="11"/>
      <c r="AJ7" s="11"/>
      <c r="AK7" s="11"/>
      <c r="AL7" s="11"/>
    </row>
    <row r="8" spans="1:38" ht="15.75" customHeight="1" x14ac:dyDescent="0.25">
      <c r="A8" s="28" t="s">
        <v>227</v>
      </c>
      <c r="B8" s="20"/>
      <c r="C8" s="20"/>
      <c r="D8" s="20"/>
      <c r="E8" s="20"/>
      <c r="F8" s="20"/>
      <c r="G8" s="20"/>
      <c r="H8" s="20"/>
      <c r="I8" s="30"/>
      <c r="J8" s="321"/>
      <c r="K8" s="30"/>
      <c r="L8" s="30"/>
      <c r="M8" s="30"/>
      <c r="N8" s="30"/>
      <c r="O8" s="30"/>
      <c r="P8" s="30"/>
      <c r="Q8" s="30"/>
      <c r="R8" s="30"/>
      <c r="S8" s="30"/>
      <c r="T8" s="30"/>
      <c r="U8" s="20"/>
      <c r="V8" s="20"/>
      <c r="W8" s="20"/>
      <c r="X8" s="20"/>
      <c r="Y8" s="20"/>
      <c r="Z8" s="20"/>
      <c r="AA8" s="20"/>
      <c r="AB8" s="20"/>
      <c r="AC8" s="20"/>
      <c r="AD8" s="20"/>
      <c r="AE8" s="20"/>
      <c r="AF8" s="20"/>
      <c r="AG8" s="20"/>
      <c r="AH8" s="11"/>
      <c r="AI8" s="11"/>
      <c r="AJ8" s="11"/>
      <c r="AK8" s="11"/>
      <c r="AL8" s="11"/>
    </row>
    <row r="9" spans="1:38" ht="15.75" customHeight="1" x14ac:dyDescent="0.25">
      <c r="A9" s="36" t="s">
        <v>1</v>
      </c>
      <c r="B9" s="18">
        <f>'Govt Funds Bal Sh Exh 3'!M9</f>
        <v>290924</v>
      </c>
      <c r="C9" s="18">
        <f>'Govt Funds Bal Sh Exh 3'!P9</f>
        <v>98645</v>
      </c>
      <c r="D9" s="18">
        <f>'Govt Funds Bal Sh Exh 3'!S9</f>
        <v>0</v>
      </c>
      <c r="E9" s="18">
        <f>'Govt Funds Bal Sh Exh 3'!V9</f>
        <v>0</v>
      </c>
      <c r="F9" s="18">
        <v>0</v>
      </c>
      <c r="G9" s="18">
        <f t="shared" ref="G9:G14" si="0">SUM(B9:F9)</f>
        <v>389569</v>
      </c>
      <c r="H9" s="18"/>
      <c r="I9" s="146" t="str">
        <f>IF(G9-'Govt Funds Bal Sh Exh 3'!C9=0,"Yes",G9-'Govt Funds Bal Sh Exh 3'!C9)</f>
        <v>Yes</v>
      </c>
      <c r="J9" s="322" t="str">
        <f>IF(((ABS(B9)+ABS(C9)+ABS(D9)+ABS(E9)+ABS(F9)+ABS(G9))=0),"Hide Row?"," ")</f>
        <v xml:space="preserve"> </v>
      </c>
      <c r="K9" s="38"/>
      <c r="L9" s="38"/>
      <c r="M9" s="38"/>
      <c r="N9" s="38"/>
      <c r="O9" s="38"/>
      <c r="P9" s="38"/>
      <c r="Q9" s="38"/>
      <c r="R9" s="38"/>
      <c r="S9" s="38"/>
      <c r="T9" s="38"/>
      <c r="U9" s="29"/>
      <c r="V9" s="20"/>
      <c r="W9" s="20"/>
      <c r="X9" s="29"/>
      <c r="Y9" s="20"/>
      <c r="Z9" s="20"/>
      <c r="AA9" s="20"/>
      <c r="AB9" s="20"/>
      <c r="AC9" s="20"/>
      <c r="AD9" s="20"/>
      <c r="AE9" s="20"/>
      <c r="AF9" s="20"/>
      <c r="AG9" s="20"/>
      <c r="AH9" s="11"/>
      <c r="AI9" s="11"/>
      <c r="AJ9" s="11"/>
      <c r="AK9" s="11"/>
      <c r="AL9" s="11"/>
    </row>
    <row r="10" spans="1:38" ht="15.75" customHeight="1" x14ac:dyDescent="0.25">
      <c r="A10" s="36" t="s">
        <v>46</v>
      </c>
      <c r="B10" s="32">
        <f>'Govt Funds Bal Sh Exh 3'!M10</f>
        <v>17879</v>
      </c>
      <c r="C10" s="32">
        <f>'Govt Funds Bal Sh Exh 3'!P10</f>
        <v>5900</v>
      </c>
      <c r="D10" s="32">
        <f>'Govt Funds Bal Sh Exh 3'!S10</f>
        <v>3696</v>
      </c>
      <c r="E10" s="32">
        <f>'Govt Funds Bal Sh Exh 3'!V10</f>
        <v>0</v>
      </c>
      <c r="F10" s="33">
        <v>0</v>
      </c>
      <c r="G10" s="33">
        <f t="shared" si="0"/>
        <v>27475</v>
      </c>
      <c r="H10" s="32"/>
      <c r="I10" s="146" t="str">
        <f>IF(G10-'Govt Funds Bal Sh Exh 3'!C10=0,"Yes",G10-'Govt Funds Bal Sh Exh 3'!C10)</f>
        <v>Yes</v>
      </c>
      <c r="J10" s="322" t="str">
        <f t="shared" ref="J10:J22" si="1">IF(((ABS(B10)+ABS(C10)+ABS(D10)+ABS(E10)+ABS(F10)+ABS(G10))=0),"Hide Row?"," ")</f>
        <v xml:space="preserve"> </v>
      </c>
      <c r="K10" s="31"/>
      <c r="L10" s="31"/>
      <c r="M10" s="31"/>
      <c r="N10" s="31"/>
      <c r="O10" s="31"/>
      <c r="P10" s="31"/>
      <c r="Q10" s="31"/>
      <c r="R10" s="31"/>
      <c r="S10" s="31"/>
      <c r="T10" s="31"/>
      <c r="U10" s="20"/>
      <c r="V10" s="20"/>
      <c r="W10" s="20"/>
      <c r="X10" s="20"/>
      <c r="Y10" s="20"/>
      <c r="Z10" s="20"/>
      <c r="AA10" s="20"/>
      <c r="AB10" s="20"/>
      <c r="AC10" s="20"/>
      <c r="AD10" s="20"/>
      <c r="AE10" s="20"/>
      <c r="AF10" s="20"/>
      <c r="AG10" s="20"/>
      <c r="AH10" s="11"/>
      <c r="AI10" s="11"/>
      <c r="AJ10" s="11"/>
      <c r="AK10" s="11"/>
      <c r="AL10" s="11"/>
    </row>
    <row r="11" spans="1:38" ht="15.75" customHeight="1" x14ac:dyDescent="0.25">
      <c r="A11" s="40" t="s">
        <v>78</v>
      </c>
      <c r="B11" s="32">
        <f>'Govt Funds Bal Sh Exh 3'!M11</f>
        <v>8000</v>
      </c>
      <c r="C11" s="32">
        <f>'Govt Funds Bal Sh Exh 3'!P11</f>
        <v>0</v>
      </c>
      <c r="D11" s="32">
        <f>'Govt Funds Bal Sh Exh 3'!S11</f>
        <v>0</v>
      </c>
      <c r="E11" s="32">
        <f>'Govt Funds Bal Sh Exh 3'!V11</f>
        <v>0</v>
      </c>
      <c r="F11" s="31">
        <v>0</v>
      </c>
      <c r="G11" s="31">
        <f t="shared" si="0"/>
        <v>8000</v>
      </c>
      <c r="H11" s="32"/>
      <c r="I11" s="146" t="str">
        <f>IF(G11-'Govt Funds Bal Sh Exh 3'!C11=0,"Yes",G11-'Govt Funds Bal Sh Exh 3'!C11)</f>
        <v>Yes</v>
      </c>
      <c r="J11" s="322" t="str">
        <f t="shared" si="1"/>
        <v xml:space="preserve"> </v>
      </c>
      <c r="K11" s="31"/>
      <c r="L11" s="31"/>
      <c r="M11" s="31"/>
      <c r="N11" s="31"/>
      <c r="O11" s="31"/>
      <c r="P11" s="31"/>
      <c r="Q11" s="31"/>
      <c r="R11" s="31"/>
      <c r="S11" s="31"/>
      <c r="T11" s="31"/>
      <c r="U11" s="20"/>
      <c r="V11" s="20"/>
      <c r="W11" s="20"/>
      <c r="X11" s="20"/>
      <c r="Y11" s="20"/>
      <c r="Z11" s="20"/>
      <c r="AA11" s="20"/>
      <c r="AB11" s="20"/>
      <c r="AC11" s="20"/>
      <c r="AD11" s="20"/>
      <c r="AE11" s="20"/>
      <c r="AF11" s="20"/>
      <c r="AG11" s="20"/>
      <c r="AH11" s="11"/>
      <c r="AI11" s="11"/>
      <c r="AJ11" s="11"/>
      <c r="AK11" s="11"/>
      <c r="AL11" s="11"/>
    </row>
    <row r="12" spans="1:38" ht="15.75" customHeight="1" x14ac:dyDescent="0.25">
      <c r="A12" s="36" t="s">
        <v>2</v>
      </c>
      <c r="B12" s="32">
        <f>'Govt Funds Bal Sh Exh 3'!M12</f>
        <v>272</v>
      </c>
      <c r="C12" s="32">
        <f>'Govt Funds Bal Sh Exh 3'!P12</f>
        <v>0</v>
      </c>
      <c r="D12" s="32">
        <f>'Govt Funds Bal Sh Exh 3'!S12</f>
        <v>0</v>
      </c>
      <c r="E12" s="32">
        <f>'Govt Funds Bal Sh Exh 3'!V12</f>
        <v>0</v>
      </c>
      <c r="F12" s="33">
        <v>0</v>
      </c>
      <c r="G12" s="33">
        <f t="shared" si="0"/>
        <v>272</v>
      </c>
      <c r="H12" s="32"/>
      <c r="I12" s="146" t="str">
        <f>IF(G12-'Govt Funds Bal Sh Exh 3'!C12=0,"Yes",G12-'Govt Funds Bal Sh Exh 3'!C12)</f>
        <v>Yes</v>
      </c>
      <c r="J12" s="322" t="str">
        <f t="shared" si="1"/>
        <v xml:space="preserve"> </v>
      </c>
      <c r="K12" s="31"/>
      <c r="L12" s="31"/>
      <c r="M12" s="31"/>
      <c r="N12" s="31"/>
      <c r="O12" s="31"/>
      <c r="P12" s="31"/>
      <c r="Q12" s="31"/>
      <c r="R12" s="31"/>
      <c r="S12" s="31"/>
      <c r="T12" s="31"/>
      <c r="U12" s="20"/>
      <c r="V12" s="20"/>
      <c r="W12" s="20"/>
      <c r="X12" s="20"/>
      <c r="Y12" s="20"/>
      <c r="Z12" s="20"/>
      <c r="AA12" s="20"/>
      <c r="AB12" s="20"/>
      <c r="AC12" s="20"/>
      <c r="AD12" s="20"/>
      <c r="AE12" s="20"/>
      <c r="AF12" s="20"/>
      <c r="AG12" s="20"/>
      <c r="AH12" s="11"/>
      <c r="AI12" s="11"/>
      <c r="AJ12" s="11"/>
      <c r="AK12" s="11"/>
      <c r="AL12" s="11"/>
    </row>
    <row r="13" spans="1:38" ht="17.25" customHeight="1" x14ac:dyDescent="0.35">
      <c r="A13" s="36" t="s">
        <v>129</v>
      </c>
      <c r="B13" s="35">
        <f>'Govt Funds Bal Sh Exh 3'!M13</f>
        <v>3085</v>
      </c>
      <c r="C13" s="35">
        <f>'Govt Funds Bal Sh Exh 3'!P13</f>
        <v>0</v>
      </c>
      <c r="D13" s="35">
        <f>'Govt Funds Bal Sh Exh 3'!S13</f>
        <v>0</v>
      </c>
      <c r="E13" s="35">
        <f>'Govt Funds Bal Sh Exh 3'!V13</f>
        <v>0</v>
      </c>
      <c r="F13" s="34">
        <v>0</v>
      </c>
      <c r="G13" s="34">
        <f t="shared" si="0"/>
        <v>3085</v>
      </c>
      <c r="H13" s="35"/>
      <c r="I13" s="146" t="str">
        <f>IF(G13-'Govt Funds Bal Sh Exh 3'!C13=0,"Yes",G13-'Govt Funds Bal Sh Exh 3'!C13)</f>
        <v>Yes</v>
      </c>
      <c r="J13" s="322" t="str">
        <f t="shared" si="1"/>
        <v xml:space="preserve"> </v>
      </c>
      <c r="K13" s="41"/>
      <c r="L13" s="41"/>
      <c r="M13" s="41"/>
      <c r="N13" s="41"/>
      <c r="O13" s="41"/>
      <c r="P13" s="41"/>
      <c r="Q13" s="41"/>
      <c r="R13" s="41"/>
      <c r="S13" s="41"/>
      <c r="T13" s="41"/>
      <c r="U13" s="20"/>
      <c r="V13" s="20"/>
      <c r="W13" s="20"/>
      <c r="X13" s="20"/>
      <c r="Y13" s="20"/>
      <c r="Z13" s="20"/>
      <c r="AA13" s="20"/>
      <c r="AB13" s="20"/>
      <c r="AC13" s="20"/>
      <c r="AD13" s="20"/>
      <c r="AE13" s="20"/>
      <c r="AF13" s="20"/>
      <c r="AG13" s="20"/>
      <c r="AH13" s="11"/>
      <c r="AI13" s="11"/>
      <c r="AJ13" s="11"/>
      <c r="AK13" s="11"/>
      <c r="AL13" s="11"/>
    </row>
    <row r="14" spans="1:38" ht="21.95" customHeight="1" x14ac:dyDescent="0.35">
      <c r="A14" s="73" t="s">
        <v>3</v>
      </c>
      <c r="B14" s="37">
        <f>SUM(B9:B13)</f>
        <v>320160</v>
      </c>
      <c r="C14" s="37">
        <f>SUM(C9:C13)</f>
        <v>104545</v>
      </c>
      <c r="D14" s="37">
        <f>SUM(D9:D13)</f>
        <v>3696</v>
      </c>
      <c r="E14" s="37">
        <f>SUM(E9:E13)</f>
        <v>0</v>
      </c>
      <c r="F14" s="37">
        <f>SUM(F9:F13)</f>
        <v>0</v>
      </c>
      <c r="G14" s="37">
        <f t="shared" si="0"/>
        <v>428401</v>
      </c>
      <c r="H14" s="37"/>
      <c r="I14" s="146" t="str">
        <f>IF(G14-'Govt Funds Bal Sh Exh 3'!C14=0,"Yes",G14-'Govt Funds Bal Sh Exh 3'!C14)</f>
        <v>Yes</v>
      </c>
      <c r="J14" s="322" t="str">
        <f t="shared" si="1"/>
        <v xml:space="preserve"> </v>
      </c>
      <c r="K14" s="49"/>
      <c r="L14" s="49"/>
      <c r="M14" s="49"/>
      <c r="N14" s="49"/>
      <c r="O14" s="49"/>
      <c r="P14" s="49"/>
      <c r="Q14" s="49"/>
      <c r="R14" s="49"/>
      <c r="S14" s="49"/>
      <c r="T14" s="49"/>
      <c r="U14" s="20"/>
      <c r="V14" s="20"/>
      <c r="W14" s="20"/>
      <c r="X14" s="20"/>
      <c r="Y14" s="20"/>
      <c r="Z14" s="20"/>
      <c r="AA14" s="20"/>
      <c r="AB14" s="20"/>
      <c r="AC14" s="20"/>
      <c r="AD14" s="20"/>
      <c r="AE14" s="20"/>
      <c r="AF14" s="20"/>
      <c r="AG14" s="20"/>
      <c r="AH14" s="11"/>
      <c r="AI14" s="11"/>
      <c r="AJ14" s="11"/>
      <c r="AK14" s="11"/>
      <c r="AL14" s="11"/>
    </row>
    <row r="15" spans="1:38" ht="21" customHeight="1" x14ac:dyDescent="0.25">
      <c r="A15" s="28" t="s">
        <v>228</v>
      </c>
      <c r="B15" s="20"/>
      <c r="C15" s="20"/>
      <c r="D15" s="20"/>
      <c r="E15" s="20"/>
      <c r="F15" s="20"/>
      <c r="G15" s="20"/>
      <c r="H15" s="20"/>
      <c r="I15" s="271"/>
      <c r="J15" s="322"/>
      <c r="K15" s="30"/>
      <c r="L15" s="30"/>
      <c r="M15" s="30"/>
      <c r="N15" s="30"/>
      <c r="O15" s="30"/>
      <c r="P15" s="30"/>
      <c r="Q15" s="30"/>
      <c r="R15" s="30"/>
      <c r="S15" s="30"/>
      <c r="T15" s="30"/>
      <c r="U15" s="20"/>
      <c r="V15" s="20"/>
      <c r="W15" s="20"/>
      <c r="X15" s="20"/>
      <c r="Y15" s="20"/>
      <c r="Z15" s="20"/>
      <c r="AA15" s="20"/>
      <c r="AB15" s="20"/>
      <c r="AC15" s="20"/>
      <c r="AD15" s="20"/>
      <c r="AE15" s="20"/>
      <c r="AF15" s="20"/>
      <c r="AG15" s="20"/>
      <c r="AH15" s="11"/>
      <c r="AI15" s="11"/>
      <c r="AJ15" s="11"/>
      <c r="AK15" s="11"/>
      <c r="AL15" s="11"/>
    </row>
    <row r="16" spans="1:38" ht="17.25" customHeight="1" x14ac:dyDescent="0.25">
      <c r="A16" s="278" t="s">
        <v>45</v>
      </c>
      <c r="B16" s="18">
        <f>'Govt Funds Bal Sh Exh 3'!M16</f>
        <v>131545</v>
      </c>
      <c r="C16" s="18">
        <f>'Govt Funds Bal Sh Exh 3'!P16</f>
        <v>40440</v>
      </c>
      <c r="D16" s="18">
        <f>'Govt Funds Bal Sh Exh 3'!S16</f>
        <v>0</v>
      </c>
      <c r="E16" s="18">
        <f>'Govt Funds Bal Sh Exh 3'!V16</f>
        <v>0</v>
      </c>
      <c r="F16" s="18">
        <v>0</v>
      </c>
      <c r="G16" s="18">
        <f t="shared" ref="G16:G21" si="2">SUM(B16:F16)</f>
        <v>171985</v>
      </c>
      <c r="H16" s="18"/>
      <c r="I16" s="146" t="str">
        <f>IF(G16-'Govt Funds Bal Sh Exh 3'!C16=0,"Yes",G16-'Govt Funds Bal Sh Exh 3'!C16)</f>
        <v>Yes</v>
      </c>
      <c r="J16" s="322" t="str">
        <f t="shared" si="1"/>
        <v xml:space="preserve"> </v>
      </c>
      <c r="K16" s="38"/>
      <c r="L16" s="38"/>
      <c r="M16" s="38"/>
      <c r="N16" s="38"/>
      <c r="O16" s="38"/>
      <c r="P16" s="38"/>
      <c r="Q16" s="38"/>
      <c r="R16" s="38"/>
      <c r="S16" s="38"/>
      <c r="T16" s="38"/>
      <c r="U16" s="20"/>
      <c r="V16" s="30"/>
      <c r="W16" s="30"/>
      <c r="X16" s="30"/>
      <c r="Y16" s="30"/>
      <c r="Z16" s="20"/>
      <c r="AA16" s="20"/>
      <c r="AB16" s="20"/>
      <c r="AC16" s="20"/>
      <c r="AD16" s="20"/>
      <c r="AE16" s="20"/>
      <c r="AF16" s="20"/>
      <c r="AG16" s="20"/>
      <c r="AH16" s="11"/>
      <c r="AI16" s="11"/>
      <c r="AJ16" s="11"/>
      <c r="AK16" s="11"/>
      <c r="AL16" s="11"/>
    </row>
    <row r="17" spans="1:38" ht="17.25" customHeight="1" x14ac:dyDescent="0.35">
      <c r="A17" s="105" t="s">
        <v>90</v>
      </c>
      <c r="B17" s="35">
        <f>'Govt Funds Bal Sh Exh 3'!M17</f>
        <v>80850</v>
      </c>
      <c r="C17" s="35">
        <f>'Govt Funds Bal Sh Exh 3'!P17</f>
        <v>64105</v>
      </c>
      <c r="D17" s="35">
        <f>'Govt Funds Bal Sh Exh 3'!S17</f>
        <v>3696</v>
      </c>
      <c r="E17" s="35">
        <f>'Govt Funds Bal Sh Exh 3'!V17</f>
        <v>0</v>
      </c>
      <c r="F17" s="236">
        <v>0</v>
      </c>
      <c r="G17" s="236">
        <f t="shared" si="2"/>
        <v>148651</v>
      </c>
      <c r="H17" s="32"/>
      <c r="I17" s="146" t="str">
        <f>IF(G17-'Govt Funds Bal Sh Exh 3'!C17=0,"Yes",G17-'Govt Funds Bal Sh Exh 3'!C17)</f>
        <v>Yes</v>
      </c>
      <c r="J17" s="322" t="str">
        <f t="shared" si="1"/>
        <v xml:space="preserve"> </v>
      </c>
      <c r="K17" s="31"/>
      <c r="L17" s="31"/>
      <c r="M17" s="31"/>
      <c r="N17" s="31"/>
      <c r="O17" s="31"/>
      <c r="P17" s="31"/>
      <c r="Q17" s="31"/>
      <c r="R17" s="31"/>
      <c r="S17" s="31"/>
      <c r="T17" s="31"/>
      <c r="U17" s="20"/>
      <c r="V17" s="30"/>
      <c r="W17" s="31"/>
      <c r="X17" s="31"/>
      <c r="Y17" s="31"/>
      <c r="Z17" s="20"/>
      <c r="AA17" s="20"/>
      <c r="AB17" s="20"/>
      <c r="AC17" s="20"/>
      <c r="AD17" s="20"/>
      <c r="AE17" s="20"/>
      <c r="AF17" s="20"/>
      <c r="AG17" s="20"/>
      <c r="AH17" s="11"/>
      <c r="AI17" s="11"/>
      <c r="AJ17" s="11"/>
      <c r="AK17" s="11"/>
      <c r="AL17" s="11"/>
    </row>
    <row r="18" spans="1:38" ht="15.75" hidden="1" customHeight="1" x14ac:dyDescent="0.25">
      <c r="A18" s="40" t="s">
        <v>202</v>
      </c>
      <c r="B18" s="32">
        <f>'Govt Funds Bal Sh Exh 3'!M18</f>
        <v>0</v>
      </c>
      <c r="C18" s="32">
        <f>'Govt Funds Bal Sh Exh 3'!P18</f>
        <v>0</v>
      </c>
      <c r="D18" s="32">
        <f>'Govt Funds Bal Sh Exh 3'!S18</f>
        <v>0</v>
      </c>
      <c r="E18" s="32">
        <f>'Govt Funds Bal Sh Exh 3'!V18</f>
        <v>0</v>
      </c>
      <c r="F18" s="33">
        <v>0</v>
      </c>
      <c r="G18" s="33">
        <f t="shared" si="2"/>
        <v>0</v>
      </c>
      <c r="H18" s="32"/>
      <c r="I18" s="146" t="str">
        <f>IF(G18-'Govt Funds Bal Sh Exh 3'!C18=0,"Yes",G18-'Govt Funds Bal Sh Exh 3'!C18)</f>
        <v>Yes</v>
      </c>
      <c r="J18" s="322" t="str">
        <f t="shared" si="1"/>
        <v>Hide Row?</v>
      </c>
      <c r="K18" s="31"/>
      <c r="L18" s="31"/>
      <c r="M18" s="31"/>
      <c r="N18" s="31"/>
      <c r="O18" s="31"/>
      <c r="P18" s="31"/>
      <c r="Q18" s="31"/>
      <c r="R18" s="31"/>
      <c r="S18" s="31"/>
      <c r="T18" s="31"/>
      <c r="U18" s="20"/>
      <c r="V18" s="40"/>
      <c r="W18" s="31"/>
      <c r="X18" s="31"/>
      <c r="Y18" s="31"/>
      <c r="Z18" s="20"/>
      <c r="AA18" s="20"/>
      <c r="AB18" s="20"/>
      <c r="AC18" s="20"/>
      <c r="AD18" s="20"/>
      <c r="AE18" s="20"/>
      <c r="AF18" s="20"/>
      <c r="AG18" s="20"/>
      <c r="AH18" s="11"/>
      <c r="AI18" s="11"/>
      <c r="AJ18" s="11"/>
      <c r="AK18" s="11"/>
      <c r="AL18" s="11"/>
    </row>
    <row r="19" spans="1:38" ht="15.75" hidden="1" customHeight="1" x14ac:dyDescent="0.25">
      <c r="A19" s="48" t="s">
        <v>130</v>
      </c>
      <c r="B19" s="32">
        <f>'Govt Funds Bal Sh Exh 3'!M19</f>
        <v>0</v>
      </c>
      <c r="C19" s="32">
        <f>'Govt Funds Bal Sh Exh 3'!P19</f>
        <v>0</v>
      </c>
      <c r="D19" s="32">
        <f>'Govt Funds Bal Sh Exh 3'!S19</f>
        <v>0</v>
      </c>
      <c r="E19" s="32">
        <f>'Govt Funds Bal Sh Exh 3'!V19</f>
        <v>0</v>
      </c>
      <c r="F19" s="31">
        <v>0</v>
      </c>
      <c r="G19" s="31">
        <f t="shared" si="2"/>
        <v>0</v>
      </c>
      <c r="H19" s="32"/>
      <c r="I19" s="146" t="str">
        <f>IF(G19-'Govt Funds Bal Sh Exh 3'!C19=0,"Yes",G19-'Govt Funds Bal Sh Exh 3'!C19)</f>
        <v>Yes</v>
      </c>
      <c r="J19" s="322" t="str">
        <f t="shared" si="1"/>
        <v>Hide Row?</v>
      </c>
      <c r="K19" s="31"/>
      <c r="L19" s="31"/>
      <c r="M19" s="31"/>
      <c r="N19" s="31"/>
      <c r="O19" s="31"/>
      <c r="P19" s="31"/>
      <c r="Q19" s="31"/>
      <c r="R19" s="31"/>
      <c r="S19" s="31"/>
      <c r="T19" s="31"/>
      <c r="U19" s="20"/>
      <c r="V19" s="40"/>
      <c r="W19" s="31"/>
      <c r="X19" s="31"/>
      <c r="Y19" s="31"/>
      <c r="Z19" s="20"/>
      <c r="AA19" s="20"/>
      <c r="AB19" s="20"/>
      <c r="AC19" s="20"/>
      <c r="AD19" s="20"/>
      <c r="AE19" s="20"/>
      <c r="AF19" s="20"/>
      <c r="AG19" s="20"/>
      <c r="AH19" s="11"/>
      <c r="AI19" s="11"/>
      <c r="AJ19" s="11"/>
      <c r="AK19" s="11"/>
      <c r="AL19" s="11"/>
    </row>
    <row r="20" spans="1:38" ht="17.25" hidden="1" customHeight="1" x14ac:dyDescent="0.35">
      <c r="A20" s="48" t="s">
        <v>9</v>
      </c>
      <c r="B20" s="35">
        <f>'Govt Funds Bal Sh Exh 3'!M20</f>
        <v>0</v>
      </c>
      <c r="C20" s="35">
        <f>'Govt Funds Bal Sh Exh 3'!P20</f>
        <v>0</v>
      </c>
      <c r="D20" s="35">
        <f>'Govt Funds Bal Sh Exh 3'!S20</f>
        <v>0</v>
      </c>
      <c r="E20" s="35">
        <f>'Govt Funds Bal Sh Exh 3'!V20</f>
        <v>0</v>
      </c>
      <c r="F20" s="41">
        <v>0</v>
      </c>
      <c r="G20" s="41">
        <f t="shared" si="2"/>
        <v>0</v>
      </c>
      <c r="H20" s="35"/>
      <c r="I20" s="146" t="str">
        <f>IF(G20-'Govt Funds Bal Sh Exh 3'!C20=0,"Yes",G20-'Govt Funds Bal Sh Exh 3'!C20)</f>
        <v>Yes</v>
      </c>
      <c r="J20" s="322" t="str">
        <f t="shared" si="1"/>
        <v>Hide Row?</v>
      </c>
      <c r="K20" s="41"/>
      <c r="L20" s="41"/>
      <c r="M20" s="41"/>
      <c r="N20" s="41"/>
      <c r="O20" s="41"/>
      <c r="P20" s="41"/>
      <c r="Q20" s="41"/>
      <c r="R20" s="41"/>
      <c r="S20" s="41"/>
      <c r="T20" s="41"/>
      <c r="U20" s="20"/>
      <c r="V20" s="30"/>
      <c r="W20" s="31"/>
      <c r="X20" s="31"/>
      <c r="Y20" s="31"/>
      <c r="Z20" s="20"/>
      <c r="AA20" s="20"/>
      <c r="AB20" s="20"/>
      <c r="AC20" s="20"/>
      <c r="AD20" s="20"/>
      <c r="AE20" s="20"/>
      <c r="AF20" s="20"/>
      <c r="AG20" s="20"/>
      <c r="AH20" s="11"/>
      <c r="AI20" s="11"/>
      <c r="AJ20" s="11"/>
      <c r="AK20" s="11"/>
      <c r="AL20" s="11"/>
    </row>
    <row r="21" spans="1:38" ht="21.95" customHeight="1" x14ac:dyDescent="0.35">
      <c r="A21" s="73" t="s">
        <v>4</v>
      </c>
      <c r="B21" s="41">
        <f>SUM(B16:B20)</f>
        <v>212395</v>
      </c>
      <c r="C21" s="41">
        <f>SUM(C16:C20)</f>
        <v>104545</v>
      </c>
      <c r="D21" s="41">
        <f>SUM(D16:D20)</f>
        <v>3696</v>
      </c>
      <c r="E21" s="41">
        <f>SUM(E16:E20)</f>
        <v>0</v>
      </c>
      <c r="F21" s="41">
        <f>SUM(F16:F20)</f>
        <v>0</v>
      </c>
      <c r="G21" s="41">
        <f t="shared" si="2"/>
        <v>320636</v>
      </c>
      <c r="H21" s="41"/>
      <c r="I21" s="146" t="str">
        <f>IF(G21-'Govt Funds Bal Sh Exh 3'!C21=0,"Yes",G21-'Govt Funds Bal Sh Exh 3'!C21)</f>
        <v>Yes</v>
      </c>
      <c r="J21" s="322" t="str">
        <f t="shared" si="1"/>
        <v xml:space="preserve"> </v>
      </c>
      <c r="K21" s="41"/>
      <c r="L21" s="41"/>
      <c r="M21" s="41"/>
      <c r="N21" s="41"/>
      <c r="O21" s="41"/>
      <c r="P21" s="41"/>
      <c r="Q21" s="41"/>
      <c r="R21" s="41"/>
      <c r="S21" s="41"/>
      <c r="T21" s="41"/>
      <c r="U21" s="20"/>
      <c r="V21" s="30"/>
      <c r="W21" s="31"/>
      <c r="X21" s="31"/>
      <c r="Y21" s="31"/>
      <c r="Z21" s="20"/>
      <c r="AA21" s="20"/>
      <c r="AB21" s="20"/>
      <c r="AC21" s="20"/>
      <c r="AD21" s="20"/>
      <c r="AE21" s="20"/>
      <c r="AF21" s="20"/>
      <c r="AG21" s="20"/>
      <c r="AH21" s="11"/>
      <c r="AI21" s="11"/>
      <c r="AJ21" s="11"/>
      <c r="AK21" s="11"/>
      <c r="AL21" s="11"/>
    </row>
    <row r="22" spans="1:38" ht="24" customHeight="1" x14ac:dyDescent="0.35">
      <c r="A22" s="42" t="s">
        <v>229</v>
      </c>
      <c r="B22" s="35">
        <f>'Govt Funds Bal Sh Exh 3'!M22</f>
        <v>495</v>
      </c>
      <c r="C22" s="35">
        <f>'Govt Funds Bal Sh Exh 3'!P22</f>
        <v>0</v>
      </c>
      <c r="D22" s="35">
        <f>'Govt Funds Bal Sh Exh 3'!S22</f>
        <v>0</v>
      </c>
      <c r="E22" s="35">
        <f>'Govt Funds Bal Sh Exh 3'!V22</f>
        <v>0</v>
      </c>
      <c r="F22" s="41">
        <v>0</v>
      </c>
      <c r="G22" s="85">
        <f>SUM(B22:F22)</f>
        <v>495</v>
      </c>
      <c r="H22" s="43"/>
      <c r="I22" s="146" t="str">
        <f>IF(G22-'Govt Funds Bal Sh Exh 3'!C22=0,"Yes",G22-'Govt Funds Bal Sh Exh 3'!C22)</f>
        <v>Yes</v>
      </c>
      <c r="J22" s="322" t="str">
        <f t="shared" si="1"/>
        <v xml:space="preserve"> </v>
      </c>
      <c r="K22" s="43"/>
      <c r="L22" s="43"/>
      <c r="M22" s="43"/>
      <c r="N22" s="43"/>
      <c r="O22" s="43"/>
      <c r="P22" s="43"/>
      <c r="Q22" s="43"/>
      <c r="R22" s="43"/>
      <c r="S22" s="43"/>
      <c r="T22" s="43"/>
      <c r="U22" s="20"/>
      <c r="V22" s="30"/>
      <c r="W22" s="31"/>
      <c r="X22" s="31"/>
      <c r="Y22" s="31"/>
      <c r="Z22" s="20"/>
      <c r="AA22" s="20"/>
      <c r="AB22" s="20"/>
      <c r="AC22" s="20"/>
      <c r="AD22" s="20"/>
      <c r="AE22" s="20"/>
      <c r="AF22" s="20"/>
      <c r="AG22" s="20"/>
      <c r="AH22" s="11"/>
      <c r="AI22" s="11"/>
      <c r="AJ22" s="11"/>
      <c r="AK22" s="11"/>
      <c r="AL22" s="11"/>
    </row>
    <row r="23" spans="1:38" ht="21" customHeight="1" x14ac:dyDescent="0.25">
      <c r="A23" s="42" t="s">
        <v>239</v>
      </c>
      <c r="B23" s="30"/>
      <c r="C23" s="30"/>
      <c r="D23" s="30"/>
      <c r="E23" s="30"/>
      <c r="F23" s="30"/>
      <c r="G23" s="30"/>
      <c r="H23" s="30"/>
      <c r="I23" s="271"/>
      <c r="J23" s="322"/>
      <c r="K23" s="30"/>
      <c r="L23" s="30"/>
      <c r="M23" s="30"/>
      <c r="N23" s="30"/>
      <c r="O23" s="30"/>
      <c r="P23" s="30"/>
      <c r="Q23" s="30"/>
      <c r="R23" s="30"/>
      <c r="S23" s="30"/>
      <c r="T23" s="30"/>
      <c r="U23" s="20"/>
      <c r="V23" s="30"/>
      <c r="W23" s="31"/>
      <c r="X23" s="31"/>
      <c r="Y23" s="31"/>
      <c r="Z23" s="20"/>
      <c r="AA23" s="20"/>
      <c r="AB23" s="20"/>
      <c r="AC23" s="20"/>
      <c r="AD23" s="20"/>
      <c r="AE23" s="20"/>
      <c r="AF23" s="20"/>
      <c r="AG23" s="20"/>
      <c r="AH23" s="11"/>
      <c r="AI23" s="11"/>
      <c r="AJ23" s="11"/>
      <c r="AK23" s="11"/>
      <c r="AL23" s="11"/>
    </row>
    <row r="24" spans="1:38" ht="15.75" customHeight="1" x14ac:dyDescent="0.25">
      <c r="A24" s="40" t="s">
        <v>337</v>
      </c>
      <c r="B24" s="30"/>
      <c r="C24" s="30"/>
      <c r="D24" s="30"/>
      <c r="E24" s="30"/>
      <c r="F24" s="30"/>
      <c r="G24" s="30"/>
      <c r="H24" s="30"/>
      <c r="I24" s="271"/>
      <c r="J24" s="322" t="str">
        <f>IF(AND(J25="Hide Row?",J26="Hide Row?"),"Hide Row?"," ")</f>
        <v xml:space="preserve"> </v>
      </c>
      <c r="K24" s="30"/>
      <c r="L24" s="30"/>
      <c r="M24" s="30"/>
      <c r="N24" s="30"/>
      <c r="O24" s="30"/>
      <c r="P24" s="30"/>
      <c r="Q24" s="30"/>
      <c r="R24" s="30"/>
      <c r="S24" s="30"/>
      <c r="T24" s="30"/>
      <c r="U24" s="20"/>
      <c r="V24" s="20"/>
      <c r="W24" s="20"/>
      <c r="X24" s="20"/>
      <c r="Y24" s="20"/>
      <c r="Z24" s="20"/>
      <c r="AA24" s="20"/>
      <c r="AB24" s="20"/>
      <c r="AC24" s="20"/>
      <c r="AD24" s="20"/>
      <c r="AE24" s="20"/>
      <c r="AF24" s="20"/>
      <c r="AG24" s="20"/>
      <c r="AH24" s="11"/>
      <c r="AI24" s="11"/>
      <c r="AJ24" s="11"/>
      <c r="AK24" s="11"/>
      <c r="AL24" s="11"/>
    </row>
    <row r="25" spans="1:38" ht="15.75" customHeight="1" x14ac:dyDescent="0.25">
      <c r="A25" s="44" t="s">
        <v>2</v>
      </c>
      <c r="B25" s="32">
        <f>'Govt Funds Bal Sh Exh 3'!M25</f>
        <v>272</v>
      </c>
      <c r="C25" s="32">
        <f>'Govt Funds Bal Sh Exh 3'!P25</f>
        <v>0</v>
      </c>
      <c r="D25" s="32">
        <f>'Govt Funds Bal Sh Exh 3'!S25</f>
        <v>0</v>
      </c>
      <c r="E25" s="32">
        <f>'Govt Funds Bal Sh Exh 3'!V25</f>
        <v>0</v>
      </c>
      <c r="F25" s="31">
        <v>0</v>
      </c>
      <c r="G25" s="31">
        <f>SUM(B25:F25)</f>
        <v>272</v>
      </c>
      <c r="H25" s="32"/>
      <c r="I25" s="146" t="str">
        <f>IF(G25-'Govt Funds Bal Sh Exh 3'!C25=0,"Yes",G25-'Govt Funds Bal Sh Exh 3'!C25)</f>
        <v>Yes</v>
      </c>
      <c r="J25" s="322" t="str">
        <f>IF(((ABS(B25)+ABS(C25)+ABS(D25)+ABS(E25)+ABS(F25)+ABS(G25))=0),"Hide Row?"," ")</f>
        <v xml:space="preserve"> </v>
      </c>
      <c r="K25" s="31"/>
      <c r="L25" s="31"/>
      <c r="M25" s="31"/>
      <c r="N25" s="31"/>
      <c r="O25" s="31"/>
      <c r="P25" s="31"/>
      <c r="Q25" s="31"/>
      <c r="R25" s="31"/>
      <c r="S25" s="31"/>
      <c r="T25" s="31"/>
      <c r="U25" s="20"/>
      <c r="V25" s="20"/>
      <c r="W25" s="20"/>
      <c r="X25" s="20"/>
      <c r="Y25" s="20"/>
      <c r="Z25" s="20"/>
      <c r="AA25" s="20"/>
      <c r="AB25" s="20"/>
      <c r="AC25" s="20"/>
      <c r="AD25" s="20"/>
      <c r="AE25" s="20"/>
      <c r="AF25" s="20"/>
      <c r="AG25" s="20"/>
      <c r="AH25" s="11"/>
      <c r="AI25" s="11"/>
      <c r="AJ25" s="11"/>
      <c r="AK25" s="11"/>
      <c r="AL25" s="11"/>
    </row>
    <row r="26" spans="1:38" ht="15.75" customHeight="1" x14ac:dyDescent="0.25">
      <c r="A26" s="44" t="s">
        <v>129</v>
      </c>
      <c r="B26" s="32">
        <f>'Govt Funds Bal Sh Exh 3'!M26</f>
        <v>3085</v>
      </c>
      <c r="C26" s="32">
        <f>'Govt Funds Bal Sh Exh 3'!P26</f>
        <v>0</v>
      </c>
      <c r="D26" s="32">
        <v>0</v>
      </c>
      <c r="E26" s="32">
        <f>'Govt Funds Bal Sh Exh 3'!V26</f>
        <v>0</v>
      </c>
      <c r="F26" s="31">
        <v>0</v>
      </c>
      <c r="G26" s="31">
        <f>SUM(B26:F26)</f>
        <v>3085</v>
      </c>
      <c r="H26" s="32"/>
      <c r="I26" s="146" t="str">
        <f>IF(G26-'Govt Funds Bal Sh Exh 3'!C26=0,"Yes",G26-'Govt Funds Bal Sh Exh 3'!C26)</f>
        <v>Yes</v>
      </c>
      <c r="J26" s="322" t="str">
        <f>IF(((ABS(B26)+ABS(C26)+ABS(D26)+ABS(E26)+ABS(F26)+ABS(G26))=0),"Hide Row?"," ")</f>
        <v xml:space="preserve"> </v>
      </c>
      <c r="K26" s="31"/>
      <c r="L26" s="31"/>
      <c r="M26" s="31"/>
      <c r="N26" s="31"/>
      <c r="O26" s="31"/>
      <c r="P26" s="31"/>
      <c r="Q26" s="31"/>
      <c r="R26" s="31"/>
      <c r="S26" s="31"/>
      <c r="T26" s="31"/>
      <c r="U26" s="20"/>
      <c r="V26" s="20"/>
      <c r="W26" s="20"/>
      <c r="X26" s="20"/>
      <c r="Y26" s="20"/>
      <c r="Z26" s="20"/>
      <c r="AA26" s="20"/>
      <c r="AB26" s="20"/>
      <c r="AC26" s="20"/>
      <c r="AD26" s="20"/>
      <c r="AE26" s="20"/>
      <c r="AF26" s="20"/>
      <c r="AG26" s="20"/>
      <c r="AH26" s="11"/>
      <c r="AI26" s="11"/>
      <c r="AJ26" s="11"/>
      <c r="AK26" s="11"/>
      <c r="AL26" s="11"/>
    </row>
    <row r="27" spans="1:38" s="7" customFormat="1" ht="15.75" hidden="1" customHeight="1" x14ac:dyDescent="0.25">
      <c r="A27" s="40" t="s">
        <v>160</v>
      </c>
      <c r="B27" s="32"/>
      <c r="C27" s="32"/>
      <c r="D27" s="32" t="s">
        <v>49</v>
      </c>
      <c r="E27" s="32"/>
      <c r="F27" s="31"/>
      <c r="G27" s="31"/>
      <c r="H27" s="31"/>
      <c r="I27" s="146"/>
      <c r="J27" s="322" t="str">
        <f>IF(AND(J28="Hide Row?"),"Hide Row?"," ")</f>
        <v>Hide Row?</v>
      </c>
      <c r="K27" s="31"/>
      <c r="L27" s="31"/>
      <c r="M27" s="31"/>
      <c r="N27" s="31"/>
      <c r="O27" s="31"/>
      <c r="P27" s="31"/>
      <c r="Q27" s="31"/>
      <c r="R27" s="31"/>
      <c r="S27" s="31"/>
      <c r="T27" s="31"/>
      <c r="U27" s="30"/>
      <c r="V27" s="30"/>
      <c r="W27" s="30"/>
      <c r="X27" s="30"/>
      <c r="Y27" s="30"/>
      <c r="Z27" s="30"/>
      <c r="AA27" s="30"/>
      <c r="AB27" s="30"/>
      <c r="AC27" s="30"/>
      <c r="AD27" s="30"/>
      <c r="AE27" s="30"/>
      <c r="AF27" s="30"/>
      <c r="AG27" s="30"/>
      <c r="AH27" s="10"/>
      <c r="AI27" s="10"/>
      <c r="AJ27" s="10"/>
      <c r="AK27" s="10"/>
      <c r="AL27" s="10"/>
    </row>
    <row r="28" spans="1:38" ht="15.75" hidden="1" customHeight="1" x14ac:dyDescent="0.25">
      <c r="A28" s="44" t="s">
        <v>161</v>
      </c>
      <c r="B28" s="32">
        <f>'Govt Funds Bal Sh Exh 3'!M28</f>
        <v>0</v>
      </c>
      <c r="C28" s="32">
        <f>'Govt Funds Bal Sh Exh 3'!P28</f>
        <v>0</v>
      </c>
      <c r="D28" s="32">
        <f>'Govt Funds Bal Sh Exh 3'!S28</f>
        <v>0</v>
      </c>
      <c r="E28" s="32">
        <f>'Govt Funds Bal Sh Exh 3'!V28</f>
        <v>0</v>
      </c>
      <c r="F28" s="31">
        <v>0</v>
      </c>
      <c r="G28" s="31">
        <f>SUM(B28:F28)</f>
        <v>0</v>
      </c>
      <c r="H28" s="32"/>
      <c r="I28" s="146" t="str">
        <f>IF(G28-'Govt Funds Bal Sh Exh 3'!C28=0,"Yes",G28-'Govt Funds Bal Sh Exh 3'!C28)</f>
        <v>Yes</v>
      </c>
      <c r="J28" s="322" t="str">
        <f>IF(((ABS(B28)+ABS(C28)+ABS(D28)+ABS(E28)+ABS(F28)+ABS(G28))=0),"Hide Row?"," ")</f>
        <v>Hide Row?</v>
      </c>
      <c r="K28" s="31"/>
      <c r="L28" s="31"/>
      <c r="M28" s="31"/>
      <c r="N28" s="31"/>
      <c r="O28" s="31"/>
      <c r="P28" s="31"/>
      <c r="Q28" s="31"/>
      <c r="R28" s="31"/>
      <c r="S28" s="31"/>
      <c r="T28" s="31"/>
      <c r="U28" s="20"/>
      <c r="V28" s="20"/>
      <c r="W28" s="20"/>
      <c r="X28" s="20"/>
      <c r="Y28" s="20"/>
      <c r="Z28" s="20"/>
      <c r="AA28" s="20"/>
      <c r="AB28" s="20"/>
      <c r="AC28" s="20"/>
      <c r="AD28" s="20"/>
      <c r="AE28" s="20"/>
      <c r="AF28" s="20"/>
      <c r="AG28" s="20"/>
      <c r="AH28" s="11"/>
      <c r="AI28" s="11"/>
      <c r="AJ28" s="11"/>
      <c r="AK28" s="11"/>
      <c r="AL28" s="11"/>
    </row>
    <row r="29" spans="1:38" ht="17.25" customHeight="1" x14ac:dyDescent="0.35">
      <c r="A29" s="40" t="s">
        <v>247</v>
      </c>
      <c r="B29" s="35">
        <f>'Govt Funds Bal Sh Exh 3'!M29</f>
        <v>103913</v>
      </c>
      <c r="C29" s="35">
        <f>'Govt Funds Bal Sh Exh 3'!P29</f>
        <v>0</v>
      </c>
      <c r="D29" s="35">
        <f>'Govt Funds Bal Sh Exh 3'!S29</f>
        <v>0</v>
      </c>
      <c r="E29" s="35">
        <f>'Govt Funds Bal Sh Exh 3'!V29</f>
        <v>0</v>
      </c>
      <c r="F29" s="41">
        <v>0</v>
      </c>
      <c r="G29" s="41">
        <f>SUM(B29:F29)</f>
        <v>103913</v>
      </c>
      <c r="H29" s="35"/>
      <c r="I29" s="146" t="str">
        <f>IF(G29-'Govt Funds Bal Sh Exh 3'!C29=0,"Yes",G29-'Govt Funds Bal Sh Exh 3'!C29)</f>
        <v>Yes</v>
      </c>
      <c r="J29" s="322" t="str">
        <f>IF(((ABS(B29)+ABS(C29)+ABS(D29)+ABS(E29)+ABS(F29)+ABS(G29))=0),"Hide Row?"," ")</f>
        <v xml:space="preserve"> </v>
      </c>
      <c r="K29" s="41"/>
      <c r="L29" s="41"/>
      <c r="M29" s="41"/>
      <c r="N29" s="41"/>
      <c r="O29" s="41"/>
      <c r="P29" s="41"/>
      <c r="Q29" s="41"/>
      <c r="R29" s="41"/>
      <c r="S29" s="41"/>
      <c r="T29" s="41"/>
      <c r="U29" s="20"/>
      <c r="V29" s="20"/>
      <c r="W29" s="20"/>
      <c r="X29" s="20"/>
      <c r="Y29" s="20" t="s">
        <v>49</v>
      </c>
      <c r="Z29" s="20"/>
      <c r="AA29" s="20"/>
      <c r="AB29" s="20"/>
      <c r="AC29" s="20"/>
      <c r="AD29" s="20"/>
      <c r="AE29" s="20"/>
      <c r="AF29" s="20"/>
      <c r="AG29" s="20"/>
      <c r="AH29" s="11"/>
      <c r="AI29" s="11"/>
      <c r="AJ29" s="11"/>
      <c r="AK29" s="11"/>
      <c r="AL29" s="11"/>
    </row>
    <row r="30" spans="1:38" ht="21.95" customHeight="1" x14ac:dyDescent="0.35">
      <c r="A30" s="44" t="s">
        <v>10</v>
      </c>
      <c r="B30" s="41">
        <f>SUM(B25:B29)</f>
        <v>107270</v>
      </c>
      <c r="C30" s="41">
        <f>SUM(C25:C29)</f>
        <v>0</v>
      </c>
      <c r="D30" s="41">
        <f>SUM(D25:D29)</f>
        <v>0</v>
      </c>
      <c r="E30" s="41">
        <f>SUM(E25:E29)</f>
        <v>0</v>
      </c>
      <c r="F30" s="41">
        <f>SUM(F25:F29)</f>
        <v>0</v>
      </c>
      <c r="G30" s="41">
        <f>SUM(B30:F30)</f>
        <v>107270</v>
      </c>
      <c r="H30" s="41"/>
      <c r="I30" s="146" t="str">
        <f>IF(G30-'Govt Funds Bal Sh Exh 3'!C30=0,"Yes",G30-'Govt Funds Bal Sh Exh 3'!C30)</f>
        <v>Yes</v>
      </c>
      <c r="J30" s="322" t="str">
        <f>IF(((ABS(B30)+ABS(C30)+ABS(D30)+ABS(E30)+ABS(F30)+ABS(G30))=0),"Hide Row?"," ")</f>
        <v xml:space="preserve"> </v>
      </c>
      <c r="K30" s="41"/>
      <c r="L30" s="41"/>
      <c r="M30" s="41"/>
      <c r="N30" s="41"/>
      <c r="O30" s="41"/>
      <c r="P30" s="41"/>
      <c r="Q30" s="41"/>
      <c r="R30" s="41"/>
      <c r="S30" s="41"/>
      <c r="T30" s="41"/>
      <c r="U30" s="47"/>
      <c r="V30" s="20"/>
      <c r="W30" s="20"/>
      <c r="X30" s="20"/>
      <c r="Y30" s="20"/>
      <c r="Z30" s="20"/>
      <c r="AA30" s="20"/>
      <c r="AB30" s="20"/>
      <c r="AC30" s="20"/>
      <c r="AD30" s="20"/>
      <c r="AE30" s="20"/>
      <c r="AF30" s="20"/>
      <c r="AG30" s="20"/>
      <c r="AH30" s="11"/>
      <c r="AI30" s="11"/>
      <c r="AJ30" s="11"/>
      <c r="AK30" s="11"/>
      <c r="AL30" s="11"/>
    </row>
    <row r="31" spans="1:38" ht="35.1" customHeight="1" x14ac:dyDescent="0.35">
      <c r="A31" s="48" t="s">
        <v>198</v>
      </c>
      <c r="B31" s="49">
        <f t="shared" ref="B31:G31" si="3">B21+B30+B22</f>
        <v>320160</v>
      </c>
      <c r="C31" s="49">
        <f t="shared" si="3"/>
        <v>104545</v>
      </c>
      <c r="D31" s="49">
        <f t="shared" si="3"/>
        <v>3696</v>
      </c>
      <c r="E31" s="49">
        <f t="shared" si="3"/>
        <v>0</v>
      </c>
      <c r="F31" s="49">
        <f t="shared" si="3"/>
        <v>0</v>
      </c>
      <c r="G31" s="49">
        <f t="shared" si="3"/>
        <v>428401</v>
      </c>
      <c r="H31" s="49"/>
      <c r="I31" s="146" t="str">
        <f>IF(G31-'Govt Funds Bal Sh Exh 3'!C31=0,"Yes",G31-'Govt Funds Bal Sh Exh 3'!C31)</f>
        <v>Yes</v>
      </c>
      <c r="J31" s="322" t="str">
        <f>IF(((ABS(B31)+ABS(C31)+ABS(D31)+ABS(E31)+ABS(F31)+ABS(G31))=0),"Hide Row?"," ")</f>
        <v xml:space="preserve"> </v>
      </c>
      <c r="K31" s="49"/>
      <c r="L31" s="49"/>
      <c r="M31" s="49"/>
      <c r="N31" s="49"/>
      <c r="O31" s="49"/>
      <c r="P31" s="49"/>
      <c r="Q31" s="49"/>
      <c r="R31" s="49"/>
      <c r="S31" s="49"/>
      <c r="T31" s="49"/>
      <c r="U31" s="20"/>
      <c r="V31" s="20"/>
      <c r="W31" s="20"/>
      <c r="X31" s="20"/>
      <c r="Y31" s="20"/>
      <c r="Z31" s="20"/>
      <c r="AA31" s="20"/>
      <c r="AB31" s="20"/>
      <c r="AC31" s="20"/>
      <c r="AD31" s="20"/>
      <c r="AE31" s="20"/>
      <c r="AF31" s="20"/>
      <c r="AG31" s="20"/>
      <c r="AH31" s="11"/>
      <c r="AI31" s="11"/>
      <c r="AJ31" s="11"/>
      <c r="AK31" s="11"/>
      <c r="AL31" s="11"/>
    </row>
    <row r="32" spans="1:38" ht="14.25" customHeight="1" x14ac:dyDescent="0.25">
      <c r="A32" s="30"/>
      <c r="B32" s="30"/>
      <c r="C32" s="30"/>
      <c r="D32" s="30"/>
      <c r="E32" s="30"/>
      <c r="F32" s="30"/>
      <c r="G32" s="4"/>
      <c r="H32" s="30"/>
      <c r="I32" s="30"/>
      <c r="J32" s="321"/>
      <c r="K32" s="30"/>
      <c r="L32" s="30"/>
      <c r="M32" s="30"/>
      <c r="N32" s="30"/>
      <c r="O32" s="30"/>
      <c r="P32" s="30"/>
      <c r="Q32" s="30"/>
      <c r="R32" s="30"/>
      <c r="S32" s="30"/>
      <c r="T32" s="30"/>
      <c r="U32" s="20"/>
      <c r="V32" s="20" t="s">
        <v>159</v>
      </c>
      <c r="W32" s="20"/>
      <c r="X32" s="20"/>
      <c r="Y32" s="20"/>
      <c r="Z32" s="20"/>
      <c r="AA32" s="20"/>
      <c r="AB32" s="20"/>
      <c r="AC32" s="20"/>
      <c r="AD32" s="20"/>
      <c r="AE32" s="20"/>
      <c r="AF32" s="20"/>
      <c r="AG32" s="20"/>
      <c r="AH32" s="11"/>
      <c r="AI32" s="11"/>
      <c r="AJ32" s="11"/>
      <c r="AK32" s="11"/>
      <c r="AL32" s="11"/>
    </row>
    <row r="33" spans="1:38" s="2" customFormat="1" ht="15.75" x14ac:dyDescent="0.25">
      <c r="A33" s="51"/>
      <c r="B33" s="385"/>
      <c r="C33" s="385"/>
      <c r="D33" s="385"/>
      <c r="E33" s="385"/>
      <c r="F33" s="385"/>
      <c r="G33" s="30"/>
      <c r="H33" s="52"/>
      <c r="I33" s="52"/>
      <c r="J33" s="52"/>
      <c r="K33" s="52"/>
      <c r="L33" s="52"/>
      <c r="M33" s="52"/>
      <c r="N33" s="52"/>
      <c r="O33" s="52"/>
      <c r="P33" s="52"/>
      <c r="Q33" s="52"/>
      <c r="R33" s="52"/>
      <c r="T33" s="53"/>
      <c r="U33" s="53"/>
      <c r="V33" s="53"/>
      <c r="W33" s="53"/>
      <c r="X33" s="53"/>
      <c r="Y33" s="53"/>
      <c r="Z33" s="53"/>
      <c r="AA33" s="53"/>
      <c r="AB33" s="53"/>
      <c r="AC33" s="53"/>
      <c r="AD33" s="53"/>
      <c r="AE33" s="53"/>
      <c r="AF33" s="53"/>
      <c r="AG33" s="53"/>
      <c r="AH33" s="14"/>
      <c r="AI33" s="14"/>
      <c r="AJ33" s="14"/>
      <c r="AK33" s="14"/>
      <c r="AL33" s="14"/>
    </row>
    <row r="34" spans="1:38" s="2" customFormat="1" ht="15.75" x14ac:dyDescent="0.25">
      <c r="A34" s="20"/>
      <c r="B34" s="64"/>
      <c r="C34" s="64"/>
      <c r="D34" s="64"/>
      <c r="E34" s="64"/>
      <c r="F34" s="64"/>
      <c r="G34" s="31"/>
      <c r="H34" s="48"/>
      <c r="I34" s="48"/>
      <c r="J34" s="48"/>
      <c r="K34" s="48"/>
      <c r="L34" s="48"/>
      <c r="M34" s="48"/>
      <c r="N34" s="48"/>
      <c r="O34" s="48"/>
      <c r="P34" s="48"/>
      <c r="Q34" s="48"/>
      <c r="R34" s="48"/>
      <c r="T34" s="53"/>
      <c r="U34" s="53"/>
      <c r="V34" s="53"/>
      <c r="W34" s="53"/>
      <c r="X34" s="53"/>
      <c r="Y34" s="53"/>
      <c r="Z34" s="53"/>
      <c r="AA34" s="53"/>
      <c r="AB34" s="53"/>
      <c r="AC34" s="53"/>
      <c r="AD34" s="53"/>
      <c r="AE34" s="53"/>
      <c r="AF34" s="53"/>
      <c r="AG34" s="53"/>
      <c r="AH34" s="14"/>
      <c r="AI34" s="14"/>
      <c r="AJ34" s="14"/>
      <c r="AK34" s="14"/>
      <c r="AL34" s="14"/>
    </row>
    <row r="35" spans="1:38" s="2" customFormat="1" ht="15.75" x14ac:dyDescent="0.25">
      <c r="A35" s="51"/>
      <c r="B35" s="396"/>
      <c r="C35" s="396"/>
      <c r="D35" s="396"/>
      <c r="E35" s="396"/>
      <c r="F35" s="396"/>
      <c r="G35" s="31"/>
      <c r="H35" s="54"/>
      <c r="I35" s="54"/>
      <c r="J35" s="54"/>
      <c r="K35" s="54"/>
      <c r="L35" s="54"/>
      <c r="M35" s="54"/>
      <c r="N35" s="54"/>
      <c r="O35" s="54"/>
      <c r="P35" s="54"/>
      <c r="Q35" s="54"/>
      <c r="R35" s="54"/>
      <c r="T35" s="53"/>
      <c r="U35" s="53"/>
      <c r="V35" s="53"/>
      <c r="W35" s="53"/>
      <c r="X35" s="53"/>
      <c r="Y35" s="53"/>
      <c r="Z35" s="53"/>
      <c r="AA35" s="53"/>
      <c r="AB35" s="53"/>
      <c r="AC35" s="53"/>
      <c r="AD35" s="53"/>
      <c r="AE35" s="53"/>
      <c r="AF35" s="53"/>
      <c r="AG35" s="53"/>
      <c r="AH35" s="14"/>
      <c r="AI35" s="14"/>
      <c r="AJ35" s="14"/>
      <c r="AK35" s="14"/>
      <c r="AL35" s="14"/>
    </row>
    <row r="36" spans="1:38" s="2" customFormat="1" ht="17.25" x14ac:dyDescent="0.35">
      <c r="B36" s="376"/>
      <c r="C36" s="376"/>
      <c r="D36" s="376"/>
      <c r="E36" s="376"/>
      <c r="F36" s="376"/>
      <c r="G36" s="55"/>
      <c r="H36" s="56"/>
      <c r="I36" s="56"/>
      <c r="J36" s="56"/>
      <c r="K36" s="56"/>
      <c r="L36" s="56"/>
      <c r="M36" s="56"/>
      <c r="N36" s="56"/>
      <c r="O36" s="56"/>
      <c r="P36" s="56"/>
      <c r="Q36" s="56"/>
      <c r="R36" s="56"/>
      <c r="T36" s="53"/>
      <c r="U36" s="53"/>
      <c r="V36" s="53"/>
      <c r="W36" s="53"/>
      <c r="X36" s="53"/>
      <c r="Y36" s="53"/>
      <c r="Z36" s="53"/>
      <c r="AA36" s="53"/>
      <c r="AB36" s="53"/>
      <c r="AC36" s="53"/>
      <c r="AD36" s="53"/>
      <c r="AE36" s="53"/>
      <c r="AF36" s="53"/>
      <c r="AG36" s="53"/>
      <c r="AH36" s="14"/>
      <c r="AI36" s="14"/>
      <c r="AJ36" s="14"/>
      <c r="AK36" s="14"/>
      <c r="AL36" s="14"/>
    </row>
    <row r="37" spans="1:38" s="2" customFormat="1" ht="17.25" x14ac:dyDescent="0.35">
      <c r="A37" s="51"/>
      <c r="B37" s="44"/>
      <c r="C37" s="57"/>
      <c r="D37" s="57"/>
      <c r="E37" s="57"/>
      <c r="F37" s="57"/>
      <c r="G37" s="37"/>
      <c r="H37" s="57"/>
      <c r="I37" s="40"/>
      <c r="J37" s="40"/>
      <c r="K37" s="40"/>
      <c r="L37" s="40"/>
      <c r="M37" s="40"/>
      <c r="N37" s="40"/>
      <c r="O37" s="40"/>
      <c r="P37" s="40"/>
      <c r="Q37" s="40"/>
      <c r="R37" s="30"/>
      <c r="T37" s="53"/>
      <c r="U37" s="53"/>
      <c r="V37" s="53"/>
      <c r="W37" s="53"/>
      <c r="X37" s="53"/>
      <c r="Y37" s="53"/>
      <c r="Z37" s="53"/>
      <c r="AA37" s="53"/>
      <c r="AB37" s="53"/>
      <c r="AC37" s="53"/>
      <c r="AD37" s="53"/>
      <c r="AE37" s="53"/>
      <c r="AF37" s="53"/>
      <c r="AG37" s="53"/>
      <c r="AH37" s="14"/>
      <c r="AI37" s="14"/>
      <c r="AJ37" s="14"/>
      <c r="AK37" s="14"/>
      <c r="AL37" s="14"/>
    </row>
    <row r="38" spans="1:38" ht="17.25" customHeight="1"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11"/>
      <c r="AI38" s="11"/>
      <c r="AJ38" s="11"/>
      <c r="AK38" s="11"/>
      <c r="AL38" s="11"/>
    </row>
    <row r="39" spans="1:38" ht="45" x14ac:dyDescent="0.25">
      <c r="A39" s="58" t="s">
        <v>186</v>
      </c>
      <c r="B39" s="135" t="str">
        <f t="shared" ref="B39:G39" si="4">IF(+B14-B21-B22-B30=0,"Yes",+B14-B21-B22-B30)</f>
        <v>Yes</v>
      </c>
      <c r="C39" s="135" t="str">
        <f t="shared" si="4"/>
        <v>Yes</v>
      </c>
      <c r="D39" s="135" t="str">
        <f t="shared" si="4"/>
        <v>Yes</v>
      </c>
      <c r="E39" s="135" t="str">
        <f t="shared" si="4"/>
        <v>Yes</v>
      </c>
      <c r="F39" s="135" t="str">
        <f>IF(+F14-F21-F22-F30=0,"Yes",+F14-F21-F22-F30)</f>
        <v>Yes</v>
      </c>
      <c r="G39" s="135" t="str">
        <f t="shared" si="4"/>
        <v>Yes</v>
      </c>
      <c r="H39" s="59"/>
      <c r="I39" s="59"/>
      <c r="J39" s="59"/>
      <c r="K39" s="59"/>
      <c r="L39" s="59"/>
      <c r="M39" s="59"/>
      <c r="N39" s="59"/>
      <c r="O39" s="59"/>
      <c r="P39" s="59"/>
      <c r="Q39" s="59"/>
      <c r="R39" s="59"/>
      <c r="S39" s="59"/>
      <c r="T39" s="59"/>
      <c r="U39" s="20"/>
      <c r="V39" s="20"/>
      <c r="W39" s="20"/>
      <c r="X39" s="20"/>
      <c r="Y39" s="20"/>
      <c r="Z39" s="20"/>
      <c r="AA39" s="20"/>
      <c r="AB39" s="20"/>
      <c r="AC39" s="20"/>
      <c r="AD39" s="20"/>
      <c r="AE39" s="20"/>
      <c r="AF39" s="20"/>
      <c r="AG39" s="20"/>
      <c r="AH39" s="11"/>
      <c r="AI39" s="11"/>
      <c r="AJ39" s="11"/>
      <c r="AK39" s="11"/>
      <c r="AL39" s="11"/>
    </row>
    <row r="40" spans="1:38" ht="36.75" customHeight="1" x14ac:dyDescent="0.25">
      <c r="A40" s="175"/>
      <c r="B40" s="20"/>
      <c r="C40" s="20"/>
      <c r="D40" s="20"/>
      <c r="E40" s="20"/>
      <c r="F40" s="20"/>
      <c r="G40" s="20"/>
      <c r="H40" s="20"/>
      <c r="I40" s="20"/>
      <c r="J40" s="20"/>
      <c r="K40" s="20"/>
      <c r="L40" s="20"/>
      <c r="M40" s="20"/>
      <c r="N40" s="20"/>
      <c r="O40" s="20"/>
      <c r="P40" s="20"/>
      <c r="Q40" s="20"/>
      <c r="R40" s="20"/>
      <c r="S40" s="61"/>
      <c r="T40" s="20"/>
      <c r="U40" s="20"/>
      <c r="V40" s="20"/>
      <c r="W40" s="20"/>
      <c r="X40" s="20"/>
      <c r="Y40" s="20"/>
      <c r="Z40" s="20"/>
      <c r="AA40" s="20"/>
      <c r="AB40" s="20"/>
      <c r="AC40" s="20"/>
      <c r="AD40" s="20"/>
      <c r="AE40" s="20"/>
      <c r="AF40" s="20"/>
      <c r="AG40" s="20"/>
      <c r="AH40" s="11"/>
      <c r="AI40" s="11"/>
      <c r="AJ40" s="11"/>
      <c r="AK40" s="11"/>
      <c r="AL40" s="11"/>
    </row>
    <row r="41" spans="1:38" ht="15.75" x14ac:dyDescent="0.25">
      <c r="A41" s="20"/>
      <c r="B41" s="62"/>
      <c r="C41" s="62"/>
      <c r="D41" s="62"/>
      <c r="E41" s="62"/>
      <c r="F41" s="62"/>
      <c r="G41" s="18"/>
      <c r="H41" s="62"/>
      <c r="I41" s="62"/>
      <c r="J41" s="62"/>
      <c r="K41" s="62"/>
      <c r="L41" s="62"/>
      <c r="M41" s="62"/>
      <c r="N41" s="62"/>
      <c r="O41" s="62"/>
      <c r="P41" s="62"/>
      <c r="Q41" s="62"/>
      <c r="R41" s="62"/>
      <c r="T41" s="20"/>
      <c r="U41" s="20"/>
      <c r="V41" s="20"/>
      <c r="W41" s="20"/>
      <c r="X41" s="20"/>
      <c r="Y41" s="20"/>
      <c r="Z41" s="20"/>
      <c r="AA41" s="20"/>
      <c r="AB41" s="20"/>
      <c r="AC41" s="20"/>
      <c r="AD41" s="20"/>
      <c r="AE41" s="20"/>
      <c r="AF41" s="20"/>
      <c r="AG41" s="20"/>
      <c r="AH41" s="11"/>
      <c r="AI41" s="11"/>
      <c r="AJ41" s="11"/>
      <c r="AK41" s="11"/>
      <c r="AL41" s="11"/>
    </row>
    <row r="42" spans="1:38" ht="15.75"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11"/>
      <c r="AI42" s="11"/>
      <c r="AJ42" s="11"/>
      <c r="AK42" s="11"/>
      <c r="AL42" s="11"/>
    </row>
    <row r="43" spans="1:38" ht="15.75" x14ac:dyDescent="0.25">
      <c r="A43" s="4"/>
      <c r="B43" s="20"/>
      <c r="C43" s="20"/>
      <c r="D43" s="20"/>
      <c r="E43" s="20"/>
      <c r="F43" s="20"/>
      <c r="G43" s="62"/>
      <c r="H43" s="20"/>
      <c r="J43" s="20"/>
      <c r="K43" s="20"/>
      <c r="L43" s="20"/>
      <c r="M43" s="20"/>
      <c r="N43" s="20"/>
      <c r="O43" s="20"/>
      <c r="P43" s="20"/>
      <c r="Q43" s="20"/>
      <c r="R43" s="63" t="e">
        <f>IF(F30-#REF!=0,"Yes",F30-#REF!)</f>
        <v>#REF!</v>
      </c>
      <c r="S43" s="20"/>
      <c r="T43" s="20"/>
      <c r="U43" s="20"/>
      <c r="V43" s="20"/>
      <c r="W43" s="20"/>
      <c r="X43" s="20"/>
      <c r="Y43" s="20"/>
      <c r="Z43" s="20"/>
      <c r="AA43" s="20"/>
      <c r="AB43" s="20"/>
      <c r="AC43" s="20"/>
      <c r="AD43" s="20"/>
      <c r="AE43" s="20"/>
      <c r="AF43" s="20"/>
      <c r="AG43" s="20"/>
      <c r="AH43" s="11"/>
      <c r="AI43" s="11"/>
      <c r="AJ43" s="11"/>
      <c r="AK43" s="11"/>
      <c r="AL43" s="11"/>
    </row>
    <row r="44" spans="1:38" ht="15.75"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11"/>
      <c r="AI44" s="11"/>
      <c r="AJ44" s="11"/>
      <c r="AK44" s="11"/>
      <c r="AL44" s="11"/>
    </row>
    <row r="45" spans="1:38" ht="15.75"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11"/>
      <c r="AI45" s="11"/>
      <c r="AJ45" s="11"/>
      <c r="AK45" s="11"/>
      <c r="AL45" s="11"/>
    </row>
    <row r="46" spans="1:38" ht="15.75"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11"/>
      <c r="AI46" s="11"/>
      <c r="AJ46" s="11"/>
      <c r="AK46" s="11"/>
      <c r="AL46" s="11"/>
    </row>
    <row r="47" spans="1:38" ht="15.75"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11"/>
      <c r="AI47" s="11"/>
      <c r="AJ47" s="11"/>
      <c r="AK47" s="11"/>
      <c r="AL47" s="11"/>
    </row>
    <row r="48" spans="1:38" ht="15.75"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11"/>
      <c r="AI48" s="11"/>
      <c r="AJ48" s="11"/>
      <c r="AK48" s="11"/>
      <c r="AL48" s="11"/>
    </row>
    <row r="49" spans="1:38" ht="17.25" x14ac:dyDescent="0.35">
      <c r="A49" s="20"/>
      <c r="B49" s="372"/>
      <c r="C49" s="372"/>
      <c r="D49" s="372"/>
      <c r="E49" s="372"/>
      <c r="F49" s="25"/>
      <c r="G49" s="33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11"/>
      <c r="AI49" s="11"/>
      <c r="AJ49" s="11"/>
      <c r="AK49" s="11"/>
      <c r="AL49" s="11"/>
    </row>
    <row r="50" spans="1:38" ht="17.25" x14ac:dyDescent="0.35">
      <c r="A50" s="20"/>
      <c r="B50" s="338"/>
      <c r="C50" s="337"/>
      <c r="D50" s="337"/>
      <c r="E50" s="66"/>
      <c r="F50" s="338"/>
      <c r="G50" s="33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11"/>
      <c r="AI50" s="11"/>
      <c r="AJ50" s="11"/>
      <c r="AK50" s="11"/>
      <c r="AL50" s="11"/>
    </row>
    <row r="51" spans="1:38" ht="17.25" x14ac:dyDescent="0.35">
      <c r="A51" s="20"/>
      <c r="B51" s="338"/>
      <c r="C51" s="337"/>
      <c r="D51" s="337"/>
      <c r="E51" s="27"/>
      <c r="F51" s="338"/>
      <c r="G51" s="33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11"/>
      <c r="AI51" s="11"/>
      <c r="AJ51" s="11"/>
      <c r="AK51" s="11"/>
      <c r="AL51" s="11"/>
    </row>
    <row r="52" spans="1:38" ht="15.7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11"/>
      <c r="AI52" s="11"/>
      <c r="AJ52" s="11"/>
      <c r="AK52" s="11"/>
      <c r="AL52" s="11"/>
    </row>
    <row r="53" spans="1:38" ht="15.7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ht="15.7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7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ht="15.7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ht="15.7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ht="15.7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ht="15.7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ht="15.7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5.7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5.7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7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5.7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7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ht="15.7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ht="15.7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ht="15.7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ht="15.7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ht="15.7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ht="15.7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ht="15.7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ht="15.7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ht="15.7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7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ht="15.7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ht="15.7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ht="15.7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7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ht="15.7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ht="15.7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ht="15.7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ht="15.7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ht="15.7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sheetData>
  <mergeCells count="23">
    <mergeCell ref="B35:F35"/>
    <mergeCell ref="B36:F36"/>
    <mergeCell ref="B49:E49"/>
    <mergeCell ref="G49:G51"/>
    <mergeCell ref="B50:B51"/>
    <mergeCell ref="C50:C51"/>
    <mergeCell ref="D50:D51"/>
    <mergeCell ref="F50:F51"/>
    <mergeCell ref="O6:Q6"/>
    <mergeCell ref="R6:T6"/>
    <mergeCell ref="C6:C7"/>
    <mergeCell ref="D6:D7"/>
    <mergeCell ref="B33:F33"/>
    <mergeCell ref="I6:I7"/>
    <mergeCell ref="K5:M7"/>
    <mergeCell ref="B5:G5"/>
    <mergeCell ref="B6:B7"/>
    <mergeCell ref="F6:F7"/>
    <mergeCell ref="A1:G1"/>
    <mergeCell ref="A2:G2"/>
    <mergeCell ref="A3:G3"/>
    <mergeCell ref="A4:G4"/>
    <mergeCell ref="E6:E7"/>
  </mergeCells>
  <conditionalFormatting sqref="B39:G39">
    <cfRule type="cellIs" dxfId="79" priority="2" stopIfTrue="1" operator="notEqual">
      <formula>"Yes"</formula>
    </cfRule>
  </conditionalFormatting>
  <conditionalFormatting sqref="I9:I14 I16:I22 I25:I26 I28:I31">
    <cfRule type="cellIs" dxfId="78" priority="1" stopIfTrue="1" operator="notEqual">
      <formula>"Yes"</formula>
    </cfRule>
  </conditionalFormatting>
  <pageMargins left="0.75" right="0.75" top="0.75" bottom="0.75" header="0.5" footer="0.5"/>
  <pageSetup scale="89" firstPageNumber="19" orientation="portrait" useFirstPageNumber="1" r:id="rId1"/>
  <headerFooter alignWithMargins="0">
    <oddHeader xml:space="preserve">&amp;R&amp;12Statement 1
</oddHeader>
    <oddFooter>&amp;L&amp;12Revised:  July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R101"/>
  <sheetViews>
    <sheetView showGridLines="0" workbookViewId="0">
      <selection activeCell="A33" sqref="A33"/>
    </sheetView>
  </sheetViews>
  <sheetFormatPr defaultRowHeight="12.75" x14ac:dyDescent="0.2"/>
  <cols>
    <col min="1" max="1" width="42.7109375" customWidth="1"/>
    <col min="2" max="3" width="14.7109375" customWidth="1"/>
    <col min="4" max="4" width="16.28515625" bestFit="1" customWidth="1"/>
    <col min="5" max="6" width="18.7109375" hidden="1" customWidth="1"/>
    <col min="7" max="7" width="18.7109375" customWidth="1"/>
    <col min="9" max="10" width="14.7109375" customWidth="1"/>
  </cols>
  <sheetData>
    <row r="1" spans="1:18" ht="15.75" customHeight="1" x14ac:dyDescent="0.25">
      <c r="A1" s="341" t="str">
        <f>'GW Net Position Exh 1'!A1</f>
        <v>Owl Charter, Inc.</v>
      </c>
      <c r="B1" s="341"/>
      <c r="C1" s="341"/>
      <c r="D1" s="341"/>
      <c r="E1" s="341"/>
      <c r="F1" s="341"/>
      <c r="G1" s="341"/>
      <c r="H1" s="20"/>
      <c r="I1" s="20"/>
      <c r="J1" s="20"/>
      <c r="K1" s="20"/>
      <c r="L1" s="20"/>
      <c r="M1" s="20"/>
      <c r="N1" s="20"/>
      <c r="O1" s="4"/>
      <c r="P1" s="4"/>
      <c r="Q1" s="4"/>
    </row>
    <row r="2" spans="1:18" ht="15.75" customHeight="1" x14ac:dyDescent="0.25">
      <c r="A2" s="383" t="s">
        <v>348</v>
      </c>
      <c r="B2" s="383"/>
      <c r="C2" s="383"/>
      <c r="D2" s="383"/>
      <c r="E2" s="383"/>
      <c r="F2" s="383"/>
      <c r="G2" s="383"/>
      <c r="H2" s="20"/>
      <c r="I2" s="20"/>
      <c r="J2" s="20"/>
      <c r="K2" s="20"/>
      <c r="L2" s="20"/>
      <c r="M2" s="20"/>
      <c r="N2" s="20"/>
      <c r="O2" s="4"/>
      <c r="P2" s="4"/>
      <c r="Q2" s="4"/>
    </row>
    <row r="3" spans="1:18" ht="15.75" hidden="1" customHeight="1" x14ac:dyDescent="0.25">
      <c r="A3" s="342"/>
      <c r="B3" s="342"/>
      <c r="C3" s="342"/>
      <c r="D3" s="342"/>
      <c r="E3" s="342"/>
      <c r="F3" s="342"/>
      <c r="G3" s="342"/>
      <c r="H3" s="20"/>
      <c r="I3" s="20"/>
      <c r="J3" s="20"/>
      <c r="K3" s="20"/>
      <c r="L3" s="20"/>
      <c r="M3" s="20"/>
      <c r="N3" s="20"/>
      <c r="O3" s="4"/>
      <c r="P3" s="4"/>
      <c r="Q3" s="4"/>
    </row>
    <row r="4" spans="1:18" ht="15.75" customHeight="1" x14ac:dyDescent="0.25">
      <c r="A4" s="374" t="str">
        <f>+'GW Stmt Activities Exh 2'!A3</f>
        <v>For the Year Ended June 30, 2020</v>
      </c>
      <c r="B4" s="374"/>
      <c r="C4" s="374"/>
      <c r="D4" s="374"/>
      <c r="E4" s="374"/>
      <c r="F4" s="374"/>
      <c r="G4" s="374"/>
      <c r="H4" s="20"/>
      <c r="I4" s="20"/>
      <c r="J4" s="20"/>
      <c r="K4" s="20"/>
      <c r="L4" s="20"/>
      <c r="M4" s="378"/>
      <c r="N4" s="342"/>
      <c r="O4" s="342"/>
      <c r="P4" s="342"/>
      <c r="Q4" s="342"/>
      <c r="R4" s="342"/>
    </row>
    <row r="5" spans="1:18" ht="21.95" customHeight="1" x14ac:dyDescent="0.35">
      <c r="A5" s="23"/>
      <c r="B5" s="372" t="str">
        <f>'Govt Funds Bal Sh Exh 3'!C7</f>
        <v>Owl - Doceo</v>
      </c>
      <c r="C5" s="372"/>
      <c r="D5" s="372"/>
      <c r="E5" s="372"/>
      <c r="F5" s="372"/>
      <c r="G5" s="372"/>
      <c r="H5" s="20"/>
      <c r="I5" s="20"/>
      <c r="J5" s="20"/>
      <c r="K5" s="20"/>
      <c r="L5" s="20"/>
      <c r="M5" s="20"/>
      <c r="N5" s="20"/>
      <c r="O5" s="4"/>
      <c r="P5" s="4"/>
      <c r="Q5" s="4"/>
    </row>
    <row r="6" spans="1:18" ht="18" customHeight="1" x14ac:dyDescent="0.25">
      <c r="A6" s="23"/>
      <c r="B6" s="338" t="s">
        <v>342</v>
      </c>
      <c r="C6" s="337" t="s">
        <v>343</v>
      </c>
      <c r="D6" s="337" t="s">
        <v>344</v>
      </c>
      <c r="E6" s="337" t="s">
        <v>278</v>
      </c>
      <c r="F6" s="338" t="s">
        <v>225</v>
      </c>
      <c r="G6" s="87"/>
      <c r="H6" s="20"/>
      <c r="I6" s="386" t="s">
        <v>325</v>
      </c>
      <c r="J6" s="20"/>
      <c r="K6" s="20"/>
      <c r="L6" s="20"/>
      <c r="M6" s="20"/>
      <c r="N6" s="20"/>
      <c r="O6" s="4"/>
      <c r="P6" s="4"/>
      <c r="Q6" s="4"/>
    </row>
    <row r="7" spans="1:18" ht="18" customHeight="1" x14ac:dyDescent="0.35">
      <c r="A7" s="20"/>
      <c r="B7" s="338"/>
      <c r="C7" s="337"/>
      <c r="D7" s="337"/>
      <c r="E7" s="337"/>
      <c r="F7" s="338"/>
      <c r="G7" s="26" t="s">
        <v>345</v>
      </c>
      <c r="H7" s="20"/>
      <c r="I7" s="386"/>
      <c r="J7" s="325" t="s">
        <v>391</v>
      </c>
      <c r="K7" s="20"/>
      <c r="L7" s="20"/>
      <c r="M7" s="20"/>
      <c r="N7" s="20"/>
      <c r="O7" s="4"/>
      <c r="P7" s="4"/>
      <c r="Q7" s="4"/>
    </row>
    <row r="8" spans="1:18" ht="15.75" x14ac:dyDescent="0.25">
      <c r="A8" s="28" t="s">
        <v>233</v>
      </c>
      <c r="B8" s="20"/>
      <c r="C8" s="20"/>
      <c r="D8" s="20"/>
      <c r="E8" s="20"/>
      <c r="F8" s="20"/>
      <c r="G8" s="20"/>
      <c r="H8" s="20"/>
      <c r="I8" s="30"/>
      <c r="J8" s="321"/>
      <c r="K8" s="20"/>
      <c r="L8" s="20"/>
      <c r="M8" s="20"/>
      <c r="N8" s="20"/>
      <c r="O8" s="4"/>
      <c r="P8" s="4"/>
      <c r="Q8" s="4"/>
    </row>
    <row r="9" spans="1:18" ht="15" x14ac:dyDescent="0.2">
      <c r="A9" s="36" t="s">
        <v>97</v>
      </c>
      <c r="B9" s="18">
        <f>'Govt Funds Inc Stmt Exh 4'!M9</f>
        <v>0</v>
      </c>
      <c r="C9" s="18">
        <f>'Govt Funds Inc Stmt Exh 4'!P9</f>
        <v>893380</v>
      </c>
      <c r="D9" s="18">
        <f>'Govt Funds Inc Stmt Exh 4'!S9</f>
        <v>0</v>
      </c>
      <c r="E9" s="18">
        <f>'Govt Funds Inc Stmt Exh 4'!V9</f>
        <v>0</v>
      </c>
      <c r="F9" s="18">
        <v>0</v>
      </c>
      <c r="G9" s="18">
        <f>SUM(B9:F9)</f>
        <v>893380</v>
      </c>
      <c r="H9" s="20"/>
      <c r="I9" s="146" t="str">
        <f>IF(G9-'Govt Funds Inc Stmt Exh 4'!C9=0,"Yes",G9-'Govt Funds Inc Stmt Exh 4'!C9)</f>
        <v>Yes</v>
      </c>
      <c r="J9" s="322" t="str">
        <f>IF(((ABS(B9)+ABS(C9)+ABS(D9)+ABS(E9)+ABS(F9)+ABS(G9))=0),"Hide Row?"," ")</f>
        <v xml:space="preserve"> </v>
      </c>
      <c r="K9" s="20"/>
      <c r="L9" s="20"/>
      <c r="M9" s="20"/>
      <c r="N9" s="20"/>
      <c r="O9" s="4"/>
      <c r="P9" s="4"/>
      <c r="Q9" s="4"/>
    </row>
    <row r="10" spans="1:18" ht="15" x14ac:dyDescent="0.2">
      <c r="A10" s="40" t="s">
        <v>98</v>
      </c>
      <c r="B10" s="32">
        <f>'Govt Funds Inc Stmt Exh 4'!M10</f>
        <v>405332</v>
      </c>
      <c r="C10" s="32">
        <f>'Govt Funds Inc Stmt Exh 4'!P10</f>
        <v>0</v>
      </c>
      <c r="D10" s="32">
        <f>'Govt Funds Inc Stmt Exh 4'!S10</f>
        <v>0</v>
      </c>
      <c r="E10" s="32">
        <f>'Govt Funds Inc Stmt Exh 4'!V10</f>
        <v>0</v>
      </c>
      <c r="F10" s="32">
        <v>0</v>
      </c>
      <c r="G10" s="33">
        <f>SUM(B10:F10)</f>
        <v>405332</v>
      </c>
      <c r="H10" s="20"/>
      <c r="I10" s="146" t="str">
        <f>IF(G10-'Govt Funds Inc Stmt Exh 4'!C10=0,"Yes",G10-'Govt Funds Inc Stmt Exh 4'!C10)</f>
        <v>Yes</v>
      </c>
      <c r="J10" s="322" t="str">
        <f t="shared" ref="J10:J34" si="0">IF(((ABS(B10)+ABS(C10)+ABS(D10)+ABS(E10)+ABS(F10)+ABS(G10))=0),"Hide Row?"," ")</f>
        <v xml:space="preserve"> </v>
      </c>
      <c r="K10" s="20"/>
      <c r="L10" s="20"/>
      <c r="M10" s="20"/>
      <c r="N10" s="20"/>
      <c r="O10" s="4"/>
      <c r="P10" s="4"/>
      <c r="Q10" s="4"/>
    </row>
    <row r="11" spans="1:18" ht="15" x14ac:dyDescent="0.2">
      <c r="A11" s="36" t="s">
        <v>99</v>
      </c>
      <c r="B11" s="32">
        <f>'Govt Funds Inc Stmt Exh 4'!M11</f>
        <v>0</v>
      </c>
      <c r="C11" s="32">
        <f>'Govt Funds Inc Stmt Exh 4'!P11</f>
        <v>0</v>
      </c>
      <c r="D11" s="32">
        <f>'Govt Funds Inc Stmt Exh 4'!S11</f>
        <v>71470</v>
      </c>
      <c r="E11" s="32">
        <f>'Govt Funds Inc Stmt Exh 4'!V11</f>
        <v>0</v>
      </c>
      <c r="F11" s="32">
        <v>0</v>
      </c>
      <c r="G11" s="31">
        <f>SUM(B11:F11)</f>
        <v>71470</v>
      </c>
      <c r="H11" s="20"/>
      <c r="I11" s="146" t="str">
        <f>IF(G11-'Govt Funds Inc Stmt Exh 4'!C11=0,"Yes",G11-'Govt Funds Inc Stmt Exh 4'!C11)</f>
        <v>Yes</v>
      </c>
      <c r="J11" s="322" t="str">
        <f t="shared" si="0"/>
        <v xml:space="preserve"> </v>
      </c>
      <c r="K11" s="20"/>
      <c r="L11" s="20"/>
      <c r="M11" s="20"/>
      <c r="N11" s="20"/>
      <c r="O11" s="4"/>
      <c r="P11" s="4"/>
      <c r="Q11" s="4"/>
    </row>
    <row r="12" spans="1:18" ht="15" x14ac:dyDescent="0.2">
      <c r="A12" s="36" t="s">
        <v>100</v>
      </c>
      <c r="B12" s="32">
        <f>'Govt Funds Inc Stmt Exh 4'!M12</f>
        <v>100468</v>
      </c>
      <c r="C12" s="32">
        <f>'Govt Funds Inc Stmt Exh 4'!P12</f>
        <v>0</v>
      </c>
      <c r="D12" s="32">
        <f>'Govt Funds Inc Stmt Exh 4'!S12</f>
        <v>0</v>
      </c>
      <c r="E12" s="32">
        <f>'Govt Funds Inc Stmt Exh 4'!V12</f>
        <v>0</v>
      </c>
      <c r="F12" s="32">
        <v>0</v>
      </c>
      <c r="G12" s="33">
        <f>SUM(B12:F12)</f>
        <v>100468</v>
      </c>
      <c r="H12" s="20"/>
      <c r="I12" s="146" t="str">
        <f>IF(G12-'Govt Funds Inc Stmt Exh 4'!C12=0,"Yes",G12-'Govt Funds Inc Stmt Exh 4'!C12)</f>
        <v>Yes</v>
      </c>
      <c r="J12" s="322" t="str">
        <f t="shared" si="0"/>
        <v xml:space="preserve"> </v>
      </c>
      <c r="K12" s="20"/>
      <c r="L12" s="20"/>
      <c r="M12" s="20"/>
      <c r="N12" s="20"/>
      <c r="O12" s="4"/>
      <c r="P12" s="4"/>
      <c r="Q12" s="4"/>
    </row>
    <row r="13" spans="1:18" ht="17.25" customHeight="1" x14ac:dyDescent="0.35">
      <c r="A13" s="36" t="s">
        <v>91</v>
      </c>
      <c r="B13" s="35">
        <f>'Govt Funds Inc Stmt Exh 4'!M13</f>
        <v>26822</v>
      </c>
      <c r="C13" s="35">
        <f>'Govt Funds Inc Stmt Exh 4'!P13</f>
        <v>0</v>
      </c>
      <c r="D13" s="35">
        <f>'Govt Funds Inc Stmt Exh 4'!S13</f>
        <v>0</v>
      </c>
      <c r="E13" s="35">
        <f>'Govt Funds Inc Stmt Exh 4'!V13</f>
        <v>0</v>
      </c>
      <c r="F13" s="35">
        <v>0</v>
      </c>
      <c r="G13" s="34">
        <f>SUM(B13:F13)</f>
        <v>26822</v>
      </c>
      <c r="H13" s="20"/>
      <c r="I13" s="146" t="str">
        <f>IF(G13-'Govt Funds Inc Stmt Exh 4'!C13=0,"Yes",G13-'Govt Funds Inc Stmt Exh 4'!C13)</f>
        <v>Yes</v>
      </c>
      <c r="J13" s="322" t="str">
        <f t="shared" si="0"/>
        <v xml:space="preserve"> </v>
      </c>
      <c r="K13" s="20"/>
      <c r="L13" s="20"/>
      <c r="M13" s="20"/>
      <c r="N13" s="20"/>
      <c r="O13" s="4"/>
      <c r="P13" s="4"/>
      <c r="Q13" s="4"/>
    </row>
    <row r="14" spans="1:18" ht="20.100000000000001" customHeight="1" x14ac:dyDescent="0.35">
      <c r="A14" s="73" t="s">
        <v>13</v>
      </c>
      <c r="B14" s="34">
        <f t="shared" ref="B14:G14" si="1">SUM(B9:B13)</f>
        <v>532622</v>
      </c>
      <c r="C14" s="34">
        <f t="shared" si="1"/>
        <v>893380</v>
      </c>
      <c r="D14" s="34">
        <f t="shared" si="1"/>
        <v>71470</v>
      </c>
      <c r="E14" s="34">
        <f t="shared" si="1"/>
        <v>0</v>
      </c>
      <c r="F14" s="34">
        <f t="shared" si="1"/>
        <v>0</v>
      </c>
      <c r="G14" s="34">
        <f t="shared" si="1"/>
        <v>1497472</v>
      </c>
      <c r="H14" s="20"/>
      <c r="I14" s="146" t="str">
        <f>IF(G14-'Govt Funds Inc Stmt Exh 4'!C14=0,"Yes",G14-'Govt Funds Inc Stmt Exh 4'!C14)</f>
        <v>Yes</v>
      </c>
      <c r="J14" s="322" t="str">
        <f t="shared" si="0"/>
        <v xml:space="preserve"> </v>
      </c>
      <c r="K14" s="20"/>
      <c r="L14" s="20"/>
      <c r="M14" s="20"/>
      <c r="N14" s="20"/>
      <c r="O14" s="4"/>
      <c r="P14" s="4"/>
      <c r="Q14" s="4"/>
    </row>
    <row r="15" spans="1:18" ht="21" customHeight="1" x14ac:dyDescent="0.25">
      <c r="A15" s="28" t="s">
        <v>234</v>
      </c>
      <c r="B15" s="33"/>
      <c r="C15" s="33"/>
      <c r="D15" s="33"/>
      <c r="E15" s="33"/>
      <c r="F15" s="33"/>
      <c r="G15" s="33"/>
      <c r="H15" s="20"/>
      <c r="I15" s="146"/>
      <c r="J15" s="322"/>
      <c r="K15" s="20"/>
      <c r="L15" s="20"/>
      <c r="M15" s="20"/>
      <c r="N15" s="20"/>
      <c r="O15" s="4"/>
      <c r="P15" s="4"/>
      <c r="Q15" s="4"/>
    </row>
    <row r="16" spans="1:18" ht="18" customHeight="1" x14ac:dyDescent="0.25">
      <c r="A16" s="84" t="s">
        <v>280</v>
      </c>
      <c r="B16" s="33"/>
      <c r="C16" s="33"/>
      <c r="D16" s="33"/>
      <c r="E16" s="33"/>
      <c r="F16" s="33"/>
      <c r="G16" s="33"/>
      <c r="H16" s="20"/>
      <c r="I16" s="146"/>
      <c r="J16" s="322"/>
      <c r="K16" s="20"/>
      <c r="L16" s="20"/>
      <c r="M16" s="20"/>
      <c r="N16" s="20"/>
      <c r="O16" s="4"/>
      <c r="P16" s="4"/>
      <c r="Q16" s="4"/>
    </row>
    <row r="17" spans="1:17" ht="15.75" customHeight="1" x14ac:dyDescent="0.2">
      <c r="A17" s="69" t="s">
        <v>143</v>
      </c>
      <c r="B17" s="32">
        <f>'Govt Funds Inc Stmt Exh 4'!M17</f>
        <v>356406</v>
      </c>
      <c r="C17" s="32">
        <f>'Govt Funds Inc Stmt Exh 4'!P17</f>
        <v>719640</v>
      </c>
      <c r="D17" s="32">
        <f>'Govt Funds Inc Stmt Exh 4'!S17</f>
        <v>68002</v>
      </c>
      <c r="E17" s="32">
        <f>'Govt Funds Inc Stmt Exh 4'!V17</f>
        <v>0</v>
      </c>
      <c r="F17" s="32">
        <v>0</v>
      </c>
      <c r="G17" s="33">
        <f>SUM(B17:F17)</f>
        <v>1144048</v>
      </c>
      <c r="H17" s="20"/>
      <c r="I17" s="146" t="str">
        <f>IF(G17-'Govt Funds Inc Stmt Exh 4'!C17=0,"Yes",G17-'Govt Funds Inc Stmt Exh 4'!C17)</f>
        <v>Yes</v>
      </c>
      <c r="J17" s="322" t="str">
        <f t="shared" si="0"/>
        <v xml:space="preserve"> </v>
      </c>
      <c r="K17" s="20"/>
      <c r="L17" s="20"/>
      <c r="M17" s="20"/>
      <c r="N17" s="20"/>
      <c r="O17" s="4"/>
      <c r="P17" s="4"/>
      <c r="Q17" s="4"/>
    </row>
    <row r="18" spans="1:17" ht="15.75" customHeight="1" x14ac:dyDescent="0.2">
      <c r="A18" s="69" t="s">
        <v>155</v>
      </c>
      <c r="B18" s="32">
        <f>'Govt Funds Inc Stmt Exh 4'!M18</f>
        <v>83345</v>
      </c>
      <c r="C18" s="32">
        <f>'Govt Funds Inc Stmt Exh 4'!P18</f>
        <v>173740</v>
      </c>
      <c r="D18" s="32">
        <f>'Govt Funds Inc Stmt Exh 4'!S18</f>
        <v>2376</v>
      </c>
      <c r="E18" s="32">
        <f>'Govt Funds Inc Stmt Exh 4'!V18</f>
        <v>0</v>
      </c>
      <c r="F18" s="32">
        <v>0</v>
      </c>
      <c r="G18" s="31">
        <f>SUM(B18:F18)</f>
        <v>259461</v>
      </c>
      <c r="H18" s="20"/>
      <c r="I18" s="146" t="str">
        <f>IF(G18-'Govt Funds Inc Stmt Exh 4'!C18=0,"Yes",G18-'Govt Funds Inc Stmt Exh 4'!C18)</f>
        <v>Yes</v>
      </c>
      <c r="J18" s="322" t="str">
        <f t="shared" si="0"/>
        <v xml:space="preserve"> </v>
      </c>
      <c r="K18" s="20"/>
      <c r="L18" s="20"/>
      <c r="M18" s="20"/>
      <c r="N18" s="20"/>
      <c r="O18" s="4"/>
      <c r="P18" s="4"/>
      <c r="Q18" s="4"/>
    </row>
    <row r="19" spans="1:17" ht="15.75" customHeight="1" x14ac:dyDescent="0.2">
      <c r="A19" s="69" t="s">
        <v>92</v>
      </c>
      <c r="B19" s="32">
        <f>'Govt Funds Inc Stmt Exh 4'!M19</f>
        <v>0</v>
      </c>
      <c r="C19" s="32">
        <f>'Govt Funds Inc Stmt Exh 4'!P19</f>
        <v>0</v>
      </c>
      <c r="D19" s="32">
        <f>'Govt Funds Inc Stmt Exh 4'!S19</f>
        <v>1092</v>
      </c>
      <c r="E19" s="32">
        <f>'Govt Funds Inc Stmt Exh 4'!V19</f>
        <v>0</v>
      </c>
      <c r="F19" s="32">
        <v>0</v>
      </c>
      <c r="G19" s="33">
        <f>SUM(B19:F19)</f>
        <v>1092</v>
      </c>
      <c r="H19" s="20"/>
      <c r="I19" s="146" t="str">
        <f>IF(G19-'Govt Funds Inc Stmt Exh 4'!C19=0,"Yes",G19-'Govt Funds Inc Stmt Exh 4'!C19)</f>
        <v>Yes</v>
      </c>
      <c r="J19" s="322" t="str">
        <f t="shared" si="0"/>
        <v xml:space="preserve"> </v>
      </c>
      <c r="K19" s="20"/>
      <c r="L19" s="20"/>
      <c r="M19" s="20"/>
      <c r="N19" s="20"/>
      <c r="O19" s="4"/>
      <c r="P19" s="4"/>
      <c r="Q19" s="4"/>
    </row>
    <row r="20" spans="1:17" ht="18" customHeight="1" x14ac:dyDescent="0.25">
      <c r="A20" s="84" t="s">
        <v>17</v>
      </c>
      <c r="B20" s="32">
        <f>'Govt Funds Inc Stmt Exh 4'!M20</f>
        <v>247500</v>
      </c>
      <c r="C20" s="32">
        <f>'Govt Funds Inc Stmt Exh 4'!P20</f>
        <v>0</v>
      </c>
      <c r="D20" s="32">
        <f>'Govt Funds Inc Stmt Exh 4'!S20</f>
        <v>0</v>
      </c>
      <c r="E20" s="32">
        <f>'Govt Funds Inc Stmt Exh 4'!V20</f>
        <v>0</v>
      </c>
      <c r="F20" s="32">
        <v>0</v>
      </c>
      <c r="G20" s="33">
        <f>SUM(B20:F20)</f>
        <v>247500</v>
      </c>
      <c r="H20" s="20"/>
      <c r="I20" s="146" t="str">
        <f>IF(G20-'Govt Funds Inc Stmt Exh 4'!C20=0,"Yes",G20-'Govt Funds Inc Stmt Exh 4'!C20)</f>
        <v>Yes</v>
      </c>
      <c r="J20" s="322" t="str">
        <f t="shared" si="0"/>
        <v xml:space="preserve"> </v>
      </c>
      <c r="K20" s="20"/>
      <c r="L20" s="20"/>
      <c r="M20" s="20"/>
      <c r="N20" s="20"/>
      <c r="O20" s="4"/>
      <c r="P20" s="4"/>
      <c r="Q20" s="4"/>
    </row>
    <row r="21" spans="1:17" ht="18" customHeight="1" x14ac:dyDescent="0.25">
      <c r="A21" s="84" t="s">
        <v>281</v>
      </c>
      <c r="B21" s="72"/>
      <c r="C21" s="72"/>
      <c r="D21" s="72"/>
      <c r="E21" s="72"/>
      <c r="F21" s="72"/>
      <c r="G21" s="72"/>
      <c r="H21" s="20"/>
      <c r="I21" s="146" t="str">
        <f>IF(G21-'Govt Funds Inc Stmt Exh 4'!C21=0,"Yes",G21-'Govt Funds Inc Stmt Exh 4'!C21)</f>
        <v>Yes</v>
      </c>
      <c r="J21" s="322"/>
      <c r="K21" s="20"/>
      <c r="L21" s="20"/>
      <c r="M21" s="20"/>
      <c r="N21" s="20"/>
      <c r="O21" s="4"/>
      <c r="P21" s="4"/>
      <c r="Q21" s="4"/>
    </row>
    <row r="22" spans="1:17" ht="15.75" customHeight="1" x14ac:dyDescent="0.2">
      <c r="A22" s="73" t="s">
        <v>15</v>
      </c>
      <c r="B22" s="32">
        <f>'Govt Funds Inc Stmt Exh 4'!M22</f>
        <v>57090</v>
      </c>
      <c r="C22" s="32">
        <f>'Govt Funds Inc Stmt Exh 4'!P22</f>
        <v>0</v>
      </c>
      <c r="D22" s="32">
        <f>'Govt Funds Inc Stmt Exh 4'!S22</f>
        <v>0</v>
      </c>
      <c r="E22" s="32">
        <f>'Govt Funds Inc Stmt Exh 4'!V22</f>
        <v>0</v>
      </c>
      <c r="F22" s="32">
        <v>0</v>
      </c>
      <c r="G22" s="33">
        <f>SUM(B22:F22)</f>
        <v>57090</v>
      </c>
      <c r="H22" s="20"/>
      <c r="I22" s="146" t="str">
        <f>IF(G22-'Govt Funds Inc Stmt Exh 4'!C22=0,"Yes",G22-'Govt Funds Inc Stmt Exh 4'!C22)</f>
        <v>Yes</v>
      </c>
      <c r="J22" s="322" t="str">
        <f t="shared" si="0"/>
        <v xml:space="preserve"> </v>
      </c>
      <c r="K22" s="20"/>
      <c r="L22" s="20"/>
      <c r="M22" s="20"/>
      <c r="N22" s="20"/>
      <c r="O22" s="4"/>
      <c r="P22" s="4"/>
      <c r="Q22" s="4"/>
    </row>
    <row r="23" spans="1:17" ht="17.25" customHeight="1" x14ac:dyDescent="0.35">
      <c r="A23" s="73" t="s">
        <v>16</v>
      </c>
      <c r="B23" s="35">
        <f>'Govt Funds Inc Stmt Exh 4'!M23</f>
        <v>79328</v>
      </c>
      <c r="C23" s="35">
        <f>'Govt Funds Inc Stmt Exh 4'!P22</f>
        <v>0</v>
      </c>
      <c r="D23" s="35">
        <f>'Govt Funds Inc Stmt Exh 4'!S23</f>
        <v>0</v>
      </c>
      <c r="E23" s="35">
        <f>'Govt Funds Inc Stmt Exh 4'!V23</f>
        <v>0</v>
      </c>
      <c r="F23" s="35">
        <v>0</v>
      </c>
      <c r="G23" s="34">
        <f>SUM(B23:F23)</f>
        <v>79328</v>
      </c>
      <c r="H23" s="20"/>
      <c r="I23" s="146" t="str">
        <f>IF(G23-'Govt Funds Inc Stmt Exh 4'!C23=0,"Yes",G23-'Govt Funds Inc Stmt Exh 4'!C23)</f>
        <v>Yes</v>
      </c>
      <c r="J23" s="322" t="str">
        <f t="shared" si="0"/>
        <v xml:space="preserve"> </v>
      </c>
      <c r="K23" s="20"/>
      <c r="L23" s="20"/>
      <c r="M23" s="20"/>
      <c r="N23" s="20"/>
      <c r="O23" s="4"/>
      <c r="P23" s="4"/>
      <c r="Q23" s="4"/>
    </row>
    <row r="24" spans="1:17" ht="20.100000000000001" customHeight="1" x14ac:dyDescent="0.35">
      <c r="A24" s="73" t="s">
        <v>18</v>
      </c>
      <c r="B24" s="34">
        <f t="shared" ref="B24:G24" si="2">SUM(B17:B23)</f>
        <v>823669</v>
      </c>
      <c r="C24" s="34">
        <f t="shared" si="2"/>
        <v>893380</v>
      </c>
      <c r="D24" s="34">
        <f t="shared" si="2"/>
        <v>71470</v>
      </c>
      <c r="E24" s="34">
        <f t="shared" si="2"/>
        <v>0</v>
      </c>
      <c r="F24" s="34">
        <f t="shared" si="2"/>
        <v>0</v>
      </c>
      <c r="G24" s="34">
        <f t="shared" si="2"/>
        <v>1788519</v>
      </c>
      <c r="H24" s="20"/>
      <c r="I24" s="146" t="str">
        <f>IF(G24-'Govt Funds Inc Stmt Exh 4'!C24=0,"Yes",G24-'Govt Funds Inc Stmt Exh 4'!C24)</f>
        <v>Yes</v>
      </c>
      <c r="J24" s="322" t="str">
        <f t="shared" si="0"/>
        <v xml:space="preserve"> </v>
      </c>
      <c r="K24" s="20"/>
      <c r="L24" s="20"/>
      <c r="M24" s="20"/>
      <c r="N24" s="20"/>
      <c r="O24" s="4"/>
      <c r="P24" s="4"/>
      <c r="Q24" s="4"/>
    </row>
    <row r="25" spans="1:17" ht="35.1" customHeight="1" x14ac:dyDescent="0.35">
      <c r="A25" s="74" t="s">
        <v>190</v>
      </c>
      <c r="B25" s="34">
        <f t="shared" ref="B25:G25" si="3">+B14-B24</f>
        <v>-291047</v>
      </c>
      <c r="C25" s="34">
        <f t="shared" si="3"/>
        <v>0</v>
      </c>
      <c r="D25" s="34">
        <f t="shared" si="3"/>
        <v>0</v>
      </c>
      <c r="E25" s="34">
        <f t="shared" si="3"/>
        <v>0</v>
      </c>
      <c r="F25" s="34">
        <f t="shared" si="3"/>
        <v>0</v>
      </c>
      <c r="G25" s="34">
        <f t="shared" si="3"/>
        <v>-291047</v>
      </c>
      <c r="H25" s="20"/>
      <c r="I25" s="146" t="str">
        <f>IF(G25-'Govt Funds Inc Stmt Exh 4'!C25=0,"Yes",G25-'Govt Funds Inc Stmt Exh 4'!C25)</f>
        <v>Yes</v>
      </c>
      <c r="J25" s="322" t="str">
        <f t="shared" si="0"/>
        <v xml:space="preserve"> </v>
      </c>
      <c r="K25" s="20"/>
      <c r="L25" s="20"/>
      <c r="M25" s="20"/>
      <c r="N25" s="20"/>
      <c r="O25" s="4"/>
      <c r="P25" s="4"/>
      <c r="Q25" s="4"/>
    </row>
    <row r="26" spans="1:17" ht="21" customHeight="1" x14ac:dyDescent="0.25">
      <c r="A26" s="28" t="s">
        <v>235</v>
      </c>
      <c r="B26" s="33"/>
      <c r="C26" s="33"/>
      <c r="D26" s="33"/>
      <c r="E26" s="33"/>
      <c r="F26" s="33"/>
      <c r="G26" s="33"/>
      <c r="H26" s="20"/>
      <c r="I26" s="146"/>
      <c r="J26" s="322"/>
      <c r="K26" s="20"/>
      <c r="L26" s="20"/>
      <c r="M26" s="20"/>
      <c r="N26" s="20"/>
      <c r="O26" s="4"/>
      <c r="P26" s="4"/>
      <c r="Q26" s="4"/>
    </row>
    <row r="27" spans="1:17" ht="15.75" hidden="1" customHeight="1" x14ac:dyDescent="0.2">
      <c r="A27" s="70" t="s">
        <v>83</v>
      </c>
      <c r="B27" s="32">
        <f>'Govt Funds Inc Stmt Exh 4'!M27</f>
        <v>0</v>
      </c>
      <c r="C27" s="32">
        <f>'Govt Funds Inc Stmt Exh 4'!P27</f>
        <v>0</v>
      </c>
      <c r="D27" s="32">
        <f>'Govt Funds Inc Stmt Exh 4'!S27</f>
        <v>0</v>
      </c>
      <c r="E27" s="32">
        <f>'Govt Funds Inc Stmt Exh 4'!V27</f>
        <v>0</v>
      </c>
      <c r="F27" s="32">
        <v>0</v>
      </c>
      <c r="G27" s="33">
        <f>SUM(B27:F27)</f>
        <v>0</v>
      </c>
      <c r="H27" s="20"/>
      <c r="I27" s="146" t="str">
        <f>IF(G27-'Govt Funds Inc Stmt Exh 4'!C27=0,"Yes",G27-'Govt Funds Inc Stmt Exh 4'!C27)</f>
        <v>Yes</v>
      </c>
      <c r="J27" s="322" t="str">
        <f t="shared" si="0"/>
        <v>Hide Row?</v>
      </c>
      <c r="K27" s="20"/>
      <c r="L27" s="20"/>
      <c r="M27" s="20"/>
      <c r="N27" s="20"/>
      <c r="O27" s="4"/>
      <c r="P27" s="4"/>
      <c r="Q27" s="4"/>
    </row>
    <row r="28" spans="1:17" ht="15.75" hidden="1" customHeight="1" x14ac:dyDescent="0.2">
      <c r="A28" s="70" t="s">
        <v>84</v>
      </c>
      <c r="B28" s="32">
        <f>'Govt Funds Inc Stmt Exh 4'!M28</f>
        <v>0</v>
      </c>
      <c r="C28" s="32">
        <f>'Govt Funds Inc Stmt Exh 4'!P28</f>
        <v>0</v>
      </c>
      <c r="D28" s="32">
        <f>'Govt Funds Inc Stmt Exh 4'!S28</f>
        <v>0</v>
      </c>
      <c r="E28" s="32">
        <f>'Govt Funds Inc Stmt Exh 4'!V28</f>
        <v>0</v>
      </c>
      <c r="F28" s="32">
        <v>0</v>
      </c>
      <c r="G28" s="31">
        <f>SUM(B28:F28)</f>
        <v>0</v>
      </c>
      <c r="H28" s="20"/>
      <c r="I28" s="146" t="str">
        <f>IF(G28-'Govt Funds Inc Stmt Exh 4'!C28=0,"Yes",G28-'Govt Funds Inc Stmt Exh 4'!C28)</f>
        <v>Yes</v>
      </c>
      <c r="J28" s="322" t="str">
        <f t="shared" si="0"/>
        <v>Hide Row?</v>
      </c>
      <c r="K28" s="20"/>
      <c r="L28" s="20"/>
      <c r="M28" s="20"/>
      <c r="N28" s="20"/>
      <c r="O28" s="4"/>
      <c r="P28" s="4"/>
      <c r="Q28" s="4"/>
    </row>
    <row r="29" spans="1:17" ht="15.75" customHeight="1" x14ac:dyDescent="0.2">
      <c r="A29" s="48" t="s">
        <v>148</v>
      </c>
      <c r="B29" s="32">
        <f>'Govt Funds Inc Stmt Exh 4'!M29</f>
        <v>33000</v>
      </c>
      <c r="C29" s="32">
        <f>'Govt Funds Inc Stmt Exh 4'!P29</f>
        <v>0</v>
      </c>
      <c r="D29" s="32">
        <f>'Govt Funds Inc Stmt Exh 4'!S29</f>
        <v>0</v>
      </c>
      <c r="E29" s="32">
        <f>'Govt Funds Inc Stmt Exh 4'!V29</f>
        <v>0</v>
      </c>
      <c r="F29" s="32">
        <v>0</v>
      </c>
      <c r="G29" s="33">
        <f>SUM(B29:F29)</f>
        <v>33000</v>
      </c>
      <c r="H29" s="20"/>
      <c r="I29" s="146" t="str">
        <f>IF(G29-'Govt Funds Inc Stmt Exh 4'!C29=0,"Yes",G29-'Govt Funds Inc Stmt Exh 4'!C29)</f>
        <v>Yes</v>
      </c>
      <c r="J29" s="322" t="str">
        <f t="shared" si="0"/>
        <v xml:space="preserve"> </v>
      </c>
      <c r="K29" s="20"/>
      <c r="L29" s="20"/>
      <c r="M29" s="20"/>
      <c r="N29" s="20"/>
      <c r="O29" s="4"/>
      <c r="P29" s="4"/>
      <c r="Q29" s="4"/>
    </row>
    <row r="30" spans="1:17" ht="17.25" customHeight="1" x14ac:dyDescent="0.35">
      <c r="A30" s="54" t="s">
        <v>124</v>
      </c>
      <c r="B30" s="35">
        <f>'Govt Funds Inc Stmt Exh 4'!M30</f>
        <v>214500</v>
      </c>
      <c r="C30" s="35">
        <f>'Govt Funds Inc Stmt Exh 4'!P30</f>
        <v>0</v>
      </c>
      <c r="D30" s="35">
        <f>'Govt Funds Inc Stmt Exh 4'!S30</f>
        <v>0</v>
      </c>
      <c r="E30" s="35">
        <f>'Govt Funds Inc Stmt Exh 4'!V30</f>
        <v>0</v>
      </c>
      <c r="F30" s="35">
        <v>0</v>
      </c>
      <c r="G30" s="34">
        <f>SUM(B30:F30)</f>
        <v>214500</v>
      </c>
      <c r="H30" s="20"/>
      <c r="I30" s="146" t="str">
        <f>IF(G30-'Govt Funds Inc Stmt Exh 4'!C30=0,"Yes",G30-'Govt Funds Inc Stmt Exh 4'!C30)</f>
        <v>Yes</v>
      </c>
      <c r="J30" s="322" t="str">
        <f t="shared" si="0"/>
        <v xml:space="preserve"> </v>
      </c>
      <c r="K30" s="20"/>
      <c r="L30" s="20"/>
      <c r="M30" s="20"/>
      <c r="N30" s="20"/>
      <c r="O30" s="4"/>
      <c r="P30" s="4"/>
      <c r="Q30" s="4"/>
    </row>
    <row r="31" spans="1:17" ht="20.100000000000001" customHeight="1" x14ac:dyDescent="0.35">
      <c r="A31" s="70" t="s">
        <v>222</v>
      </c>
      <c r="B31" s="34">
        <f t="shared" ref="B31:G31" si="4">SUM(B26:B30)</f>
        <v>247500</v>
      </c>
      <c r="C31" s="34">
        <f t="shared" si="4"/>
        <v>0</v>
      </c>
      <c r="D31" s="34">
        <f t="shared" si="4"/>
        <v>0</v>
      </c>
      <c r="E31" s="34">
        <f t="shared" si="4"/>
        <v>0</v>
      </c>
      <c r="F31" s="34">
        <f t="shared" si="4"/>
        <v>0</v>
      </c>
      <c r="G31" s="34">
        <f t="shared" si="4"/>
        <v>247500</v>
      </c>
      <c r="H31" s="20"/>
      <c r="I31" s="146" t="str">
        <f>IF(G31-'Govt Funds Inc Stmt Exh 4'!C31=0,"Yes",G31-'Govt Funds Inc Stmt Exh 4'!C31)</f>
        <v>Yes</v>
      </c>
      <c r="J31" s="322" t="str">
        <f t="shared" si="0"/>
        <v xml:space="preserve"> </v>
      </c>
      <c r="K31" s="20"/>
      <c r="L31" s="20"/>
      <c r="M31" s="20"/>
      <c r="N31" s="20"/>
      <c r="O31" s="4"/>
      <c r="P31" s="4"/>
      <c r="Q31" s="4"/>
    </row>
    <row r="32" spans="1:17" ht="21.95" customHeight="1" x14ac:dyDescent="0.2">
      <c r="A32" s="234" t="s">
        <v>195</v>
      </c>
      <c r="B32" s="76">
        <f t="shared" ref="B32:G32" si="5">+B25+B31</f>
        <v>-43547</v>
      </c>
      <c r="C32" s="76">
        <f t="shared" si="5"/>
        <v>0</v>
      </c>
      <c r="D32" s="76">
        <f t="shared" si="5"/>
        <v>0</v>
      </c>
      <c r="E32" s="76">
        <f t="shared" si="5"/>
        <v>0</v>
      </c>
      <c r="F32" s="76">
        <f t="shared" si="5"/>
        <v>0</v>
      </c>
      <c r="G32" s="76">
        <f t="shared" si="5"/>
        <v>-43547</v>
      </c>
      <c r="H32" s="20"/>
      <c r="I32" s="146" t="str">
        <f>IF(G32-'Govt Funds Inc Stmt Exh 4'!C32=0,"Yes",G32-'Govt Funds Inc Stmt Exh 4'!C32)</f>
        <v>Yes</v>
      </c>
      <c r="J32" s="322" t="str">
        <f t="shared" si="0"/>
        <v xml:space="preserve"> </v>
      </c>
      <c r="K32" s="20"/>
      <c r="L32" s="20"/>
      <c r="M32" s="20"/>
      <c r="N32" s="20"/>
      <c r="O32" s="4"/>
      <c r="P32" s="4"/>
      <c r="Q32" s="4"/>
    </row>
    <row r="33" spans="1:17" ht="20.100000000000001" customHeight="1" x14ac:dyDescent="0.35">
      <c r="A33" s="77" t="s">
        <v>191</v>
      </c>
      <c r="B33" s="35">
        <f>'Govt Funds Inc Stmt Exh 4'!M33</f>
        <v>150817</v>
      </c>
      <c r="C33" s="35">
        <f>'Govt Funds Inc Stmt Exh 4'!P32</f>
        <v>0</v>
      </c>
      <c r="D33" s="35">
        <f>'Govt Funds Inc Stmt Exh 4'!S33</f>
        <v>0</v>
      </c>
      <c r="E33" s="35">
        <f>'Govt Funds Inc Stmt Exh 4'!V33</f>
        <v>0</v>
      </c>
      <c r="F33" s="35">
        <v>0</v>
      </c>
      <c r="G33" s="34">
        <f>SUM(B33:F33)</f>
        <v>150817</v>
      </c>
      <c r="H33" s="20"/>
      <c r="I33" s="146" t="str">
        <f>IF(G33-'Govt Funds Inc Stmt Exh 4'!C33=0,"Yes",G33-'Govt Funds Inc Stmt Exh 4'!C33)</f>
        <v>Yes</v>
      </c>
      <c r="J33" s="322" t="str">
        <f t="shared" si="0"/>
        <v xml:space="preserve"> </v>
      </c>
      <c r="K33" s="20"/>
      <c r="L33" s="20"/>
      <c r="M33" s="20"/>
      <c r="N33" s="20"/>
      <c r="O33" s="4"/>
      <c r="P33" s="4"/>
      <c r="Q33" s="4"/>
    </row>
    <row r="34" spans="1:17" ht="21.95" customHeight="1" x14ac:dyDescent="0.35">
      <c r="A34" s="20" t="s">
        <v>194</v>
      </c>
      <c r="B34" s="37">
        <f t="shared" ref="B34:G34" si="6">+B32+B33</f>
        <v>107270</v>
      </c>
      <c r="C34" s="37">
        <f t="shared" si="6"/>
        <v>0</v>
      </c>
      <c r="D34" s="37">
        <f t="shared" si="6"/>
        <v>0</v>
      </c>
      <c r="E34" s="37">
        <f t="shared" si="6"/>
        <v>0</v>
      </c>
      <c r="F34" s="37">
        <f t="shared" si="6"/>
        <v>0</v>
      </c>
      <c r="G34" s="37">
        <f t="shared" si="6"/>
        <v>107270</v>
      </c>
      <c r="H34" s="20"/>
      <c r="I34" s="146" t="str">
        <f>IF(G34-'Govt Funds Inc Stmt Exh 4'!C34=0,"Yes",G34-'Govt Funds Inc Stmt Exh 4'!C34)</f>
        <v>Yes</v>
      </c>
      <c r="J34" s="322" t="str">
        <f t="shared" si="0"/>
        <v xml:space="preserve"> </v>
      </c>
      <c r="K34" s="20"/>
      <c r="L34" s="20"/>
      <c r="M34" s="20"/>
      <c r="N34" s="20"/>
      <c r="O34" s="4"/>
      <c r="P34" s="4"/>
      <c r="Q34" s="4"/>
    </row>
    <row r="35" spans="1:17" ht="15" x14ac:dyDescent="0.2">
      <c r="A35" s="20"/>
      <c r="B35" s="20"/>
      <c r="C35" s="20"/>
      <c r="D35" s="20"/>
      <c r="E35" s="20"/>
      <c r="F35" s="20"/>
      <c r="G35" s="20"/>
      <c r="H35" s="20"/>
      <c r="I35" s="20"/>
      <c r="J35" s="20"/>
      <c r="K35" s="20"/>
      <c r="L35" s="20"/>
      <c r="M35" s="20"/>
      <c r="N35" s="20"/>
      <c r="O35" s="4"/>
      <c r="P35" s="4"/>
      <c r="Q35" s="4"/>
    </row>
    <row r="36" spans="1:17" ht="15" x14ac:dyDescent="0.2">
      <c r="A36" s="20"/>
      <c r="B36" s="20"/>
      <c r="C36" s="20"/>
      <c r="D36" s="20"/>
      <c r="E36" s="20"/>
      <c r="F36" s="20"/>
      <c r="G36" s="20"/>
      <c r="H36" s="20"/>
      <c r="I36" s="20"/>
      <c r="J36" s="20"/>
      <c r="K36" s="20"/>
      <c r="L36" s="20"/>
      <c r="M36" s="20"/>
      <c r="N36" s="20"/>
      <c r="O36" s="4"/>
      <c r="P36" s="4"/>
      <c r="Q36" s="4"/>
    </row>
    <row r="37" spans="1:17" ht="15" x14ac:dyDescent="0.2">
      <c r="A37" s="78"/>
      <c r="B37" s="20"/>
      <c r="C37" s="20"/>
      <c r="D37" s="20"/>
      <c r="E37" s="20"/>
      <c r="F37" s="20"/>
      <c r="G37" s="20"/>
      <c r="H37" s="20"/>
      <c r="I37" s="20"/>
      <c r="J37" s="20"/>
      <c r="K37" s="20"/>
      <c r="L37" s="20"/>
      <c r="M37" s="20"/>
      <c r="N37" s="20"/>
      <c r="O37" s="4"/>
      <c r="P37" s="4"/>
      <c r="Q37" s="4"/>
    </row>
    <row r="38" spans="1:17" ht="15" x14ac:dyDescent="0.2">
      <c r="A38" s="20"/>
      <c r="B38" s="20"/>
      <c r="C38" s="20"/>
      <c r="D38" s="20"/>
      <c r="E38" s="20"/>
      <c r="F38" s="20"/>
      <c r="G38" s="20"/>
      <c r="H38" s="20"/>
      <c r="I38" s="20"/>
      <c r="J38" s="20"/>
      <c r="K38" s="20"/>
      <c r="L38" s="20"/>
      <c r="M38" s="20"/>
      <c r="N38" s="20"/>
      <c r="O38" s="4"/>
      <c r="P38" s="4"/>
      <c r="Q38" s="4"/>
    </row>
    <row r="39" spans="1:17" ht="15" x14ac:dyDescent="0.2">
      <c r="A39" s="20"/>
      <c r="B39" s="20"/>
      <c r="C39" s="20"/>
      <c r="D39" s="20"/>
      <c r="E39" s="20"/>
      <c r="F39" s="20"/>
      <c r="G39" s="20"/>
      <c r="H39" s="20"/>
      <c r="I39" s="20"/>
      <c r="J39" s="20"/>
      <c r="K39" s="20"/>
      <c r="L39" s="20"/>
      <c r="M39" s="20"/>
      <c r="N39" s="20"/>
      <c r="O39" s="4"/>
      <c r="P39" s="4"/>
      <c r="Q39" s="4"/>
    </row>
    <row r="40" spans="1:17" ht="15" x14ac:dyDescent="0.2">
      <c r="A40" s="20"/>
      <c r="B40" s="20"/>
      <c r="C40" s="20"/>
      <c r="D40" s="20"/>
      <c r="E40" s="20"/>
      <c r="F40" s="20"/>
      <c r="G40" s="20"/>
      <c r="H40" s="20"/>
      <c r="I40" s="20"/>
      <c r="J40" s="20"/>
      <c r="K40" s="20"/>
      <c r="L40" s="20"/>
      <c r="M40" s="20"/>
      <c r="N40" s="20"/>
      <c r="O40" s="4"/>
      <c r="P40" s="4"/>
      <c r="Q40" s="4"/>
    </row>
    <row r="41" spans="1:17" ht="15" x14ac:dyDescent="0.2">
      <c r="A41" s="20"/>
      <c r="B41" s="20"/>
      <c r="C41" s="20"/>
      <c r="D41" s="20"/>
      <c r="E41" s="20"/>
      <c r="F41" s="20"/>
      <c r="G41" s="20"/>
      <c r="H41" s="20"/>
      <c r="I41" s="20"/>
      <c r="J41" s="20"/>
      <c r="K41" s="20"/>
      <c r="L41" s="20"/>
      <c r="M41" s="20"/>
      <c r="N41" s="20"/>
      <c r="O41" s="4"/>
      <c r="P41" s="4"/>
      <c r="Q41" s="4"/>
    </row>
    <row r="42" spans="1:17" ht="15" x14ac:dyDescent="0.2">
      <c r="A42" s="20"/>
      <c r="B42" s="20"/>
      <c r="C42" s="20"/>
      <c r="D42" s="20"/>
      <c r="E42" s="20"/>
      <c r="F42" s="20"/>
      <c r="G42" s="20"/>
      <c r="H42" s="20"/>
      <c r="I42" s="20"/>
      <c r="J42" s="20"/>
      <c r="K42" s="20"/>
      <c r="L42" s="20"/>
      <c r="M42" s="20"/>
      <c r="N42" s="20"/>
      <c r="O42" s="4"/>
      <c r="P42" s="4"/>
      <c r="Q42" s="4"/>
    </row>
    <row r="43" spans="1:17" ht="15" x14ac:dyDescent="0.2">
      <c r="A43" s="20"/>
      <c r="B43" s="20"/>
      <c r="C43" s="20"/>
      <c r="D43" s="20"/>
      <c r="E43" s="20"/>
      <c r="F43" s="20"/>
      <c r="G43" s="20"/>
      <c r="H43" s="20"/>
      <c r="I43" s="20"/>
      <c r="J43" s="20"/>
      <c r="K43" s="20"/>
      <c r="L43" s="20"/>
      <c r="M43" s="20"/>
      <c r="N43" s="20"/>
      <c r="O43" s="4"/>
      <c r="P43" s="4"/>
      <c r="Q43" s="4"/>
    </row>
    <row r="44" spans="1:17" ht="15" x14ac:dyDescent="0.2">
      <c r="A44" s="20"/>
      <c r="B44" s="20"/>
      <c r="C44" s="20"/>
      <c r="D44" s="20"/>
      <c r="E44" s="20"/>
      <c r="F44" s="20"/>
      <c r="G44" s="20"/>
      <c r="H44" s="20"/>
      <c r="I44" s="20"/>
      <c r="J44" s="20"/>
      <c r="K44" s="20"/>
      <c r="L44" s="20"/>
      <c r="M44" s="20"/>
      <c r="N44" s="20"/>
      <c r="O44" s="4"/>
      <c r="P44" s="4"/>
      <c r="Q44" s="4"/>
    </row>
    <row r="45" spans="1:17" ht="15" x14ac:dyDescent="0.2">
      <c r="A45" s="20"/>
      <c r="B45" s="20"/>
      <c r="C45" s="20"/>
      <c r="D45" s="20"/>
      <c r="E45" s="20"/>
      <c r="F45" s="20"/>
      <c r="G45" s="20"/>
      <c r="H45" s="20"/>
      <c r="I45" s="20"/>
      <c r="J45" s="20"/>
      <c r="K45" s="20"/>
      <c r="L45" s="20"/>
      <c r="M45" s="20"/>
      <c r="N45" s="20"/>
      <c r="O45" s="4"/>
      <c r="P45" s="4"/>
      <c r="Q45" s="4"/>
    </row>
    <row r="46" spans="1:17" ht="15" x14ac:dyDescent="0.2">
      <c r="A46" s="20"/>
      <c r="B46" s="20"/>
      <c r="C46" s="20"/>
      <c r="D46" s="20"/>
      <c r="E46" s="20"/>
      <c r="F46" s="20"/>
      <c r="G46" s="20"/>
      <c r="H46" s="20"/>
      <c r="I46" s="20"/>
      <c r="J46" s="20"/>
      <c r="K46" s="20"/>
      <c r="L46" s="20"/>
      <c r="M46" s="20"/>
      <c r="N46" s="20"/>
      <c r="O46" s="4"/>
      <c r="P46" s="4"/>
      <c r="Q46" s="4"/>
    </row>
    <row r="47" spans="1:17" ht="19.5" customHeight="1" x14ac:dyDescent="0.2">
      <c r="A47" s="20" t="s">
        <v>283</v>
      </c>
      <c r="B47" s="86" t="str">
        <f>IF(B34-'Doceo Cnty etc SRF Bal Sh - SI'!B30=0,"Yes",B34-'Doceo Cnty etc SRF Bal Sh - SI'!B30)</f>
        <v>Yes</v>
      </c>
      <c r="C47" s="86" t="str">
        <f>IF(C34-'Doceo Cnty etc SRF Bal Sh - SI'!C30=0,"Yes",C34-'Doceo Cnty etc SRF Bal Sh - SI'!C30)</f>
        <v>Yes</v>
      </c>
      <c r="D47" s="86" t="str">
        <f>IF(D34-'Doceo Cnty etc SRF Bal Sh - SI'!D30=0,"Yes",D34-'Doceo Cnty etc SRF Bal Sh - SI'!D30)</f>
        <v>Yes</v>
      </c>
      <c r="E47" s="86" t="str">
        <f>IF(E34-'Doceo Cnty etc SRF Bal Sh - SI'!E30=0,"Yes",E34-'Doceo Cnty etc SRF Bal Sh - SI'!E30)</f>
        <v>Yes</v>
      </c>
      <c r="F47" s="86" t="str">
        <f>IF(F34-'Doceo Cnty etc SRF Bal Sh - SI'!F30=0,"Yes",F34-'Doceo Cnty etc SRF Bal Sh - SI'!F30)</f>
        <v>Yes</v>
      </c>
      <c r="G47" s="86" t="str">
        <f>IF(G34-'Doceo Cnty etc SRF Bal Sh - SI'!G30=0,"Yes",G34-'Doceo Cnty etc SRF Bal Sh - SI'!G30)</f>
        <v>Yes</v>
      </c>
      <c r="H47" s="20"/>
      <c r="I47" s="20"/>
      <c r="J47" s="20"/>
      <c r="K47" s="20"/>
      <c r="L47" s="20"/>
      <c r="M47" s="20"/>
      <c r="N47" s="20"/>
      <c r="O47" s="4"/>
      <c r="P47" s="4"/>
      <c r="Q47" s="4"/>
    </row>
    <row r="48" spans="1:17" ht="15" x14ac:dyDescent="0.2">
      <c r="A48" s="20"/>
      <c r="B48" s="20"/>
      <c r="C48" s="20"/>
      <c r="D48" s="20"/>
      <c r="E48" s="20"/>
      <c r="F48" s="20"/>
      <c r="G48" s="20"/>
      <c r="H48" s="20"/>
      <c r="I48" s="20"/>
      <c r="J48" s="20"/>
      <c r="K48" s="20"/>
      <c r="L48" s="20"/>
      <c r="M48" s="20"/>
      <c r="N48" s="20"/>
      <c r="O48" s="4"/>
      <c r="P48" s="4"/>
      <c r="Q48" s="4"/>
    </row>
    <row r="49" spans="1:17" ht="15" x14ac:dyDescent="0.2">
      <c r="A49" s="20"/>
      <c r="B49" s="20"/>
      <c r="C49" s="20"/>
      <c r="D49" s="20"/>
      <c r="E49" s="20"/>
      <c r="F49" s="20"/>
      <c r="G49" s="20"/>
      <c r="H49" s="20"/>
      <c r="I49" s="20"/>
      <c r="J49" s="20"/>
      <c r="K49" s="20"/>
      <c r="L49" s="20"/>
      <c r="M49" s="20"/>
      <c r="N49" s="20"/>
      <c r="O49" s="4"/>
      <c r="P49" s="4"/>
      <c r="Q49" s="4"/>
    </row>
    <row r="50" spans="1:17" ht="15" x14ac:dyDescent="0.2">
      <c r="A50" s="20"/>
      <c r="B50" s="20"/>
      <c r="C50" s="20"/>
      <c r="D50" s="20"/>
      <c r="E50" s="20"/>
      <c r="F50" s="20"/>
      <c r="G50" s="20"/>
      <c r="H50" s="20"/>
      <c r="I50" s="20"/>
      <c r="J50" s="20"/>
      <c r="K50" s="20"/>
      <c r="L50" s="20"/>
      <c r="M50" s="20"/>
      <c r="N50" s="20"/>
      <c r="O50" s="4"/>
      <c r="P50" s="4"/>
      <c r="Q50" s="4"/>
    </row>
    <row r="51" spans="1:17" ht="15" x14ac:dyDescent="0.2">
      <c r="A51" s="20"/>
      <c r="B51" s="20"/>
      <c r="C51" s="20"/>
      <c r="D51" s="20"/>
      <c r="E51" s="20"/>
      <c r="F51" s="20"/>
      <c r="G51" s="20"/>
      <c r="H51" s="20"/>
      <c r="I51" s="20"/>
      <c r="J51" s="20"/>
      <c r="K51" s="20"/>
      <c r="L51" s="20"/>
      <c r="M51" s="20"/>
      <c r="N51" s="20"/>
      <c r="O51" s="4"/>
      <c r="P51" s="4"/>
      <c r="Q51" s="4"/>
    </row>
    <row r="52" spans="1:17" ht="15" x14ac:dyDescent="0.2">
      <c r="A52" s="20"/>
      <c r="B52" s="20"/>
      <c r="C52" s="20"/>
      <c r="D52" s="20"/>
      <c r="E52" s="20"/>
      <c r="F52" s="20"/>
      <c r="G52" s="20"/>
      <c r="H52" s="20"/>
      <c r="I52" s="20"/>
      <c r="J52" s="20"/>
      <c r="K52" s="20"/>
      <c r="L52" s="20"/>
      <c r="M52" s="20"/>
      <c r="N52" s="20"/>
      <c r="O52" s="4"/>
      <c r="P52" s="4"/>
      <c r="Q52" s="4"/>
    </row>
    <row r="53" spans="1:17" ht="15" x14ac:dyDescent="0.2">
      <c r="A53" s="20"/>
      <c r="B53" s="20"/>
      <c r="C53" s="20"/>
      <c r="D53" s="20"/>
      <c r="E53" s="20"/>
      <c r="F53" s="20"/>
      <c r="G53" s="20"/>
      <c r="H53" s="20"/>
      <c r="I53" s="20"/>
      <c r="J53" s="20"/>
      <c r="K53" s="20"/>
      <c r="L53" s="20"/>
      <c r="M53" s="20"/>
      <c r="N53" s="20"/>
      <c r="O53" s="4"/>
      <c r="P53" s="4"/>
      <c r="Q53" s="4"/>
    </row>
    <row r="54" spans="1:17" ht="15" x14ac:dyDescent="0.2">
      <c r="A54" s="20"/>
      <c r="B54" s="20"/>
      <c r="C54" s="20"/>
      <c r="D54" s="20"/>
      <c r="E54" s="20"/>
      <c r="F54" s="20"/>
      <c r="G54" s="20"/>
      <c r="H54" s="20"/>
      <c r="I54" s="20"/>
      <c r="J54" s="20"/>
      <c r="K54" s="20"/>
      <c r="L54" s="20"/>
      <c r="M54" s="20"/>
      <c r="N54" s="20"/>
      <c r="O54" s="4"/>
      <c r="P54" s="4"/>
      <c r="Q54" s="4"/>
    </row>
    <row r="55" spans="1:17" ht="15" x14ac:dyDescent="0.2">
      <c r="A55" s="20"/>
      <c r="B55" s="20"/>
      <c r="C55" s="20"/>
      <c r="D55" s="20"/>
      <c r="E55" s="20"/>
      <c r="F55" s="20"/>
      <c r="G55" s="20"/>
      <c r="H55" s="20"/>
      <c r="I55" s="20"/>
      <c r="J55" s="20"/>
      <c r="K55" s="20"/>
      <c r="L55" s="20"/>
      <c r="M55" s="20"/>
      <c r="N55" s="20"/>
      <c r="O55" s="4"/>
      <c r="P55" s="4"/>
      <c r="Q55" s="4"/>
    </row>
    <row r="56" spans="1:17" ht="15" x14ac:dyDescent="0.2">
      <c r="A56" s="20"/>
      <c r="B56" s="20"/>
      <c r="C56" s="20"/>
      <c r="D56" s="20"/>
      <c r="E56" s="20"/>
      <c r="F56" s="20"/>
      <c r="G56" s="20"/>
      <c r="H56" s="20"/>
      <c r="I56" s="20"/>
      <c r="J56" s="20"/>
      <c r="K56" s="20"/>
      <c r="L56" s="20"/>
      <c r="M56" s="20"/>
      <c r="N56" s="20"/>
      <c r="O56" s="4"/>
      <c r="P56" s="4"/>
      <c r="Q56" s="4"/>
    </row>
    <row r="57" spans="1:17" ht="15" x14ac:dyDescent="0.2">
      <c r="A57" s="20"/>
      <c r="B57" s="20"/>
      <c r="C57" s="20"/>
      <c r="D57" s="20"/>
      <c r="E57" s="20"/>
      <c r="F57" s="20"/>
      <c r="G57" s="20"/>
      <c r="H57" s="20"/>
      <c r="I57" s="20"/>
      <c r="J57" s="20"/>
      <c r="K57" s="20"/>
      <c r="L57" s="20"/>
      <c r="M57" s="20"/>
      <c r="N57" s="20"/>
      <c r="O57" s="4"/>
      <c r="P57" s="4"/>
      <c r="Q57" s="4"/>
    </row>
    <row r="58" spans="1:17" ht="15" x14ac:dyDescent="0.2">
      <c r="A58" s="20"/>
      <c r="B58" s="20"/>
      <c r="C58" s="20"/>
      <c r="D58" s="20"/>
      <c r="E58" s="20"/>
      <c r="F58" s="20"/>
      <c r="G58" s="20"/>
      <c r="H58" s="20"/>
      <c r="I58" s="20"/>
      <c r="J58" s="20"/>
      <c r="K58" s="20"/>
      <c r="L58" s="20"/>
      <c r="M58" s="20"/>
      <c r="N58" s="20"/>
      <c r="O58" s="4"/>
      <c r="P58" s="4"/>
      <c r="Q58" s="4"/>
    </row>
    <row r="59" spans="1:17" ht="15" x14ac:dyDescent="0.2">
      <c r="A59" s="20"/>
      <c r="B59" s="20"/>
      <c r="C59" s="20"/>
      <c r="D59" s="20"/>
      <c r="E59" s="20"/>
      <c r="F59" s="20"/>
      <c r="G59" s="20"/>
      <c r="H59" s="20"/>
      <c r="I59" s="20"/>
      <c r="J59" s="20"/>
      <c r="K59" s="20"/>
      <c r="L59" s="20"/>
      <c r="M59" s="20"/>
      <c r="N59" s="20"/>
      <c r="O59" s="4"/>
      <c r="P59" s="4"/>
      <c r="Q59" s="4"/>
    </row>
    <row r="60" spans="1:17" ht="15" x14ac:dyDescent="0.2">
      <c r="A60" s="20"/>
      <c r="B60" s="20"/>
      <c r="C60" s="20"/>
      <c r="D60" s="20"/>
      <c r="E60" s="20"/>
      <c r="F60" s="20"/>
      <c r="G60" s="20"/>
      <c r="H60" s="20"/>
      <c r="I60" s="20"/>
      <c r="J60" s="20"/>
      <c r="K60" s="20"/>
      <c r="L60" s="20"/>
      <c r="M60" s="20"/>
      <c r="N60" s="20"/>
      <c r="O60" s="4"/>
      <c r="P60" s="4"/>
      <c r="Q60" s="4"/>
    </row>
    <row r="61" spans="1:17" ht="15" x14ac:dyDescent="0.2">
      <c r="A61" s="20"/>
      <c r="B61" s="20"/>
      <c r="C61" s="20"/>
      <c r="D61" s="20"/>
      <c r="E61" s="20"/>
      <c r="F61" s="20"/>
      <c r="G61" s="20"/>
      <c r="H61" s="20"/>
      <c r="I61" s="20"/>
      <c r="J61" s="20"/>
      <c r="K61" s="20"/>
      <c r="L61" s="20"/>
      <c r="M61" s="20"/>
      <c r="N61" s="20"/>
      <c r="O61" s="4"/>
      <c r="P61" s="4"/>
      <c r="Q61" s="4"/>
    </row>
    <row r="62" spans="1:17" ht="15" x14ac:dyDescent="0.2">
      <c r="A62" s="20"/>
      <c r="B62" s="20"/>
      <c r="C62" s="20"/>
      <c r="D62" s="20"/>
      <c r="E62" s="20"/>
      <c r="F62" s="20"/>
      <c r="G62" s="20"/>
      <c r="H62" s="20"/>
      <c r="I62" s="20"/>
      <c r="J62" s="20"/>
      <c r="K62" s="20"/>
      <c r="L62" s="20"/>
      <c r="M62" s="20"/>
      <c r="N62" s="20"/>
      <c r="O62" s="4"/>
      <c r="P62" s="4"/>
      <c r="Q62" s="4"/>
    </row>
    <row r="63" spans="1:17" ht="15" x14ac:dyDescent="0.2">
      <c r="A63" s="20"/>
      <c r="B63" s="20"/>
      <c r="C63" s="20"/>
      <c r="D63" s="20"/>
      <c r="E63" s="20"/>
      <c r="F63" s="20"/>
      <c r="G63" s="20"/>
      <c r="H63" s="20"/>
      <c r="I63" s="20"/>
      <c r="J63" s="20"/>
      <c r="K63" s="20"/>
      <c r="L63" s="20"/>
      <c r="M63" s="20"/>
      <c r="N63" s="20"/>
      <c r="O63" s="4"/>
      <c r="P63" s="4"/>
      <c r="Q63" s="4"/>
    </row>
    <row r="64" spans="1:17" ht="15" x14ac:dyDescent="0.2">
      <c r="A64" s="20"/>
      <c r="B64" s="20"/>
      <c r="C64" s="20"/>
      <c r="D64" s="20"/>
      <c r="E64" s="20"/>
      <c r="F64" s="20"/>
      <c r="G64" s="20"/>
      <c r="H64" s="20"/>
      <c r="I64" s="20"/>
      <c r="J64" s="20"/>
      <c r="K64" s="20"/>
      <c r="L64" s="20"/>
      <c r="M64" s="20"/>
      <c r="N64" s="20"/>
      <c r="O64" s="4"/>
      <c r="P64" s="4"/>
      <c r="Q64" s="4"/>
    </row>
    <row r="65" spans="1:17" ht="15" x14ac:dyDescent="0.2">
      <c r="A65" s="20"/>
      <c r="B65" s="20"/>
      <c r="C65" s="20"/>
      <c r="D65" s="20"/>
      <c r="E65" s="20"/>
      <c r="F65" s="20"/>
      <c r="G65" s="20"/>
      <c r="H65" s="20"/>
      <c r="I65" s="20"/>
      <c r="J65" s="20"/>
      <c r="K65" s="20"/>
      <c r="L65" s="20"/>
      <c r="M65" s="20"/>
      <c r="N65" s="20"/>
      <c r="O65" s="4"/>
      <c r="P65" s="4"/>
      <c r="Q65" s="4"/>
    </row>
    <row r="66" spans="1:17" ht="15" x14ac:dyDescent="0.2">
      <c r="A66" s="20"/>
      <c r="B66" s="20"/>
      <c r="C66" s="20"/>
      <c r="D66" s="20"/>
      <c r="E66" s="20"/>
      <c r="F66" s="20"/>
      <c r="G66" s="20"/>
      <c r="H66" s="20"/>
      <c r="I66" s="20"/>
      <c r="J66" s="20"/>
      <c r="K66" s="20"/>
      <c r="L66" s="20"/>
      <c r="M66" s="20"/>
      <c r="N66" s="20"/>
      <c r="O66" s="4"/>
      <c r="P66" s="4"/>
      <c r="Q66" s="4"/>
    </row>
    <row r="67" spans="1:17" ht="15" x14ac:dyDescent="0.2">
      <c r="A67" s="20"/>
      <c r="B67" s="20"/>
      <c r="C67" s="20"/>
      <c r="D67" s="20"/>
      <c r="E67" s="20"/>
      <c r="F67" s="20"/>
      <c r="G67" s="20"/>
      <c r="H67" s="20"/>
      <c r="I67" s="20"/>
      <c r="J67" s="20"/>
      <c r="K67" s="20"/>
      <c r="L67" s="20"/>
      <c r="M67" s="20"/>
      <c r="N67" s="20"/>
      <c r="O67" s="4"/>
      <c r="P67" s="4"/>
      <c r="Q67" s="4"/>
    </row>
    <row r="68" spans="1:17" ht="15" x14ac:dyDescent="0.2">
      <c r="A68" s="20"/>
      <c r="B68" s="20"/>
      <c r="C68" s="20"/>
      <c r="D68" s="20"/>
      <c r="E68" s="20"/>
      <c r="F68" s="20"/>
      <c r="G68" s="20"/>
      <c r="H68" s="20"/>
      <c r="I68" s="20"/>
      <c r="J68" s="20"/>
      <c r="K68" s="20"/>
      <c r="L68" s="20"/>
      <c r="M68" s="20"/>
      <c r="N68" s="20"/>
      <c r="O68" s="4"/>
      <c r="P68" s="4"/>
      <c r="Q68" s="4"/>
    </row>
    <row r="69" spans="1:17" ht="15" x14ac:dyDescent="0.2">
      <c r="A69" s="20"/>
      <c r="B69" s="20"/>
      <c r="C69" s="20"/>
      <c r="D69" s="20"/>
      <c r="E69" s="20"/>
      <c r="F69" s="20"/>
      <c r="G69" s="20"/>
      <c r="H69" s="20"/>
      <c r="I69" s="20"/>
      <c r="J69" s="20"/>
      <c r="K69" s="20"/>
      <c r="L69" s="20"/>
      <c r="M69" s="20"/>
      <c r="N69" s="20"/>
      <c r="O69" s="4"/>
      <c r="P69" s="4"/>
      <c r="Q69" s="4"/>
    </row>
    <row r="70" spans="1:17" ht="15" x14ac:dyDescent="0.2">
      <c r="A70" s="20"/>
      <c r="B70" s="20"/>
      <c r="C70" s="20"/>
      <c r="D70" s="20"/>
      <c r="E70" s="20"/>
      <c r="F70" s="20"/>
      <c r="G70" s="20"/>
      <c r="H70" s="20"/>
      <c r="I70" s="20"/>
      <c r="J70" s="20"/>
      <c r="K70" s="20"/>
      <c r="L70" s="20"/>
      <c r="M70" s="20"/>
      <c r="N70" s="20"/>
      <c r="O70" s="4"/>
      <c r="P70" s="4"/>
      <c r="Q70" s="4"/>
    </row>
    <row r="71" spans="1:17" x14ac:dyDescent="0.2">
      <c r="A71" s="4"/>
      <c r="B71" s="4"/>
      <c r="C71" s="4"/>
      <c r="D71" s="4"/>
      <c r="E71" s="4"/>
      <c r="F71" s="4"/>
      <c r="G71" s="4"/>
      <c r="H71" s="4"/>
      <c r="I71" s="4"/>
      <c r="J71" s="4"/>
      <c r="K71" s="4"/>
      <c r="L71" s="4"/>
      <c r="M71" s="4"/>
      <c r="N71" s="4"/>
      <c r="O71" s="4"/>
      <c r="P71" s="4"/>
      <c r="Q71" s="4"/>
    </row>
    <row r="72" spans="1:17" x14ac:dyDescent="0.2">
      <c r="A72" s="4"/>
      <c r="B72" s="4"/>
      <c r="C72" s="4"/>
      <c r="D72" s="4"/>
      <c r="E72" s="4"/>
      <c r="F72" s="4"/>
      <c r="G72" s="4"/>
      <c r="H72" s="4"/>
      <c r="I72" s="4"/>
      <c r="J72" s="4"/>
      <c r="K72" s="4"/>
      <c r="L72" s="4"/>
      <c r="M72" s="4"/>
      <c r="N72" s="4"/>
      <c r="O72" s="4"/>
      <c r="P72" s="4"/>
      <c r="Q72" s="4"/>
    </row>
    <row r="73" spans="1:17" x14ac:dyDescent="0.2">
      <c r="A73" s="4"/>
      <c r="B73" s="4"/>
      <c r="C73" s="4"/>
      <c r="D73" s="4"/>
      <c r="E73" s="4"/>
      <c r="F73" s="4"/>
      <c r="G73" s="4"/>
      <c r="H73" s="4"/>
      <c r="I73" s="4"/>
      <c r="J73" s="4"/>
      <c r="K73" s="4"/>
      <c r="L73" s="4"/>
      <c r="M73" s="4"/>
      <c r="N73" s="4"/>
      <c r="O73" s="4"/>
      <c r="P73" s="4"/>
      <c r="Q73" s="4"/>
    </row>
    <row r="74" spans="1:17" x14ac:dyDescent="0.2">
      <c r="A74" s="4"/>
      <c r="B74" s="4"/>
      <c r="C74" s="4"/>
      <c r="D74" s="4"/>
      <c r="E74" s="4"/>
      <c r="F74" s="4"/>
      <c r="G74" s="4"/>
      <c r="H74" s="4"/>
      <c r="I74" s="4"/>
      <c r="J74" s="4"/>
      <c r="K74" s="4"/>
      <c r="L74" s="4"/>
      <c r="M74" s="4"/>
      <c r="N74" s="4"/>
      <c r="O74" s="4"/>
      <c r="P74" s="4"/>
      <c r="Q74" s="4"/>
    </row>
    <row r="75" spans="1:17" x14ac:dyDescent="0.2">
      <c r="A75" s="4"/>
      <c r="B75" s="4"/>
      <c r="C75" s="4"/>
      <c r="D75" s="4"/>
      <c r="E75" s="4"/>
      <c r="F75" s="4"/>
      <c r="G75" s="4"/>
      <c r="H75" s="4"/>
      <c r="I75" s="4"/>
      <c r="J75" s="4"/>
      <c r="K75" s="4"/>
      <c r="L75" s="4"/>
      <c r="M75" s="4"/>
      <c r="N75" s="4"/>
      <c r="O75" s="4"/>
      <c r="P75" s="4"/>
      <c r="Q75" s="4"/>
    </row>
    <row r="76" spans="1:17" x14ac:dyDescent="0.2">
      <c r="A76" s="4"/>
      <c r="B76" s="4"/>
      <c r="C76" s="4"/>
      <c r="D76" s="4"/>
      <c r="E76" s="4"/>
      <c r="F76" s="4"/>
      <c r="G76" s="4"/>
      <c r="H76" s="4"/>
      <c r="I76" s="4"/>
      <c r="J76" s="4"/>
      <c r="K76" s="4"/>
      <c r="L76" s="4"/>
      <c r="M76" s="4"/>
      <c r="N76" s="4"/>
      <c r="O76" s="4"/>
      <c r="P76" s="4"/>
      <c r="Q76" s="4"/>
    </row>
    <row r="77" spans="1:17" x14ac:dyDescent="0.2">
      <c r="A77" s="4"/>
      <c r="B77" s="4"/>
      <c r="C77" s="4"/>
      <c r="D77" s="4"/>
      <c r="E77" s="4"/>
      <c r="F77" s="4"/>
      <c r="G77" s="4"/>
      <c r="H77" s="4"/>
      <c r="I77" s="4"/>
      <c r="J77" s="4"/>
      <c r="K77" s="4"/>
      <c r="L77" s="4"/>
      <c r="M77" s="4"/>
      <c r="N77" s="4"/>
      <c r="O77" s="4"/>
      <c r="P77" s="4"/>
      <c r="Q77" s="4"/>
    </row>
    <row r="78" spans="1:17" x14ac:dyDescent="0.2">
      <c r="A78" s="4"/>
      <c r="B78" s="4"/>
      <c r="C78" s="4"/>
      <c r="D78" s="4"/>
      <c r="E78" s="4"/>
      <c r="F78" s="4"/>
      <c r="G78" s="4"/>
      <c r="H78" s="4"/>
      <c r="I78" s="4"/>
      <c r="J78" s="4"/>
      <c r="K78" s="4"/>
      <c r="L78" s="4"/>
      <c r="M78" s="4"/>
      <c r="N78" s="4"/>
      <c r="O78" s="4"/>
      <c r="P78" s="4"/>
      <c r="Q78" s="4"/>
    </row>
    <row r="79" spans="1:17" x14ac:dyDescent="0.2">
      <c r="A79" s="4"/>
      <c r="B79" s="4"/>
      <c r="C79" s="4"/>
      <c r="D79" s="4"/>
      <c r="E79" s="4"/>
      <c r="F79" s="4"/>
      <c r="G79" s="4"/>
      <c r="H79" s="4"/>
      <c r="I79" s="4"/>
      <c r="J79" s="4"/>
      <c r="K79" s="4"/>
      <c r="L79" s="4"/>
      <c r="M79" s="4"/>
      <c r="N79" s="4"/>
      <c r="O79" s="4"/>
      <c r="P79" s="4"/>
      <c r="Q79" s="4"/>
    </row>
    <row r="80" spans="1:17" x14ac:dyDescent="0.2">
      <c r="A80" s="4"/>
      <c r="B80" s="4"/>
      <c r="C80" s="4"/>
      <c r="D80" s="4"/>
      <c r="E80" s="4"/>
      <c r="F80" s="4"/>
      <c r="G80" s="4"/>
      <c r="H80" s="4"/>
      <c r="I80" s="4"/>
      <c r="J80" s="4"/>
      <c r="K80" s="4"/>
      <c r="L80" s="4"/>
      <c r="M80" s="4"/>
      <c r="N80" s="4"/>
      <c r="O80" s="4"/>
      <c r="P80" s="4"/>
      <c r="Q80" s="4"/>
    </row>
    <row r="81" spans="1:17" x14ac:dyDescent="0.2">
      <c r="A81" s="4"/>
      <c r="B81" s="4"/>
      <c r="C81" s="4"/>
      <c r="D81" s="4"/>
      <c r="E81" s="4"/>
      <c r="F81" s="4"/>
      <c r="G81" s="4"/>
      <c r="H81" s="4"/>
      <c r="I81" s="4"/>
      <c r="J81" s="4"/>
      <c r="K81" s="4"/>
      <c r="L81" s="4"/>
      <c r="M81" s="4"/>
      <c r="N81" s="4"/>
      <c r="O81" s="4"/>
      <c r="P81" s="4"/>
      <c r="Q81" s="4"/>
    </row>
    <row r="82" spans="1:17" x14ac:dyDescent="0.2">
      <c r="A82" s="4"/>
      <c r="B82" s="4"/>
      <c r="C82" s="4"/>
      <c r="D82" s="4"/>
      <c r="E82" s="4"/>
      <c r="F82" s="4"/>
      <c r="G82" s="4"/>
      <c r="H82" s="4"/>
      <c r="I82" s="4"/>
      <c r="J82" s="4"/>
      <c r="K82" s="4"/>
      <c r="L82" s="4"/>
      <c r="M82" s="4"/>
      <c r="N82" s="4"/>
      <c r="O82" s="4"/>
      <c r="P82" s="4"/>
      <c r="Q82" s="4"/>
    </row>
    <row r="83" spans="1:17" x14ac:dyDescent="0.2">
      <c r="A83" s="4"/>
      <c r="B83" s="4"/>
      <c r="C83" s="4"/>
      <c r="D83" s="4"/>
      <c r="E83" s="4"/>
      <c r="F83" s="4"/>
      <c r="G83" s="4"/>
      <c r="H83" s="4"/>
      <c r="I83" s="4"/>
      <c r="J83" s="4"/>
      <c r="K83" s="4"/>
      <c r="L83" s="4"/>
      <c r="M83" s="4"/>
      <c r="N83" s="4"/>
      <c r="O83" s="4"/>
      <c r="P83" s="4"/>
      <c r="Q83" s="4"/>
    </row>
    <row r="84" spans="1:17" x14ac:dyDescent="0.2">
      <c r="A84" s="4"/>
      <c r="B84" s="4"/>
      <c r="C84" s="4"/>
      <c r="D84" s="4"/>
      <c r="E84" s="4"/>
      <c r="F84" s="4"/>
      <c r="G84" s="4"/>
      <c r="H84" s="4"/>
      <c r="I84" s="4"/>
      <c r="J84" s="4"/>
      <c r="K84" s="4"/>
      <c r="L84" s="4"/>
      <c r="M84" s="4"/>
      <c r="N84" s="4"/>
      <c r="O84" s="4"/>
      <c r="P84" s="4"/>
      <c r="Q84" s="4"/>
    </row>
    <row r="85" spans="1:17" x14ac:dyDescent="0.2">
      <c r="A85" s="4"/>
      <c r="B85" s="4"/>
      <c r="C85" s="4"/>
      <c r="D85" s="4"/>
      <c r="E85" s="4"/>
      <c r="F85" s="4"/>
      <c r="G85" s="4"/>
      <c r="H85" s="4"/>
      <c r="I85" s="4"/>
      <c r="J85" s="4"/>
      <c r="K85" s="4"/>
      <c r="L85" s="4"/>
      <c r="M85" s="4"/>
      <c r="N85" s="4"/>
      <c r="O85" s="4"/>
      <c r="P85" s="4"/>
      <c r="Q85" s="4"/>
    </row>
    <row r="86" spans="1:17" x14ac:dyDescent="0.2">
      <c r="A86" s="4"/>
      <c r="B86" s="4"/>
      <c r="C86" s="4"/>
      <c r="D86" s="4"/>
      <c r="E86" s="4"/>
      <c r="F86" s="4"/>
      <c r="G86" s="4"/>
      <c r="H86" s="4"/>
      <c r="I86" s="4"/>
      <c r="J86" s="4"/>
      <c r="K86" s="4"/>
      <c r="L86" s="4"/>
      <c r="M86" s="4"/>
      <c r="N86" s="4"/>
      <c r="O86" s="4"/>
      <c r="P86" s="4"/>
      <c r="Q86" s="4"/>
    </row>
    <row r="87" spans="1:17" x14ac:dyDescent="0.2">
      <c r="A87" s="4"/>
      <c r="B87" s="4"/>
      <c r="C87" s="4"/>
      <c r="D87" s="4"/>
      <c r="E87" s="4"/>
      <c r="F87" s="4"/>
      <c r="G87" s="4"/>
      <c r="H87" s="4"/>
      <c r="I87" s="4"/>
      <c r="J87" s="4"/>
      <c r="K87" s="4"/>
      <c r="L87" s="4"/>
      <c r="M87" s="4"/>
      <c r="N87" s="4"/>
      <c r="O87" s="4"/>
      <c r="P87" s="4"/>
      <c r="Q87" s="4"/>
    </row>
    <row r="88" spans="1:17" x14ac:dyDescent="0.2">
      <c r="A88" s="4"/>
      <c r="B88" s="4"/>
      <c r="C88" s="4"/>
      <c r="D88" s="4"/>
      <c r="E88" s="4"/>
      <c r="F88" s="4"/>
      <c r="G88" s="4"/>
      <c r="H88" s="4"/>
      <c r="I88" s="4"/>
      <c r="J88" s="4"/>
      <c r="K88" s="4"/>
      <c r="L88" s="4"/>
      <c r="M88" s="4"/>
      <c r="N88" s="4"/>
      <c r="O88" s="4"/>
      <c r="P88" s="4"/>
      <c r="Q88" s="4"/>
    </row>
    <row r="89" spans="1:17" x14ac:dyDescent="0.2">
      <c r="A89" s="4"/>
      <c r="B89" s="4"/>
      <c r="C89" s="4"/>
      <c r="D89" s="4"/>
      <c r="E89" s="4"/>
      <c r="F89" s="4"/>
      <c r="G89" s="4"/>
      <c r="H89" s="4"/>
      <c r="I89" s="4"/>
      <c r="J89" s="4"/>
      <c r="K89" s="4"/>
      <c r="L89" s="4"/>
      <c r="M89" s="4"/>
      <c r="N89" s="4"/>
      <c r="O89" s="4"/>
      <c r="P89" s="4"/>
      <c r="Q89" s="4"/>
    </row>
    <row r="90" spans="1:17" x14ac:dyDescent="0.2">
      <c r="A90" s="4"/>
      <c r="B90" s="4"/>
      <c r="C90" s="4"/>
      <c r="D90" s="4"/>
      <c r="E90" s="4"/>
      <c r="F90" s="4"/>
      <c r="G90" s="4"/>
      <c r="H90" s="4"/>
      <c r="I90" s="4"/>
      <c r="J90" s="4"/>
      <c r="K90" s="4"/>
      <c r="L90" s="4"/>
      <c r="M90" s="4"/>
      <c r="N90" s="4"/>
      <c r="O90" s="4"/>
      <c r="P90" s="4"/>
      <c r="Q90" s="4"/>
    </row>
    <row r="91" spans="1:17" x14ac:dyDescent="0.2">
      <c r="A91" s="4"/>
      <c r="B91" s="4"/>
      <c r="C91" s="4"/>
      <c r="D91" s="4"/>
      <c r="E91" s="4"/>
      <c r="F91" s="4"/>
      <c r="G91" s="4"/>
      <c r="H91" s="4"/>
      <c r="I91" s="4"/>
      <c r="J91" s="4"/>
      <c r="K91" s="4"/>
      <c r="L91" s="4"/>
      <c r="M91" s="4"/>
      <c r="N91" s="4"/>
      <c r="O91" s="4"/>
      <c r="P91" s="4"/>
      <c r="Q91" s="4"/>
    </row>
    <row r="92" spans="1:17" x14ac:dyDescent="0.2">
      <c r="A92" s="4"/>
      <c r="B92" s="4"/>
      <c r="C92" s="4"/>
      <c r="D92" s="4"/>
      <c r="E92" s="4"/>
      <c r="F92" s="4"/>
      <c r="G92" s="4"/>
      <c r="H92" s="4"/>
      <c r="I92" s="4"/>
      <c r="J92" s="4"/>
      <c r="K92" s="4"/>
      <c r="L92" s="4"/>
      <c r="M92" s="4"/>
      <c r="N92" s="4"/>
      <c r="O92" s="4"/>
      <c r="P92" s="4"/>
      <c r="Q92" s="4"/>
    </row>
    <row r="93" spans="1:17" x14ac:dyDescent="0.2">
      <c r="A93" s="4"/>
      <c r="B93" s="4"/>
      <c r="C93" s="4"/>
      <c r="D93" s="4"/>
      <c r="E93" s="4"/>
      <c r="F93" s="4"/>
      <c r="G93" s="4"/>
      <c r="H93" s="4"/>
      <c r="I93" s="4"/>
      <c r="J93" s="4"/>
      <c r="K93" s="4"/>
      <c r="L93" s="4"/>
      <c r="M93" s="4"/>
      <c r="N93" s="4"/>
      <c r="O93" s="4"/>
      <c r="P93" s="4"/>
      <c r="Q93" s="4"/>
    </row>
    <row r="94" spans="1:17" x14ac:dyDescent="0.2">
      <c r="A94" s="4"/>
      <c r="B94" s="4"/>
      <c r="C94" s="4"/>
      <c r="D94" s="4"/>
      <c r="E94" s="4"/>
      <c r="F94" s="4"/>
      <c r="G94" s="4"/>
      <c r="H94" s="4"/>
      <c r="I94" s="4"/>
      <c r="J94" s="4"/>
      <c r="K94" s="4"/>
      <c r="L94" s="4"/>
      <c r="M94" s="4"/>
      <c r="N94" s="4"/>
      <c r="O94" s="4"/>
      <c r="P94" s="4"/>
      <c r="Q94" s="4"/>
    </row>
    <row r="95" spans="1:17" x14ac:dyDescent="0.2">
      <c r="A95" s="4"/>
      <c r="B95" s="4"/>
      <c r="C95" s="4"/>
      <c r="D95" s="4"/>
      <c r="E95" s="4"/>
      <c r="F95" s="4"/>
      <c r="G95" s="4"/>
      <c r="H95" s="4"/>
      <c r="I95" s="4"/>
      <c r="J95" s="4"/>
      <c r="K95" s="4"/>
      <c r="L95" s="4"/>
      <c r="M95" s="4"/>
      <c r="N95" s="4"/>
      <c r="O95" s="4"/>
      <c r="P95" s="4"/>
      <c r="Q95" s="4"/>
    </row>
    <row r="96" spans="1:17" x14ac:dyDescent="0.2">
      <c r="A96" s="4"/>
      <c r="B96" s="4"/>
      <c r="C96" s="4"/>
      <c r="D96" s="4"/>
      <c r="E96" s="4"/>
      <c r="F96" s="4"/>
      <c r="G96" s="4"/>
      <c r="H96" s="4"/>
      <c r="I96" s="4"/>
      <c r="J96" s="4"/>
      <c r="K96" s="4"/>
      <c r="L96" s="4"/>
      <c r="M96" s="4"/>
      <c r="N96" s="4"/>
      <c r="O96" s="4"/>
      <c r="P96" s="4"/>
      <c r="Q96" s="4"/>
    </row>
    <row r="97" spans="1:17" x14ac:dyDescent="0.2">
      <c r="A97" s="4"/>
      <c r="B97" s="4"/>
      <c r="C97" s="4"/>
      <c r="D97" s="4"/>
      <c r="E97" s="4"/>
      <c r="F97" s="4"/>
      <c r="G97" s="4"/>
      <c r="H97" s="4"/>
      <c r="I97" s="4"/>
      <c r="J97" s="4"/>
      <c r="K97" s="4"/>
      <c r="L97" s="4"/>
      <c r="M97" s="4"/>
      <c r="N97" s="4"/>
      <c r="O97" s="4"/>
      <c r="P97" s="4"/>
      <c r="Q97" s="4"/>
    </row>
    <row r="98" spans="1:17" x14ac:dyDescent="0.2">
      <c r="A98" s="4"/>
      <c r="B98" s="4"/>
      <c r="C98" s="4"/>
      <c r="D98" s="4"/>
      <c r="E98" s="4"/>
      <c r="F98" s="4"/>
      <c r="G98" s="4"/>
      <c r="H98" s="4"/>
      <c r="I98" s="4"/>
      <c r="J98" s="4"/>
      <c r="K98" s="4"/>
      <c r="L98" s="4"/>
      <c r="M98" s="4"/>
      <c r="N98" s="4"/>
      <c r="O98" s="4"/>
      <c r="P98" s="4"/>
      <c r="Q98" s="4"/>
    </row>
    <row r="99" spans="1:17" x14ac:dyDescent="0.2">
      <c r="A99" s="4"/>
      <c r="B99" s="4"/>
      <c r="C99" s="4"/>
      <c r="D99" s="4"/>
      <c r="E99" s="4"/>
      <c r="F99" s="4"/>
      <c r="G99" s="4"/>
      <c r="H99" s="4"/>
      <c r="I99" s="4"/>
      <c r="J99" s="4"/>
      <c r="K99" s="4"/>
      <c r="L99" s="4"/>
      <c r="M99" s="4"/>
      <c r="N99" s="4"/>
      <c r="O99" s="4"/>
      <c r="P99" s="4"/>
      <c r="Q99" s="4"/>
    </row>
    <row r="100" spans="1:17" x14ac:dyDescent="0.2">
      <c r="A100" s="4"/>
      <c r="B100" s="4"/>
      <c r="C100" s="4"/>
      <c r="D100" s="4"/>
      <c r="E100" s="4"/>
      <c r="F100" s="4"/>
      <c r="G100" s="4"/>
      <c r="H100" s="4"/>
      <c r="I100" s="4"/>
      <c r="J100" s="4"/>
      <c r="K100" s="4"/>
      <c r="L100" s="4"/>
      <c r="M100" s="4"/>
      <c r="N100" s="4"/>
      <c r="O100" s="4"/>
      <c r="P100" s="4"/>
      <c r="Q100" s="4"/>
    </row>
    <row r="101" spans="1:17" x14ac:dyDescent="0.2">
      <c r="A101" s="4"/>
      <c r="B101" s="4"/>
      <c r="C101" s="4"/>
      <c r="D101" s="4"/>
      <c r="E101" s="4"/>
      <c r="F101" s="4"/>
      <c r="G101" s="4"/>
      <c r="H101" s="4"/>
      <c r="I101" s="4"/>
      <c r="J101" s="4"/>
      <c r="K101" s="4"/>
      <c r="L101" s="4"/>
      <c r="M101" s="4"/>
      <c r="N101" s="4"/>
      <c r="O101" s="4"/>
      <c r="P101" s="4"/>
      <c r="Q101" s="4"/>
    </row>
  </sheetData>
  <mergeCells count="12">
    <mergeCell ref="A3:G3"/>
    <mergeCell ref="A1:G1"/>
    <mergeCell ref="A2:G2"/>
    <mergeCell ref="A4:G4"/>
    <mergeCell ref="B6:B7"/>
    <mergeCell ref="C6:C7"/>
    <mergeCell ref="D6:D7"/>
    <mergeCell ref="I6:I7"/>
    <mergeCell ref="M4:R4"/>
    <mergeCell ref="E6:E7"/>
    <mergeCell ref="F6:F7"/>
    <mergeCell ref="B5:G5"/>
  </mergeCells>
  <conditionalFormatting sqref="B47:G47">
    <cfRule type="cellIs" dxfId="77" priority="2" stopIfTrue="1" operator="notEqual">
      <formula>"Yes"</formula>
    </cfRule>
  </conditionalFormatting>
  <conditionalFormatting sqref="I9:I14 I17:I25 I27:I34">
    <cfRule type="cellIs" dxfId="76" priority="1" stopIfTrue="1" operator="notEqual">
      <formula>"Yes"</formula>
    </cfRule>
  </conditionalFormatting>
  <pageMargins left="0.75" right="0.75" top="0.75" bottom="0.75" header="0.5" footer="0.5"/>
  <pageSetup scale="85" orientation="portrait" r:id="rId1"/>
  <headerFooter>
    <oddHeader>&amp;R&amp;12Statement 2</oddHeader>
    <oddFooter>&amp;L&amp;12Revised:  July 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B134"/>
  <sheetViews>
    <sheetView showGridLines="0" workbookViewId="0">
      <selection activeCell="A33" sqref="A33"/>
    </sheetView>
  </sheetViews>
  <sheetFormatPr defaultRowHeight="12.75" x14ac:dyDescent="0.2"/>
  <cols>
    <col min="1" max="1" width="42.7109375" customWidth="1"/>
    <col min="2" max="3" width="16.7109375" customWidth="1"/>
    <col min="4" max="4" width="16.7109375" hidden="1" customWidth="1"/>
    <col min="5" max="6" width="16.7109375" customWidth="1"/>
    <col min="8" max="9" width="14.7109375" customWidth="1"/>
  </cols>
  <sheetData>
    <row r="1" spans="1:28" ht="15.75" x14ac:dyDescent="0.25">
      <c r="A1" s="342" t="str">
        <f>'GW Net Position Exh 1'!A1</f>
        <v>Owl Charter, Inc.</v>
      </c>
      <c r="B1" s="342"/>
      <c r="C1" s="342"/>
      <c r="D1" s="342"/>
      <c r="E1" s="342"/>
      <c r="F1" s="21"/>
      <c r="G1" s="20"/>
      <c r="H1" s="20"/>
      <c r="I1" s="20"/>
      <c r="J1" s="20"/>
      <c r="K1" s="20"/>
      <c r="L1" s="20"/>
      <c r="M1" s="20"/>
      <c r="N1" s="20"/>
      <c r="O1" s="20"/>
      <c r="P1" s="20"/>
      <c r="Q1" s="20"/>
      <c r="R1" s="20"/>
      <c r="S1" s="20"/>
      <c r="T1" s="20"/>
      <c r="U1" s="20"/>
      <c r="V1" s="20"/>
      <c r="W1" s="20"/>
      <c r="X1" s="20"/>
      <c r="Y1" s="20"/>
      <c r="Z1" s="20"/>
      <c r="AA1" s="20"/>
      <c r="AB1" s="20"/>
    </row>
    <row r="2" spans="1:28" ht="15.75" x14ac:dyDescent="0.25">
      <c r="A2" s="383" t="s">
        <v>347</v>
      </c>
      <c r="B2" s="383"/>
      <c r="C2" s="383"/>
      <c r="D2" s="383"/>
      <c r="E2" s="383"/>
      <c r="F2" s="21"/>
      <c r="G2" s="21"/>
      <c r="H2" s="20"/>
      <c r="I2" s="20"/>
      <c r="J2" s="20"/>
      <c r="K2" s="20"/>
      <c r="L2" s="20"/>
      <c r="M2" s="20"/>
      <c r="N2" s="20"/>
      <c r="O2" s="20"/>
      <c r="P2" s="20"/>
      <c r="Q2" s="20"/>
      <c r="R2" s="20"/>
      <c r="S2" s="20"/>
      <c r="T2" s="20"/>
      <c r="U2" s="20"/>
      <c r="V2" s="20"/>
      <c r="W2" s="20"/>
      <c r="X2" s="20"/>
      <c r="Y2" s="20"/>
      <c r="Z2" s="20"/>
      <c r="AA2" s="20"/>
      <c r="AB2" s="20"/>
    </row>
    <row r="3" spans="1:28" ht="15.75" hidden="1" x14ac:dyDescent="0.25">
      <c r="A3" s="342"/>
      <c r="B3" s="342"/>
      <c r="C3" s="342"/>
      <c r="D3" s="342"/>
      <c r="E3" s="342"/>
      <c r="F3" s="21"/>
      <c r="G3" s="20"/>
      <c r="H3" s="20"/>
      <c r="I3" s="20"/>
      <c r="J3" s="20"/>
      <c r="K3" s="20"/>
      <c r="L3" s="20"/>
      <c r="M3" s="20"/>
      <c r="N3" s="20"/>
      <c r="O3" s="20"/>
      <c r="P3" s="20"/>
      <c r="Q3" s="20"/>
      <c r="R3" s="20"/>
      <c r="S3" s="20"/>
      <c r="T3" s="20"/>
      <c r="U3" s="20"/>
      <c r="V3" s="20"/>
      <c r="W3" s="20"/>
      <c r="X3" s="20"/>
      <c r="Y3" s="20"/>
      <c r="Z3" s="20"/>
      <c r="AA3" s="20"/>
      <c r="AB3" s="20"/>
    </row>
    <row r="4" spans="1:28" ht="15.75" x14ac:dyDescent="0.25">
      <c r="A4" s="374" t="str">
        <f>+'GW Net Position Exh 1'!A3</f>
        <v>June 30, 2020</v>
      </c>
      <c r="B4" s="374"/>
      <c r="C4" s="374"/>
      <c r="D4" s="374"/>
      <c r="E4" s="374"/>
      <c r="F4" s="21"/>
      <c r="G4" s="20"/>
      <c r="H4" s="20"/>
      <c r="I4" s="20"/>
      <c r="J4" s="20"/>
      <c r="K4" s="20"/>
      <c r="L4" s="20"/>
      <c r="M4" s="20"/>
      <c r="N4" s="20"/>
      <c r="O4" s="20"/>
      <c r="P4" s="20"/>
      <c r="Q4" s="20"/>
      <c r="R4" s="20"/>
      <c r="S4" s="20"/>
      <c r="T4" s="20"/>
      <c r="U4" s="20"/>
      <c r="V4" s="20"/>
      <c r="W4" s="20"/>
      <c r="X4" s="20"/>
      <c r="Y4" s="20"/>
      <c r="Z4" s="20"/>
      <c r="AA4" s="20"/>
      <c r="AB4" s="20"/>
    </row>
    <row r="5" spans="1:28" ht="21.95" customHeight="1" x14ac:dyDescent="0.35">
      <c r="A5" s="20"/>
      <c r="B5" s="372" t="str">
        <f>'Govt Funds Bal Sh Exh 3'!C7</f>
        <v>Owl - Doceo</v>
      </c>
      <c r="C5" s="372"/>
      <c r="D5" s="372"/>
      <c r="E5" s="372"/>
      <c r="F5" s="25"/>
      <c r="G5" s="20"/>
      <c r="H5" s="20"/>
      <c r="I5" s="20"/>
      <c r="J5" s="20"/>
      <c r="K5" s="20"/>
      <c r="L5" s="20"/>
      <c r="M5" s="20"/>
      <c r="N5" s="20"/>
      <c r="O5" s="20"/>
      <c r="P5" s="20"/>
      <c r="Q5" s="20"/>
      <c r="R5" s="20"/>
      <c r="S5" s="20"/>
      <c r="T5" s="20"/>
      <c r="U5" s="20"/>
      <c r="V5" s="20"/>
      <c r="W5" s="20"/>
      <c r="X5" s="20"/>
      <c r="Y5" s="20"/>
      <c r="Z5" s="20"/>
      <c r="AA5" s="20"/>
      <c r="AB5" s="20"/>
    </row>
    <row r="6" spans="1:28" ht="17.25" customHeight="1" x14ac:dyDescent="0.35">
      <c r="A6" s="20"/>
      <c r="B6" s="384" t="s">
        <v>350</v>
      </c>
      <c r="C6" s="384"/>
      <c r="D6" s="384"/>
      <c r="E6" s="384"/>
      <c r="F6" s="25"/>
      <c r="G6" s="20"/>
      <c r="H6" s="20"/>
      <c r="I6" s="20"/>
      <c r="J6" s="20"/>
      <c r="K6" s="20"/>
      <c r="L6" s="20"/>
      <c r="M6" s="20"/>
      <c r="N6" s="20"/>
      <c r="O6" s="20"/>
      <c r="P6" s="20"/>
      <c r="Q6" s="20"/>
      <c r="R6" s="20"/>
      <c r="S6" s="20"/>
      <c r="T6" s="20"/>
      <c r="U6" s="20"/>
      <c r="V6" s="20"/>
      <c r="W6" s="20"/>
      <c r="X6" s="20"/>
      <c r="Y6" s="20"/>
      <c r="Z6" s="20"/>
      <c r="AA6" s="20"/>
      <c r="AB6" s="20"/>
    </row>
    <row r="7" spans="1:28" ht="36" customHeight="1" x14ac:dyDescent="0.35">
      <c r="A7" s="20"/>
      <c r="B7" s="288" t="s">
        <v>351</v>
      </c>
      <c r="C7" s="288" t="s">
        <v>408</v>
      </c>
      <c r="D7" s="288" t="s">
        <v>225</v>
      </c>
      <c r="E7" s="288" t="s">
        <v>345</v>
      </c>
      <c r="F7" s="20"/>
      <c r="G7" s="20"/>
      <c r="H7" s="320" t="s">
        <v>401</v>
      </c>
      <c r="I7" s="325" t="s">
        <v>391</v>
      </c>
      <c r="J7" s="20"/>
      <c r="K7" s="20"/>
      <c r="L7" s="20"/>
      <c r="M7" s="20"/>
      <c r="N7" s="20"/>
      <c r="O7" s="20"/>
      <c r="P7" s="20"/>
      <c r="Q7" s="20"/>
      <c r="R7" s="20"/>
      <c r="S7" s="20"/>
      <c r="T7" s="20"/>
      <c r="U7" s="20"/>
      <c r="V7" s="20"/>
      <c r="W7" s="20"/>
      <c r="X7" s="20"/>
      <c r="Y7" s="20"/>
      <c r="Z7" s="20"/>
      <c r="AA7" s="20"/>
      <c r="AB7" s="20"/>
    </row>
    <row r="8" spans="1:28" ht="17.25" x14ac:dyDescent="0.35">
      <c r="A8" s="28" t="s">
        <v>227</v>
      </c>
      <c r="B8" s="20"/>
      <c r="C8" s="20"/>
      <c r="D8" s="20"/>
      <c r="E8" s="20"/>
      <c r="F8" s="20"/>
      <c r="G8" s="20"/>
      <c r="H8" s="27"/>
      <c r="J8" s="20"/>
      <c r="K8" s="20"/>
      <c r="L8" s="20"/>
      <c r="M8" s="20"/>
      <c r="N8" s="20"/>
      <c r="O8" s="20"/>
      <c r="P8" s="20"/>
      <c r="Q8" s="20"/>
      <c r="R8" s="20"/>
      <c r="S8" s="20"/>
      <c r="T8" s="20"/>
      <c r="U8" s="20"/>
      <c r="V8" s="20"/>
      <c r="W8" s="20"/>
      <c r="X8" s="20"/>
      <c r="Y8" s="20"/>
      <c r="Z8" s="20"/>
      <c r="AA8" s="20"/>
      <c r="AB8" s="20"/>
    </row>
    <row r="9" spans="1:28" ht="15" x14ac:dyDescent="0.2">
      <c r="A9" s="30" t="s">
        <v>326</v>
      </c>
      <c r="B9" s="20"/>
      <c r="C9" s="20"/>
      <c r="D9" s="20"/>
      <c r="E9" s="20"/>
      <c r="F9" s="20"/>
      <c r="G9" s="20"/>
      <c r="H9" s="30"/>
      <c r="I9" s="321"/>
      <c r="J9" s="20"/>
      <c r="K9" s="20"/>
      <c r="L9" s="20"/>
      <c r="M9" s="20"/>
      <c r="N9" s="20"/>
      <c r="O9" s="20"/>
      <c r="P9" s="20"/>
      <c r="Q9" s="20"/>
      <c r="R9" s="20"/>
      <c r="S9" s="20"/>
      <c r="T9" s="20"/>
      <c r="U9" s="20"/>
      <c r="V9" s="20"/>
      <c r="W9" s="20"/>
      <c r="X9" s="20"/>
      <c r="Y9" s="20"/>
      <c r="Z9" s="20"/>
      <c r="AA9" s="20"/>
      <c r="AB9" s="20"/>
    </row>
    <row r="10" spans="1:28" ht="15" x14ac:dyDescent="0.2">
      <c r="A10" s="36" t="s">
        <v>1</v>
      </c>
      <c r="B10" s="138">
        <f>'Enterprise Net Position Exh 6'!K12</f>
        <v>1047</v>
      </c>
      <c r="C10" s="138">
        <f>'Enterprise Net Position Exh 6'!N12</f>
        <v>920</v>
      </c>
      <c r="D10" s="138">
        <v>0</v>
      </c>
      <c r="E10" s="29">
        <f>SUM(B10:D10)</f>
        <v>1967</v>
      </c>
      <c r="F10" s="20"/>
      <c r="G10" s="20"/>
      <c r="H10" s="146" t="str">
        <f>IF(E10-'Enterprise Net Position Exh 6'!B12=0,"Yes",E10-'Enterprise Net Position Exh 6'!B12)</f>
        <v>Yes</v>
      </c>
      <c r="I10" s="322" t="str">
        <f>IF(((ABS(B10)+ABS(C10)+ABS(D10)+ABS(E10))=0),"Hide Row?"," ")</f>
        <v xml:space="preserve"> </v>
      </c>
      <c r="J10" s="20"/>
      <c r="K10" s="20"/>
      <c r="L10" s="20"/>
      <c r="M10" s="20"/>
      <c r="N10" s="20"/>
      <c r="O10" s="20"/>
      <c r="P10" s="20"/>
      <c r="Q10" s="20"/>
      <c r="R10" s="20"/>
      <c r="S10" s="20"/>
      <c r="T10" s="20"/>
      <c r="U10" s="20"/>
      <c r="V10" s="20"/>
      <c r="W10" s="20"/>
      <c r="X10" s="20"/>
      <c r="Y10" s="20"/>
      <c r="Z10" s="20"/>
      <c r="AA10" s="20"/>
      <c r="AB10" s="20"/>
    </row>
    <row r="11" spans="1:28" ht="15" x14ac:dyDescent="0.2">
      <c r="A11" s="36" t="s">
        <v>46</v>
      </c>
      <c r="B11" s="139">
        <f>'Enterprise Net Position Exh 6'!K13</f>
        <v>3674</v>
      </c>
      <c r="C11" s="139">
        <f>'Enterprise Net Position Exh 6'!N13</f>
        <v>259</v>
      </c>
      <c r="D11" s="139">
        <v>0</v>
      </c>
      <c r="E11" s="47">
        <f>SUM(B11:D11)</f>
        <v>3933</v>
      </c>
      <c r="F11" s="20"/>
      <c r="G11" s="20"/>
      <c r="H11" s="146" t="str">
        <f>IF(E11-'Enterprise Net Position Exh 6'!B13=0,"Yes",E11-'Enterprise Net Position Exh 6'!B13)</f>
        <v>Yes</v>
      </c>
      <c r="I11" s="322" t="str">
        <f>IF(((ABS(B11)+ABS(C11)+ABS(D11)+ABS(E11))=0),"Hide Row?"," ")</f>
        <v xml:space="preserve"> </v>
      </c>
      <c r="J11" s="20"/>
      <c r="K11" s="20"/>
      <c r="L11" s="20"/>
      <c r="M11" s="20"/>
      <c r="N11" s="20"/>
      <c r="O11" s="20"/>
      <c r="P11" s="20"/>
      <c r="Q11" s="20"/>
      <c r="R11" s="20"/>
      <c r="S11" s="20"/>
      <c r="T11" s="20"/>
      <c r="U11" s="20"/>
      <c r="V11" s="20"/>
      <c r="W11" s="20"/>
      <c r="X11" s="20"/>
      <c r="Y11" s="20"/>
      <c r="Z11" s="20"/>
      <c r="AA11" s="20"/>
      <c r="AB11" s="20"/>
    </row>
    <row r="12" spans="1:28" ht="15" x14ac:dyDescent="0.2">
      <c r="A12" s="36" t="s">
        <v>88</v>
      </c>
      <c r="B12" s="139">
        <f>'Enterprise Net Position Exh 6'!K14</f>
        <v>923</v>
      </c>
      <c r="C12" s="139">
        <f>'Enterprise Net Position Exh 6'!N14</f>
        <v>840</v>
      </c>
      <c r="D12" s="139">
        <v>0</v>
      </c>
      <c r="E12" s="47">
        <f>SUM(B12:D12)</f>
        <v>1763</v>
      </c>
      <c r="F12" s="20"/>
      <c r="G12" s="20"/>
      <c r="H12" s="146" t="str">
        <f>IF(E12-'Enterprise Net Position Exh 6'!B14=0,"Yes",E12-'Enterprise Net Position Exh 6'!B14)</f>
        <v>Yes</v>
      </c>
      <c r="I12" s="322" t="str">
        <f t="shared" ref="I12:I35" si="0">IF(((ABS(B12)+ABS(C12)+ABS(D12)+ABS(E12))=0),"Hide Row?"," ")</f>
        <v xml:space="preserve"> </v>
      </c>
      <c r="J12" s="20"/>
      <c r="K12" s="20"/>
      <c r="L12" s="20"/>
      <c r="M12" s="20"/>
      <c r="N12" s="20"/>
      <c r="O12" s="20"/>
      <c r="P12" s="20"/>
      <c r="Q12" s="20"/>
      <c r="R12" s="20"/>
      <c r="S12" s="20"/>
      <c r="T12" s="20"/>
      <c r="U12" s="20"/>
      <c r="V12" s="20"/>
      <c r="W12" s="20"/>
      <c r="X12" s="20"/>
      <c r="Y12" s="20"/>
      <c r="Z12" s="20"/>
      <c r="AA12" s="20"/>
      <c r="AB12" s="20"/>
    </row>
    <row r="13" spans="1:28" ht="17.25" x14ac:dyDescent="0.35">
      <c r="A13" s="36" t="s">
        <v>2</v>
      </c>
      <c r="B13" s="140">
        <f>'Enterprise Net Position Exh 6'!K15</f>
        <v>468</v>
      </c>
      <c r="C13" s="140">
        <f>'Enterprise Net Position Exh 6'!N15</f>
        <v>74</v>
      </c>
      <c r="D13" s="140">
        <v>0</v>
      </c>
      <c r="E13" s="140">
        <f>SUM(B13:D13)</f>
        <v>542</v>
      </c>
      <c r="F13" s="20"/>
      <c r="G13" s="20"/>
      <c r="H13" s="146" t="str">
        <f>IF(E13-'Enterprise Net Position Exh 6'!B15=0,"Yes",E13-'Enterprise Net Position Exh 6'!B15)</f>
        <v>Yes</v>
      </c>
      <c r="I13" s="322" t="str">
        <f t="shared" si="0"/>
        <v xml:space="preserve"> </v>
      </c>
      <c r="J13" s="20"/>
      <c r="K13" s="20"/>
      <c r="L13" s="20"/>
      <c r="M13" s="20"/>
      <c r="N13" s="20"/>
      <c r="O13" s="20"/>
      <c r="P13" s="20"/>
      <c r="Q13" s="20"/>
      <c r="R13" s="20"/>
      <c r="S13" s="20"/>
      <c r="T13" s="20"/>
      <c r="U13" s="20"/>
      <c r="V13" s="20"/>
      <c r="W13" s="20"/>
      <c r="X13" s="20"/>
      <c r="Y13" s="20"/>
      <c r="Z13" s="20"/>
      <c r="AA13" s="20"/>
      <c r="AB13" s="20"/>
    </row>
    <row r="14" spans="1:28" ht="17.25" x14ac:dyDescent="0.35">
      <c r="A14" s="73" t="s">
        <v>21</v>
      </c>
      <c r="B14" s="34">
        <f>SUM(B10:B13)</f>
        <v>6112</v>
      </c>
      <c r="C14" s="34">
        <f>SUM(C10:C13)</f>
        <v>2093</v>
      </c>
      <c r="D14" s="34">
        <f>SUM(D10:D13)</f>
        <v>0</v>
      </c>
      <c r="E14" s="34">
        <f>SUM(E10:E13)</f>
        <v>8205</v>
      </c>
      <c r="F14" s="20"/>
      <c r="G14" s="20"/>
      <c r="H14" s="146" t="str">
        <f>IF(E14-'Enterprise Net Position Exh 6'!B16=0,"Yes",E14-'Enterprise Net Position Exh 6'!B16)</f>
        <v>Yes</v>
      </c>
      <c r="I14" s="322" t="str">
        <f t="shared" si="0"/>
        <v xml:space="preserve"> </v>
      </c>
      <c r="J14" s="20"/>
      <c r="K14" s="20"/>
      <c r="L14" s="20"/>
      <c r="M14" s="20"/>
      <c r="N14" s="20"/>
      <c r="O14" s="20"/>
      <c r="P14" s="20"/>
      <c r="Q14" s="20"/>
      <c r="R14" s="20"/>
      <c r="S14" s="20"/>
      <c r="T14" s="20"/>
      <c r="U14" s="20"/>
      <c r="V14" s="20"/>
      <c r="W14" s="20"/>
      <c r="X14" s="20"/>
      <c r="Y14" s="20"/>
      <c r="Z14" s="20"/>
      <c r="AA14" s="20"/>
      <c r="AB14" s="20"/>
    </row>
    <row r="15" spans="1:28" ht="20.100000000000001" customHeight="1" x14ac:dyDescent="0.2">
      <c r="A15" s="39" t="s">
        <v>327</v>
      </c>
      <c r="B15" s="71"/>
      <c r="C15" s="71"/>
      <c r="D15" s="71"/>
      <c r="E15" s="20"/>
      <c r="F15" s="20"/>
      <c r="G15" s="20"/>
      <c r="H15" s="20"/>
      <c r="I15" s="322"/>
      <c r="J15" s="20"/>
      <c r="K15" s="20"/>
      <c r="L15" s="20"/>
      <c r="M15" s="20"/>
      <c r="N15" s="20"/>
      <c r="O15" s="20"/>
      <c r="P15" s="20"/>
      <c r="Q15" s="20"/>
      <c r="R15" s="20"/>
      <c r="S15" s="20"/>
      <c r="T15" s="20"/>
      <c r="U15" s="20"/>
      <c r="V15" s="20"/>
      <c r="W15" s="20"/>
      <c r="X15" s="20"/>
      <c r="Y15" s="20"/>
      <c r="Z15" s="20"/>
      <c r="AA15" s="20"/>
      <c r="AB15" s="20"/>
    </row>
    <row r="16" spans="1:28" ht="15" x14ac:dyDescent="0.2">
      <c r="A16" s="70" t="s">
        <v>199</v>
      </c>
      <c r="B16" s="71"/>
      <c r="C16" s="71"/>
      <c r="D16" s="71"/>
      <c r="E16" s="20"/>
      <c r="F16" s="20"/>
      <c r="G16" s="20"/>
      <c r="H16" s="20"/>
      <c r="I16" s="322"/>
      <c r="J16" s="20"/>
      <c r="K16" s="20"/>
      <c r="L16" s="20"/>
      <c r="M16" s="20"/>
      <c r="N16" s="20"/>
      <c r="O16" s="20"/>
      <c r="P16" s="20"/>
      <c r="Q16" s="20"/>
      <c r="R16" s="20"/>
      <c r="S16" s="20"/>
      <c r="T16" s="20"/>
      <c r="U16" s="20"/>
      <c r="V16" s="20"/>
      <c r="W16" s="20"/>
      <c r="X16" s="20"/>
      <c r="Y16" s="20"/>
      <c r="Z16" s="20"/>
      <c r="AA16" s="20"/>
      <c r="AB16" s="20"/>
    </row>
    <row r="17" spans="1:28" ht="15" x14ac:dyDescent="0.2">
      <c r="A17" s="73" t="s">
        <v>200</v>
      </c>
      <c r="B17" s="139">
        <f>'Enterprise Net Position Exh 6'!K19</f>
        <v>6453</v>
      </c>
      <c r="C17" s="139">
        <f>'Enterprise Net Position Exh 6'!N19</f>
        <v>376</v>
      </c>
      <c r="D17" s="139">
        <v>0</v>
      </c>
      <c r="E17" s="47">
        <f>SUM(B17:D17)</f>
        <v>6829</v>
      </c>
      <c r="F17" s="20"/>
      <c r="G17" s="20"/>
      <c r="H17" s="146" t="str">
        <f>IF(E17-'Enterprise Net Position Exh 6'!B19=0,"Yes",E17-'Enterprise Net Position Exh 6'!B19)</f>
        <v>Yes</v>
      </c>
      <c r="I17" s="322" t="str">
        <f t="shared" si="0"/>
        <v xml:space="preserve"> </v>
      </c>
      <c r="J17" s="20"/>
      <c r="K17" s="20"/>
      <c r="L17" s="20"/>
      <c r="M17" s="20"/>
      <c r="N17" s="20"/>
      <c r="O17" s="20"/>
      <c r="P17" s="20"/>
      <c r="Q17" s="20"/>
      <c r="R17" s="20"/>
      <c r="S17" s="20"/>
      <c r="T17" s="20"/>
      <c r="U17" s="20"/>
      <c r="V17" s="20"/>
      <c r="W17" s="20"/>
      <c r="X17" s="20"/>
      <c r="Y17" s="20"/>
      <c r="Z17" s="20"/>
      <c r="AA17" s="20"/>
      <c r="AB17" s="20"/>
    </row>
    <row r="18" spans="1:28" ht="15" x14ac:dyDescent="0.2">
      <c r="A18" s="73" t="s">
        <v>150</v>
      </c>
      <c r="B18" s="139">
        <f>'Enterprise Net Position Exh 6'!K20</f>
        <v>1154</v>
      </c>
      <c r="C18" s="139">
        <f>'Enterprise Net Position Exh 6'!N20</f>
        <v>0</v>
      </c>
      <c r="D18" s="139">
        <f>'Enterprise Net Position Exh 6'!O20</f>
        <v>0</v>
      </c>
      <c r="E18" s="47">
        <f>SUM(B18:D18)</f>
        <v>1154</v>
      </c>
      <c r="F18" s="20"/>
      <c r="G18" s="20"/>
      <c r="H18" s="146" t="str">
        <f>IF(E18-'Enterprise Net Position Exh 6'!B20=0,"Yes",E18-'Enterprise Net Position Exh 6'!B20)</f>
        <v>Yes</v>
      </c>
      <c r="I18" s="322" t="str">
        <f t="shared" si="0"/>
        <v xml:space="preserve"> </v>
      </c>
      <c r="J18" s="20"/>
      <c r="K18" s="20"/>
      <c r="L18" s="20"/>
      <c r="M18" s="20"/>
      <c r="N18" s="20"/>
      <c r="O18" s="20"/>
      <c r="P18" s="20"/>
      <c r="Q18" s="20"/>
      <c r="R18" s="20"/>
      <c r="S18" s="20"/>
      <c r="T18" s="20"/>
      <c r="U18" s="20"/>
      <c r="V18" s="20"/>
      <c r="W18" s="20"/>
      <c r="X18" s="20"/>
      <c r="Y18" s="20"/>
      <c r="Z18" s="20"/>
      <c r="AA18" s="20"/>
      <c r="AB18" s="20"/>
    </row>
    <row r="19" spans="1:28" ht="17.25" x14ac:dyDescent="0.35">
      <c r="A19" s="73" t="s">
        <v>201</v>
      </c>
      <c r="B19" s="140">
        <f>'Enterprise Net Position Exh 6'!K21</f>
        <v>3134</v>
      </c>
      <c r="C19" s="140">
        <f>'Enterprise Net Position Exh 6'!N21</f>
        <v>94</v>
      </c>
      <c r="D19" s="140">
        <v>0</v>
      </c>
      <c r="E19" s="140">
        <f>SUM(B19:D19)</f>
        <v>3228</v>
      </c>
      <c r="F19" s="20"/>
      <c r="G19" s="20"/>
      <c r="H19" s="146" t="str">
        <f>IF(E19-'Enterprise Net Position Exh 6'!B21=0,"Yes",E19-'Enterprise Net Position Exh 6'!B21)</f>
        <v>Yes</v>
      </c>
      <c r="I19" s="322" t="str">
        <f t="shared" si="0"/>
        <v xml:space="preserve"> </v>
      </c>
      <c r="J19" s="20"/>
      <c r="K19" s="20"/>
      <c r="L19" s="20"/>
      <c r="M19" s="20"/>
      <c r="N19" s="20"/>
      <c r="O19" s="20"/>
      <c r="P19" s="20"/>
      <c r="Q19" s="20"/>
      <c r="R19" s="20"/>
      <c r="S19" s="20"/>
      <c r="T19" s="20"/>
      <c r="U19" s="20"/>
      <c r="V19" s="20"/>
      <c r="W19" s="20"/>
      <c r="X19" s="20"/>
      <c r="Y19" s="20"/>
      <c r="Z19" s="20"/>
      <c r="AA19" s="20"/>
      <c r="AB19" s="20"/>
    </row>
    <row r="20" spans="1:28" ht="17.25" x14ac:dyDescent="0.35">
      <c r="A20" s="100" t="s">
        <v>22</v>
      </c>
      <c r="B20" s="34">
        <f>SUM(B17:B19)</f>
        <v>10741</v>
      </c>
      <c r="C20" s="34">
        <f>SUM(C17:C19)</f>
        <v>470</v>
      </c>
      <c r="D20" s="34">
        <f>SUM(D17:D19)</f>
        <v>0</v>
      </c>
      <c r="E20" s="34">
        <f>SUM(E17:E19)</f>
        <v>11211</v>
      </c>
      <c r="F20" s="20"/>
      <c r="G20" s="20"/>
      <c r="H20" s="146" t="str">
        <f>IF(E20-'Enterprise Net Position Exh 6'!B22=0,"Yes",E20-'Enterprise Net Position Exh 6'!B22)</f>
        <v>Yes</v>
      </c>
      <c r="I20" s="322" t="str">
        <f t="shared" si="0"/>
        <v xml:space="preserve"> </v>
      </c>
      <c r="J20" s="20"/>
      <c r="K20" s="20"/>
      <c r="L20" s="20"/>
      <c r="M20" s="20"/>
      <c r="N20" s="20"/>
      <c r="O20" s="20"/>
      <c r="P20" s="20"/>
      <c r="Q20" s="20"/>
      <c r="R20" s="20"/>
      <c r="S20" s="20"/>
      <c r="T20" s="20"/>
      <c r="U20" s="20"/>
      <c r="V20" s="20"/>
      <c r="W20" s="20"/>
      <c r="X20" s="20"/>
      <c r="Y20" s="20"/>
      <c r="Z20" s="20"/>
      <c r="AA20" s="20"/>
      <c r="AB20" s="20"/>
    </row>
    <row r="21" spans="1:28" ht="17.25" x14ac:dyDescent="0.35">
      <c r="A21" s="69" t="s">
        <v>3</v>
      </c>
      <c r="B21" s="101">
        <f>+B20+B14</f>
        <v>16853</v>
      </c>
      <c r="C21" s="101">
        <f>+C20+C14</f>
        <v>2563</v>
      </c>
      <c r="D21" s="101">
        <f>+D20+D14</f>
        <v>0</v>
      </c>
      <c r="E21" s="101">
        <f>+E20+E14</f>
        <v>19416</v>
      </c>
      <c r="F21" s="20"/>
      <c r="G21" s="20"/>
      <c r="H21" s="146" t="str">
        <f>IF(E21-'Enterprise Net Position Exh 6'!B23=0,"Yes",E21-'Enterprise Net Position Exh 6'!B23)</f>
        <v>Yes</v>
      </c>
      <c r="I21" s="322" t="str">
        <f t="shared" si="0"/>
        <v xml:space="preserve"> </v>
      </c>
      <c r="J21" s="20"/>
      <c r="K21" s="20"/>
      <c r="L21" s="20"/>
      <c r="M21" s="20"/>
      <c r="N21" s="20"/>
      <c r="O21" s="20"/>
      <c r="P21" s="20"/>
      <c r="Q21" s="20"/>
      <c r="R21" s="20"/>
      <c r="S21" s="20"/>
      <c r="T21" s="20"/>
      <c r="U21" s="20"/>
      <c r="V21" s="20"/>
      <c r="W21" s="20"/>
      <c r="X21" s="20"/>
      <c r="Y21" s="20"/>
      <c r="Z21" s="20"/>
      <c r="AA21" s="20"/>
      <c r="AB21" s="20"/>
    </row>
    <row r="22" spans="1:28" ht="21.95" customHeight="1" x14ac:dyDescent="0.25">
      <c r="A22" s="28" t="s">
        <v>228</v>
      </c>
      <c r="B22" s="33"/>
      <c r="C22" s="33"/>
      <c r="D22" s="33"/>
      <c r="E22" s="20"/>
      <c r="F22" s="20"/>
      <c r="G22" s="20"/>
      <c r="H22" s="20"/>
      <c r="I22" s="322"/>
      <c r="J22" s="20"/>
      <c r="K22" s="20"/>
      <c r="L22" s="20"/>
      <c r="M22" s="20"/>
      <c r="N22" s="20"/>
      <c r="O22" s="20"/>
      <c r="P22" s="20"/>
      <c r="Q22" s="20"/>
      <c r="R22" s="20"/>
      <c r="S22" s="20"/>
      <c r="T22" s="20"/>
      <c r="U22" s="20"/>
      <c r="V22" s="20"/>
      <c r="W22" s="20"/>
      <c r="X22" s="20"/>
      <c r="Y22" s="20"/>
      <c r="Z22" s="20"/>
      <c r="AA22" s="20"/>
      <c r="AB22" s="20"/>
    </row>
    <row r="23" spans="1:28" ht="15" x14ac:dyDescent="0.2">
      <c r="A23" s="20" t="s">
        <v>328</v>
      </c>
      <c r="B23" s="33"/>
      <c r="C23" s="33"/>
      <c r="D23" s="33"/>
      <c r="E23" s="20"/>
      <c r="F23" s="20"/>
      <c r="G23" s="20"/>
      <c r="H23" s="20"/>
      <c r="I23" s="322"/>
      <c r="J23" s="20"/>
      <c r="K23" s="20"/>
      <c r="L23" s="20"/>
      <c r="M23" s="20"/>
      <c r="N23" s="20"/>
      <c r="O23" s="20"/>
      <c r="P23" s="20"/>
      <c r="Q23" s="20"/>
      <c r="R23" s="20"/>
      <c r="S23" s="20"/>
      <c r="T23" s="20"/>
      <c r="U23" s="20"/>
      <c r="V23" s="20"/>
      <c r="W23" s="20"/>
      <c r="X23" s="20"/>
      <c r="Y23" s="20"/>
      <c r="Z23" s="20"/>
      <c r="AA23" s="20"/>
      <c r="AB23" s="20"/>
    </row>
    <row r="24" spans="1:28" ht="15" x14ac:dyDescent="0.2">
      <c r="A24" s="36" t="s">
        <v>89</v>
      </c>
      <c r="B24" s="139">
        <f>'Enterprise Net Position Exh 6'!K26</f>
        <v>1779</v>
      </c>
      <c r="C24" s="139">
        <f>'Enterprise Net Position Exh 6'!N26</f>
        <v>267</v>
      </c>
      <c r="D24" s="139">
        <v>0</v>
      </c>
      <c r="E24" s="139">
        <f>SUM(B24:D24)</f>
        <v>2046</v>
      </c>
      <c r="F24" s="20"/>
      <c r="G24" s="20"/>
      <c r="H24" s="146" t="str">
        <f>IF(E24-'Enterprise Net Position Exh 6'!B26=0,"Yes",E24-'Enterprise Net Position Exh 6'!B26)</f>
        <v>Yes</v>
      </c>
      <c r="I24" s="322" t="str">
        <f t="shared" si="0"/>
        <v xml:space="preserve"> </v>
      </c>
      <c r="J24" s="20"/>
      <c r="K24" s="20"/>
      <c r="L24" s="20"/>
      <c r="M24" s="20"/>
      <c r="N24" s="20"/>
      <c r="O24" s="20"/>
      <c r="P24" s="20"/>
      <c r="Q24" s="20"/>
      <c r="R24" s="20"/>
      <c r="S24" s="20"/>
      <c r="T24" s="20"/>
      <c r="U24" s="20"/>
      <c r="V24" s="20"/>
      <c r="W24" s="20"/>
      <c r="X24" s="20"/>
      <c r="Y24" s="20"/>
      <c r="Z24" s="20"/>
      <c r="AA24" s="20"/>
      <c r="AB24" s="20"/>
    </row>
    <row r="25" spans="1:28" ht="15" hidden="1" x14ac:dyDescent="0.2">
      <c r="A25" s="70" t="s">
        <v>9</v>
      </c>
      <c r="B25" s="139">
        <f>'Enterprise Net Position Exh 6'!K27</f>
        <v>0</v>
      </c>
      <c r="C25" s="139">
        <f>'Enterprise Net Position Exh 6'!N27</f>
        <v>0</v>
      </c>
      <c r="D25" s="139"/>
      <c r="E25" s="139">
        <f>SUM(B25:D25)</f>
        <v>0</v>
      </c>
      <c r="F25" s="20"/>
      <c r="G25" s="20"/>
      <c r="H25" s="146" t="str">
        <f>IF(E25-'Enterprise Net Position Exh 6'!B27=0,"Yes",E25-'Enterprise Net Position Exh 6'!B27)</f>
        <v>Yes</v>
      </c>
      <c r="I25" s="322" t="str">
        <f t="shared" si="0"/>
        <v>Hide Row?</v>
      </c>
      <c r="J25" s="20"/>
      <c r="K25" s="20"/>
      <c r="L25" s="20"/>
      <c r="M25" s="20"/>
      <c r="N25" s="20"/>
      <c r="O25" s="20"/>
      <c r="P25" s="20"/>
      <c r="Q25" s="20"/>
      <c r="R25" s="20"/>
      <c r="S25" s="20"/>
      <c r="T25" s="20"/>
      <c r="U25" s="20"/>
      <c r="V25" s="20"/>
      <c r="W25" s="20"/>
      <c r="X25" s="20"/>
      <c r="Y25" s="20"/>
      <c r="Z25" s="20"/>
      <c r="AA25" s="20"/>
      <c r="AB25" s="20"/>
    </row>
    <row r="26" spans="1:28" ht="17.25" customHeight="1" x14ac:dyDescent="0.35">
      <c r="A26" s="40" t="s">
        <v>379</v>
      </c>
      <c r="B26" s="140">
        <f>'Enterprise Net Position Exh 6'!K28</f>
        <v>128</v>
      </c>
      <c r="C26" s="140">
        <f>'Enterprise Net Position Exh 6'!N28</f>
        <v>0</v>
      </c>
      <c r="D26" s="34">
        <v>0</v>
      </c>
      <c r="E26" s="140">
        <f>SUM(B26:D26)</f>
        <v>128</v>
      </c>
      <c r="F26" s="20"/>
      <c r="G26" s="20"/>
      <c r="H26" s="146" t="str">
        <f>IF(E26-'Enterprise Net Position Exh 6'!B28=0,"Yes",E26-'Enterprise Net Position Exh 6'!B28)</f>
        <v>Yes</v>
      </c>
      <c r="I26" s="322" t="str">
        <f t="shared" si="0"/>
        <v xml:space="preserve"> </v>
      </c>
      <c r="J26" s="20"/>
      <c r="K26" s="20"/>
      <c r="L26" s="20"/>
      <c r="M26" s="20"/>
      <c r="N26" s="20"/>
      <c r="O26" s="20"/>
      <c r="P26" s="20"/>
      <c r="Q26" s="20"/>
      <c r="R26" s="20"/>
      <c r="S26" s="20"/>
      <c r="T26" s="20"/>
      <c r="U26" s="20"/>
      <c r="V26" s="20"/>
      <c r="W26" s="20"/>
      <c r="X26" s="20"/>
      <c r="Y26" s="20"/>
      <c r="Z26" s="20"/>
      <c r="AA26" s="20"/>
      <c r="AB26" s="20"/>
    </row>
    <row r="27" spans="1:28" ht="17.25" x14ac:dyDescent="0.35">
      <c r="A27" s="73" t="s">
        <v>24</v>
      </c>
      <c r="B27" s="34">
        <f>SUM(B24:B26)</f>
        <v>1907</v>
      </c>
      <c r="C27" s="34">
        <f>SUM(C24:C26)</f>
        <v>267</v>
      </c>
      <c r="D27" s="34">
        <f>SUM(D24:D26)</f>
        <v>0</v>
      </c>
      <c r="E27" s="34">
        <f>SUM(E24:E26)</f>
        <v>2174</v>
      </c>
      <c r="F27" s="20"/>
      <c r="G27" s="20"/>
      <c r="H27" s="146" t="str">
        <f>IF(E27-'Enterprise Net Position Exh 6'!B29=0,"Yes",E27-'Enterprise Net Position Exh 6'!B29)</f>
        <v>Yes</v>
      </c>
      <c r="I27" s="322" t="str">
        <f t="shared" si="0"/>
        <v xml:space="preserve"> </v>
      </c>
      <c r="J27" s="20"/>
      <c r="K27" s="20"/>
      <c r="L27" s="20"/>
      <c r="M27" s="20"/>
      <c r="N27" s="20"/>
      <c r="O27" s="20"/>
      <c r="P27" s="20"/>
      <c r="Q27" s="20"/>
      <c r="R27" s="20"/>
      <c r="S27" s="20"/>
      <c r="T27" s="20"/>
      <c r="U27" s="20"/>
      <c r="V27" s="20"/>
      <c r="W27" s="20"/>
      <c r="X27" s="20"/>
      <c r="Y27" s="20"/>
      <c r="Z27" s="20"/>
      <c r="AA27" s="20"/>
      <c r="AB27" s="20"/>
    </row>
    <row r="28" spans="1:28" ht="20.100000000000001" customHeight="1" x14ac:dyDescent="0.2">
      <c r="A28" s="30" t="s">
        <v>329</v>
      </c>
      <c r="B28" s="46"/>
      <c r="C28" s="46"/>
      <c r="D28" s="46"/>
      <c r="E28" s="20"/>
      <c r="F28" s="20"/>
      <c r="G28" s="20"/>
      <c r="H28" s="20"/>
      <c r="I28" s="322"/>
      <c r="J28" s="20"/>
      <c r="K28" s="20"/>
      <c r="L28" s="20"/>
      <c r="M28" s="20"/>
      <c r="N28" s="20"/>
      <c r="O28" s="20"/>
      <c r="P28" s="20"/>
      <c r="Q28" s="20"/>
      <c r="R28" s="20"/>
      <c r="S28" s="20"/>
      <c r="T28" s="20"/>
      <c r="U28" s="20"/>
      <c r="V28" s="20"/>
      <c r="W28" s="20"/>
      <c r="X28" s="20"/>
      <c r="Y28" s="20"/>
      <c r="Z28" s="20"/>
      <c r="AA28" s="20"/>
      <c r="AB28" s="20"/>
    </row>
    <row r="29" spans="1:28" ht="17.25" x14ac:dyDescent="0.35">
      <c r="A29" s="40" t="s">
        <v>77</v>
      </c>
      <c r="B29" s="140">
        <f>'Enterprise Net Position Exh 6'!K31</f>
        <v>414</v>
      </c>
      <c r="C29" s="140">
        <f>'Enterprise Net Position Exh 6'!N31</f>
        <v>0</v>
      </c>
      <c r="D29" s="140">
        <f>'Enterprise Net Position Exh 6'!O31</f>
        <v>0</v>
      </c>
      <c r="E29" s="140">
        <f>SUM(B29:D29)</f>
        <v>414</v>
      </c>
      <c r="F29" s="20"/>
      <c r="G29" s="20"/>
      <c r="H29" s="146" t="str">
        <f>IF(E29-'Enterprise Net Position Exh 6'!B31=0,"Yes",E29-'Enterprise Net Position Exh 6'!B31)</f>
        <v>Yes</v>
      </c>
      <c r="I29" s="322" t="str">
        <f t="shared" si="0"/>
        <v xml:space="preserve"> </v>
      </c>
      <c r="J29" s="20"/>
      <c r="K29" s="20"/>
      <c r="L29" s="20"/>
      <c r="M29" s="20"/>
      <c r="N29" s="20"/>
      <c r="O29" s="20"/>
      <c r="P29" s="20"/>
      <c r="Q29" s="20"/>
      <c r="R29" s="20"/>
      <c r="S29" s="20"/>
      <c r="T29" s="20"/>
      <c r="U29" s="20"/>
      <c r="V29" s="20"/>
      <c r="W29" s="20"/>
      <c r="X29" s="20"/>
      <c r="Y29" s="20"/>
      <c r="Z29" s="20"/>
      <c r="AA29" s="20"/>
      <c r="AB29" s="20"/>
    </row>
    <row r="30" spans="1:28" ht="17.25" x14ac:dyDescent="0.35">
      <c r="A30" s="73" t="s">
        <v>147</v>
      </c>
      <c r="B30" s="34">
        <f>B29</f>
        <v>414</v>
      </c>
      <c r="C30" s="34">
        <f>C29</f>
        <v>0</v>
      </c>
      <c r="D30" s="34">
        <f>D29</f>
        <v>0</v>
      </c>
      <c r="E30" s="34">
        <f>E29</f>
        <v>414</v>
      </c>
      <c r="F30" s="20"/>
      <c r="G30" s="20"/>
      <c r="H30" s="146" t="str">
        <f>IF(E30-'Enterprise Net Position Exh 6'!B32=0,"Yes",E30-'Enterprise Net Position Exh 6'!B32)</f>
        <v>Yes</v>
      </c>
      <c r="I30" s="322" t="str">
        <f t="shared" si="0"/>
        <v xml:space="preserve"> </v>
      </c>
      <c r="J30" s="20"/>
      <c r="K30" s="20"/>
      <c r="L30" s="20"/>
      <c r="M30" s="20"/>
      <c r="N30" s="20"/>
      <c r="O30" s="20"/>
      <c r="P30" s="20"/>
      <c r="Q30" s="20"/>
      <c r="R30" s="20"/>
      <c r="S30" s="20"/>
      <c r="T30" s="20"/>
      <c r="U30" s="20"/>
      <c r="V30" s="20"/>
      <c r="W30" s="20"/>
      <c r="X30" s="20"/>
      <c r="Y30" s="20"/>
      <c r="Z30" s="20"/>
      <c r="AA30" s="20"/>
      <c r="AB30" s="20"/>
    </row>
    <row r="31" spans="1:28" ht="17.25" x14ac:dyDescent="0.35">
      <c r="A31" s="103" t="s">
        <v>4</v>
      </c>
      <c r="B31" s="34">
        <f>+B30+B27</f>
        <v>2321</v>
      </c>
      <c r="C31" s="34">
        <f>+C30+C27</f>
        <v>267</v>
      </c>
      <c r="D31" s="34">
        <f>+D30+D27</f>
        <v>0</v>
      </c>
      <c r="E31" s="34">
        <f>+E30+E27</f>
        <v>2588</v>
      </c>
      <c r="F31" s="20"/>
      <c r="G31" s="20"/>
      <c r="H31" s="146" t="str">
        <f>IF(E31-'Enterprise Net Position Exh 6'!B33=0,"Yes",E31-'Enterprise Net Position Exh 6'!B33)</f>
        <v>Yes</v>
      </c>
      <c r="I31" s="322" t="str">
        <f t="shared" si="0"/>
        <v xml:space="preserve"> </v>
      </c>
      <c r="J31" s="20"/>
      <c r="K31" s="20"/>
      <c r="L31" s="20"/>
      <c r="M31" s="20"/>
      <c r="N31" s="20"/>
      <c r="O31" s="20"/>
      <c r="P31" s="20"/>
      <c r="Q31" s="20"/>
      <c r="R31" s="20"/>
      <c r="S31" s="20"/>
      <c r="T31" s="20"/>
      <c r="U31" s="20"/>
      <c r="V31" s="20"/>
      <c r="W31" s="20"/>
      <c r="X31" s="20"/>
      <c r="Y31" s="20"/>
      <c r="Z31" s="20"/>
      <c r="AA31" s="20"/>
      <c r="AB31" s="20"/>
    </row>
    <row r="32" spans="1:28" ht="21.95" customHeight="1" x14ac:dyDescent="0.25">
      <c r="A32" s="42" t="s">
        <v>232</v>
      </c>
      <c r="B32" s="33"/>
      <c r="C32" s="33"/>
      <c r="D32" s="33"/>
      <c r="E32" s="20"/>
      <c r="F32" s="20"/>
      <c r="G32" s="20"/>
      <c r="H32" s="20"/>
      <c r="I32" s="322"/>
      <c r="J32" s="20"/>
      <c r="K32" s="20"/>
      <c r="L32" s="20"/>
      <c r="M32" s="20"/>
      <c r="N32" s="20"/>
      <c r="O32" s="20"/>
      <c r="P32" s="20"/>
      <c r="Q32" s="20"/>
      <c r="R32" s="20"/>
      <c r="S32" s="20"/>
      <c r="T32" s="20"/>
      <c r="U32" s="20"/>
      <c r="V32" s="20"/>
      <c r="W32" s="20"/>
      <c r="X32" s="20"/>
      <c r="Y32" s="20"/>
      <c r="Z32" s="20"/>
      <c r="AA32" s="20"/>
      <c r="AB32" s="20"/>
    </row>
    <row r="33" spans="1:28" ht="15" x14ac:dyDescent="0.2">
      <c r="A33" s="48" t="s">
        <v>166</v>
      </c>
      <c r="B33" s="139">
        <f>'Enterprise Net Position Exh 6'!K35</f>
        <v>10741</v>
      </c>
      <c r="C33" s="139">
        <f>'Enterprise Net Position Exh 6'!N35</f>
        <v>470</v>
      </c>
      <c r="D33" s="139">
        <v>0</v>
      </c>
      <c r="E33" s="47">
        <f>SUM(B33:D33)</f>
        <v>11211</v>
      </c>
      <c r="F33" s="20"/>
      <c r="G33" s="20"/>
      <c r="H33" s="146" t="str">
        <f>IF(E33-'Enterprise Net Position Exh 6'!B35=0,"Yes",E33-'Enterprise Net Position Exh 6'!B35)</f>
        <v>Yes</v>
      </c>
      <c r="I33" s="322" t="str">
        <f t="shared" si="0"/>
        <v xml:space="preserve"> </v>
      </c>
      <c r="J33" s="20"/>
      <c r="K33" s="20"/>
      <c r="L33" s="20"/>
      <c r="M33" s="20"/>
      <c r="N33" s="20"/>
      <c r="O33" s="20"/>
      <c r="P33" s="20"/>
      <c r="Q33" s="20"/>
      <c r="R33" s="20"/>
      <c r="S33" s="20"/>
      <c r="T33" s="20"/>
      <c r="U33" s="20"/>
      <c r="V33" s="20"/>
      <c r="W33" s="20"/>
      <c r="X33" s="20"/>
      <c r="Y33" s="20"/>
      <c r="Z33" s="20"/>
      <c r="AA33" s="20"/>
      <c r="AB33" s="20"/>
    </row>
    <row r="34" spans="1:28" ht="17.25" x14ac:dyDescent="0.35">
      <c r="A34" s="70" t="s">
        <v>163</v>
      </c>
      <c r="B34" s="140">
        <f>'Enterprise Net Position Exh 6'!K36</f>
        <v>3791</v>
      </c>
      <c r="C34" s="140">
        <f>'Enterprise Net Position Exh 6'!N36</f>
        <v>1826</v>
      </c>
      <c r="D34" s="140">
        <v>0</v>
      </c>
      <c r="E34" s="140">
        <f>SUM(B34:D34)</f>
        <v>5617</v>
      </c>
      <c r="F34" s="20"/>
      <c r="G34" s="20"/>
      <c r="H34" s="146" t="str">
        <f>IF(E34-'Enterprise Net Position Exh 6'!B36=0,"Yes",E34-'Enterprise Net Position Exh 6'!B36)</f>
        <v>Yes</v>
      </c>
      <c r="I34" s="322" t="str">
        <f t="shared" si="0"/>
        <v xml:space="preserve"> </v>
      </c>
      <c r="J34" s="20"/>
      <c r="K34" s="20"/>
      <c r="L34" s="20"/>
      <c r="M34" s="20"/>
      <c r="N34" s="20"/>
      <c r="O34" s="20"/>
      <c r="P34" s="20"/>
      <c r="Q34" s="20"/>
      <c r="R34" s="20"/>
      <c r="S34" s="20"/>
      <c r="T34" s="20"/>
      <c r="U34" s="20"/>
      <c r="V34" s="20"/>
      <c r="W34" s="20"/>
      <c r="X34" s="20"/>
      <c r="Y34" s="20"/>
      <c r="Z34" s="20"/>
      <c r="AA34" s="20"/>
      <c r="AB34" s="20"/>
    </row>
    <row r="35" spans="1:28" ht="17.25" x14ac:dyDescent="0.35">
      <c r="A35" s="64" t="s">
        <v>167</v>
      </c>
      <c r="B35" s="37">
        <f>SUM(B33:B34)</f>
        <v>14532</v>
      </c>
      <c r="C35" s="37">
        <f>SUM(C33:C34)</f>
        <v>2296</v>
      </c>
      <c r="D35" s="37">
        <f>SUM(D33:D34)</f>
        <v>0</v>
      </c>
      <c r="E35" s="37">
        <f>SUM(E33:E34)</f>
        <v>16828</v>
      </c>
      <c r="F35" s="20"/>
      <c r="G35" s="20"/>
      <c r="H35" s="146" t="str">
        <f>IF(E35-'Enterprise Net Position Exh 6'!B37=0,"Yes",E35-'Enterprise Net Position Exh 6'!B37)</f>
        <v>Yes</v>
      </c>
      <c r="I35" s="322" t="str">
        <f t="shared" si="0"/>
        <v xml:space="preserve"> </v>
      </c>
      <c r="J35" s="20"/>
      <c r="K35" s="20"/>
      <c r="L35" s="20"/>
      <c r="M35" s="20"/>
      <c r="N35" s="20"/>
      <c r="O35" s="20"/>
      <c r="P35" s="20"/>
      <c r="Q35" s="20"/>
      <c r="R35" s="20"/>
      <c r="S35" s="20"/>
      <c r="T35" s="20"/>
      <c r="U35" s="20"/>
      <c r="V35" s="20"/>
      <c r="W35" s="20"/>
      <c r="X35" s="20"/>
      <c r="Y35" s="20"/>
      <c r="Z35" s="20"/>
      <c r="AA35" s="20"/>
      <c r="AB35" s="20"/>
    </row>
    <row r="36" spans="1:28" ht="15" x14ac:dyDescent="0.2">
      <c r="A36" s="39"/>
      <c r="B36" s="20"/>
      <c r="C36" s="20"/>
      <c r="D36" s="20"/>
      <c r="E36" s="20"/>
      <c r="F36" s="20"/>
      <c r="G36" s="20"/>
      <c r="H36" s="20"/>
      <c r="I36" s="322"/>
      <c r="J36" s="20"/>
      <c r="K36" s="20"/>
      <c r="L36" s="20"/>
      <c r="M36" s="20"/>
      <c r="N36" s="20"/>
      <c r="O36" s="20"/>
      <c r="P36" s="20"/>
      <c r="Q36" s="20"/>
      <c r="R36" s="20"/>
      <c r="S36" s="20"/>
      <c r="T36" s="20"/>
      <c r="U36" s="20"/>
      <c r="V36" s="20"/>
      <c r="W36" s="20"/>
      <c r="X36" s="20"/>
      <c r="Y36" s="20"/>
      <c r="Z36" s="20"/>
      <c r="AA36" s="20"/>
      <c r="AB36" s="20"/>
    </row>
    <row r="37" spans="1:28" ht="1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1:28" ht="1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1:28" ht="15" x14ac:dyDescent="0.2">
      <c r="A39" s="78"/>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row>
    <row r="40" spans="1:28" ht="1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row r="41" spans="1:28" ht="1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row>
    <row r="42" spans="1:28" ht="1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row>
    <row r="43" spans="1:28" ht="15"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ht="15"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row>
    <row r="45" spans="1:28" ht="30" x14ac:dyDescent="0.2">
      <c r="A45" s="104" t="s">
        <v>186</v>
      </c>
      <c r="B45" s="134" t="str">
        <f>IF(B21-(B31+B35)=0,"Yes",B21-(B31+B35))</f>
        <v>Yes</v>
      </c>
      <c r="C45" s="134" t="str">
        <f>IF(C21-(C31+C35)=0,"Yes",C21-(C31+C35))</f>
        <v>Yes</v>
      </c>
      <c r="D45" s="134" t="str">
        <f>IF(D21-(D31+D35)=0,"Yes",D21-(D31+D35))</f>
        <v>Yes</v>
      </c>
      <c r="E45" s="134" t="str">
        <f>IF(E21-(E31+E35)=0,"Yes",E21-(E31+E35))</f>
        <v>Yes</v>
      </c>
      <c r="F45" s="20"/>
      <c r="G45" s="20"/>
      <c r="H45" s="20"/>
      <c r="I45" s="20"/>
      <c r="J45" s="20"/>
      <c r="K45" s="20"/>
      <c r="L45" s="20"/>
      <c r="M45" s="20"/>
      <c r="N45" s="20"/>
      <c r="O45" s="20"/>
      <c r="P45" s="20"/>
      <c r="Q45" s="20"/>
      <c r="R45" s="20"/>
      <c r="S45" s="20"/>
      <c r="T45" s="20"/>
      <c r="U45" s="20"/>
      <c r="V45" s="20"/>
      <c r="W45" s="20"/>
      <c r="X45" s="20"/>
      <c r="Y45" s="20"/>
      <c r="Z45" s="20"/>
      <c r="AA45" s="20"/>
      <c r="AB45" s="20"/>
    </row>
    <row r="46" spans="1:28" ht="30" x14ac:dyDescent="0.2">
      <c r="A46" s="240" t="s">
        <v>207</v>
      </c>
      <c r="B46" s="134" t="str">
        <f>IF(B35-'Doceo Enterprise Inc Stmt - SI'!B32=0,"Yes",B35-'Doceo Enterprise Inc Stmt - SI'!B32)</f>
        <v>Yes</v>
      </c>
      <c r="C46" s="134" t="str">
        <f>IF(C35-'Doceo Enterprise Inc Stmt - SI'!C32=0,"Yes",C35-'Doceo Enterprise Inc Stmt - SI'!C32)</f>
        <v>Yes</v>
      </c>
      <c r="D46" s="134" t="str">
        <f>IF(D35-'Doceo Enterprise Inc Stmt - SI'!D32=0,"Yes",D35-'Doceo Enterprise Inc Stmt - SI'!D32)</f>
        <v>Yes</v>
      </c>
      <c r="E46" s="134" t="str">
        <f>IF(E35-'Enterprise Net Position Exh 6'!B37=0,"Yes",E35-'Enterprise Net Position Exh 6'!B37)</f>
        <v>Yes</v>
      </c>
      <c r="F46" s="20"/>
      <c r="G46" s="20"/>
      <c r="H46" s="20"/>
      <c r="I46" s="20"/>
      <c r="J46" s="20"/>
      <c r="K46" s="20"/>
      <c r="L46" s="20"/>
      <c r="M46" s="20"/>
      <c r="N46" s="20"/>
      <c r="O46" s="20"/>
      <c r="P46" s="20"/>
      <c r="Q46" s="20"/>
      <c r="R46" s="20"/>
      <c r="S46" s="20"/>
      <c r="T46" s="20"/>
      <c r="U46" s="20"/>
      <c r="V46" s="20"/>
      <c r="W46" s="20"/>
      <c r="X46" s="20"/>
      <c r="Y46" s="20"/>
      <c r="Z46" s="20"/>
      <c r="AA46" s="20"/>
      <c r="AB46" s="20"/>
    </row>
    <row r="47" spans="1:28" ht="15" x14ac:dyDescent="0.2">
      <c r="A47" s="36" t="s">
        <v>339</v>
      </c>
      <c r="B47" s="63"/>
      <c r="C47" s="63"/>
      <c r="D47" s="63"/>
      <c r="E47" s="86" t="str">
        <f>IF(E35-'Enterprise Net Position Exh 6'!B37=0,"Yes",E35-'Enterprise Net Position Exh 6'!B37)</f>
        <v>Yes</v>
      </c>
      <c r="F47" s="20"/>
      <c r="G47" s="20"/>
      <c r="H47" s="20"/>
      <c r="I47" s="20"/>
      <c r="J47" s="20"/>
      <c r="K47" s="20"/>
      <c r="L47" s="20"/>
      <c r="M47" s="20"/>
      <c r="N47" s="20"/>
      <c r="O47" s="20"/>
      <c r="P47" s="20"/>
      <c r="Q47" s="20"/>
      <c r="R47" s="20"/>
      <c r="S47" s="20"/>
      <c r="T47" s="20"/>
      <c r="U47" s="20"/>
      <c r="V47" s="20"/>
      <c r="W47" s="20"/>
      <c r="X47" s="20"/>
      <c r="Y47" s="20"/>
      <c r="Z47" s="20"/>
      <c r="AA47" s="20"/>
      <c r="AB47" s="20"/>
    </row>
    <row r="48" spans="1:28" ht="30" x14ac:dyDescent="0.2">
      <c r="A48" s="70" t="s">
        <v>384</v>
      </c>
      <c r="B48" s="315" t="str">
        <f>IF(B20-B33=0,"Yes",B20-B33)</f>
        <v>Yes</v>
      </c>
      <c r="C48" s="315" t="str">
        <f>IF(C20-C33=0,"Yes",C20-C33)</f>
        <v>Yes</v>
      </c>
      <c r="D48" s="315" t="str">
        <f>IF(D20-D33=0,"Yes",D20-D33)</f>
        <v>Yes</v>
      </c>
      <c r="E48" s="315" t="str">
        <f>IF(E20-E33=0,"Yes",E20-E33)</f>
        <v>Yes</v>
      </c>
      <c r="F48" s="20"/>
      <c r="G48" s="20"/>
      <c r="H48" s="20"/>
      <c r="I48" s="20"/>
      <c r="J48" s="20"/>
      <c r="K48" s="20"/>
      <c r="L48" s="20"/>
      <c r="M48" s="20"/>
      <c r="N48" s="20"/>
      <c r="O48" s="20"/>
      <c r="P48" s="20"/>
      <c r="Q48" s="20"/>
      <c r="R48" s="20"/>
      <c r="S48" s="20"/>
      <c r="T48" s="20"/>
      <c r="U48" s="20"/>
      <c r="V48" s="20"/>
      <c r="W48" s="20"/>
      <c r="X48" s="20"/>
      <c r="Y48" s="20"/>
      <c r="Z48" s="20"/>
      <c r="AA48" s="20"/>
      <c r="AB48" s="20"/>
    </row>
    <row r="49" spans="1:28" ht="15"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1:28" ht="15"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row>
    <row r="51" spans="1:28" ht="15"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row>
    <row r="52" spans="1:28" ht="15"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row r="53" spans="1:28" ht="15"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row>
    <row r="54" spans="1:28" ht="15"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1:28" ht="15"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row>
    <row r="56" spans="1:28" ht="15"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1:28" ht="15"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5"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1:28" ht="15"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row>
    <row r="60" spans="1:28" ht="15"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row>
    <row r="61" spans="1:28" ht="15"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row>
    <row r="62" spans="1:28" ht="15"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row>
    <row r="63" spans="1:28" ht="15"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ht="15"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row>
    <row r="65" spans="1:28" ht="15"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1:28" ht="15"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1:28" ht="15"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1:28" ht="15"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1:28" ht="15"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1:28" ht="15"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1:28" ht="15"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1:28" ht="15"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1:28" ht="15"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1:28" ht="15"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1:28" ht="15"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1:28" ht="15"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1:28" ht="15"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1:28" ht="15"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1:28" ht="15"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1:28" ht="15"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1:28" ht="15"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1:28" ht="15"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1:28" ht="15"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row>
    <row r="84" spans="1:28" ht="15"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row>
    <row r="85" spans="1:28" ht="15"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1:28" ht="15"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1:28" ht="15"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row r="88" spans="1:28" ht="15"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row>
    <row r="89" spans="1:28" ht="15"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row>
    <row r="90" spans="1:28" ht="15"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row>
    <row r="91" spans="1:28" ht="15"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row>
    <row r="92" spans="1:28" ht="15"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row>
    <row r="93" spans="1:28" ht="15"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row>
    <row r="94" spans="1:28" ht="15"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row>
    <row r="95" spans="1:28" ht="15"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row>
    <row r="96" spans="1:28" ht="15"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row>
    <row r="97" spans="1:28" ht="15"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row>
    <row r="98" spans="1:28" ht="15"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row>
    <row r="99" spans="1:28" ht="15"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row>
    <row r="100" spans="1:28" ht="15"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row>
    <row r="101" spans="1:28" ht="15"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row>
    <row r="102" spans="1:28" ht="15"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5"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row>
    <row r="104" spans="1:28" ht="15"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row>
    <row r="105" spans="1:28" ht="15"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row>
    <row r="106" spans="1:28" ht="15"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row>
    <row r="107" spans="1:28" ht="15"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row>
    <row r="108" spans="1:28" ht="15"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row>
    <row r="109" spans="1:28" ht="15"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1:28" ht="15"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row>
    <row r="111" spans="1:28" ht="15"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spans="1:28" ht="15"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spans="1:28" ht="15"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row>
    <row r="114" spans="1:28" ht="15"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1:28" ht="15"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1:28" ht="15"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spans="1:28" ht="15"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spans="1:28" ht="15"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1:28" ht="15"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5"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ht="15"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row>
    <row r="122" spans="1:28" ht="15"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spans="1:28" ht="15"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row>
    <row r="124" spans="1:28" ht="15"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spans="1:28" ht="15"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row>
    <row r="126" spans="1:28" ht="15"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row>
    <row r="127" spans="1:28" ht="15"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row>
    <row r="128" spans="1:28" ht="15"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row>
    <row r="129" spans="1:28" ht="15"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row>
    <row r="130" spans="1:28" ht="15"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row>
    <row r="131" spans="1:28" ht="15"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row>
    <row r="132" spans="1:28" ht="15"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row>
    <row r="133" spans="1:28" ht="15"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row>
    <row r="134" spans="1:28" ht="15"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row>
  </sheetData>
  <mergeCells count="6">
    <mergeCell ref="B5:E5"/>
    <mergeCell ref="B6:E6"/>
    <mergeCell ref="A1:E1"/>
    <mergeCell ref="A2:E2"/>
    <mergeCell ref="A3:E3"/>
    <mergeCell ref="A4:E4"/>
  </mergeCells>
  <conditionalFormatting sqref="B45">
    <cfRule type="cellIs" dxfId="75" priority="8" stopIfTrue="1" operator="notEqual">
      <formula>"Yes"</formula>
    </cfRule>
  </conditionalFormatting>
  <conditionalFormatting sqref="C45:E45">
    <cfRule type="cellIs" dxfId="74" priority="7" stopIfTrue="1" operator="notEqual">
      <formula>"Yes"</formula>
    </cfRule>
  </conditionalFormatting>
  <conditionalFormatting sqref="B46:E46 E47">
    <cfRule type="cellIs" dxfId="73" priority="6" stopIfTrue="1" operator="notEqual">
      <formula>"Yes"</formula>
    </cfRule>
  </conditionalFormatting>
  <conditionalFormatting sqref="B48:E48">
    <cfRule type="cellIs" dxfId="72" priority="4" stopIfTrue="1" operator="notEqual">
      <formula>"Yes"</formula>
    </cfRule>
  </conditionalFormatting>
  <conditionalFormatting sqref="H10">
    <cfRule type="cellIs" dxfId="71" priority="3" stopIfTrue="1" operator="notEqual">
      <formula>"Yes"</formula>
    </cfRule>
  </conditionalFormatting>
  <conditionalFormatting sqref="H11:H14 H17:H21 H24:H27 H29:H31 H33:H35">
    <cfRule type="cellIs" dxfId="70" priority="1" stopIfTrue="1" operator="notEqual">
      <formula>"Yes"</formula>
    </cfRule>
  </conditionalFormatting>
  <pageMargins left="0.75" right="0.75" top="0.75" bottom="0.75" header="0.3" footer="0.3"/>
  <pageSetup scale="98" orientation="portrait" r:id="rId1"/>
  <headerFooter>
    <oddHeader>&amp;R&amp;12Statement 3</oddHeader>
    <oddFooter xml:space="preserve">&amp;L&amp;12Revised:  July 2020&amp;10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43.7109375" customWidth="1"/>
    <col min="2" max="3" width="16.7109375" customWidth="1"/>
    <col min="4" max="4" width="16.7109375" hidden="1" customWidth="1"/>
    <col min="5" max="5" width="16.7109375" customWidth="1"/>
    <col min="8" max="9" width="14.7109375" customWidth="1"/>
  </cols>
  <sheetData>
    <row r="1" spans="1:9" ht="15.75" x14ac:dyDescent="0.25">
      <c r="A1" s="342" t="str">
        <f>'GW Net Position Exh 1'!A1</f>
        <v>Owl Charter, Inc.</v>
      </c>
      <c r="B1" s="342"/>
      <c r="C1" s="342"/>
      <c r="D1" s="342"/>
      <c r="E1" s="342"/>
    </row>
    <row r="2" spans="1:9" ht="15.75" x14ac:dyDescent="0.25">
      <c r="A2" s="383" t="s">
        <v>349</v>
      </c>
      <c r="B2" s="383"/>
      <c r="C2" s="383"/>
      <c r="D2" s="383"/>
      <c r="E2" s="383"/>
      <c r="F2" s="19"/>
    </row>
    <row r="3" spans="1:9" ht="15.75" hidden="1" x14ac:dyDescent="0.25">
      <c r="A3" s="342"/>
      <c r="B3" s="342"/>
      <c r="C3" s="342"/>
      <c r="D3" s="342"/>
      <c r="E3" s="342"/>
    </row>
    <row r="4" spans="1:9" ht="15.75" x14ac:dyDescent="0.25">
      <c r="A4" s="374" t="str">
        <f>+'GW Stmt Activities Exh 2'!A3</f>
        <v>For the Year Ended June 30, 2020</v>
      </c>
      <c r="B4" s="374"/>
      <c r="C4" s="374"/>
      <c r="D4" s="374"/>
      <c r="E4" s="374"/>
    </row>
    <row r="5" spans="1:9" ht="21.95" customHeight="1" x14ac:dyDescent="0.35">
      <c r="A5" s="20"/>
      <c r="B5" s="372" t="str">
        <f>'Govt Funds Bal Sh Exh 3'!C7</f>
        <v>Owl - Doceo</v>
      </c>
      <c r="C5" s="372"/>
      <c r="D5" s="372"/>
      <c r="E5" s="372"/>
    </row>
    <row r="6" spans="1:9" ht="17.25" x14ac:dyDescent="0.35">
      <c r="A6" s="20"/>
      <c r="B6" s="338" t="s">
        <v>350</v>
      </c>
      <c r="C6" s="338"/>
      <c r="D6" s="338"/>
      <c r="E6" s="338"/>
    </row>
    <row r="7" spans="1:9" ht="36" customHeight="1" x14ac:dyDescent="0.35">
      <c r="A7" s="20"/>
      <c r="B7" s="27" t="s">
        <v>351</v>
      </c>
      <c r="C7" s="26" t="s">
        <v>408</v>
      </c>
      <c r="D7" s="26" t="s">
        <v>225</v>
      </c>
      <c r="E7" s="26" t="s">
        <v>345</v>
      </c>
      <c r="H7" s="320" t="s">
        <v>402</v>
      </c>
      <c r="I7" s="325" t="s">
        <v>391</v>
      </c>
    </row>
    <row r="8" spans="1:9" ht="17.25" x14ac:dyDescent="0.35">
      <c r="A8" s="28" t="s">
        <v>259</v>
      </c>
      <c r="H8" s="27"/>
    </row>
    <row r="9" spans="1:9" ht="15" x14ac:dyDescent="0.2">
      <c r="A9" s="40" t="s">
        <v>102</v>
      </c>
      <c r="B9" s="138">
        <f>'Enterprise Income Stmt Exh 7'!J11</f>
        <v>16574</v>
      </c>
      <c r="C9" s="138">
        <f>'Enterprise Income Stmt Exh 7'!M11</f>
        <v>0</v>
      </c>
      <c r="D9" s="138">
        <v>0</v>
      </c>
      <c r="E9" s="29">
        <f>SUM(B9:D9)</f>
        <v>16574</v>
      </c>
      <c r="H9" s="146" t="str">
        <f>IF(E9-'Enterprise Income Stmt Exh 7'!B11=0,"Yes",E9-'Enterprise Income Stmt Exh 7'!B11)</f>
        <v>Yes</v>
      </c>
      <c r="I9" s="322" t="str">
        <f>IF(((ABS(B9)+ABS(C9)+ABS(D9)+ABS(E9))=0),"Hide Row?"," ")</f>
        <v xml:space="preserve"> </v>
      </c>
    </row>
    <row r="10" spans="1:9" ht="17.25" x14ac:dyDescent="0.35">
      <c r="A10" s="36" t="s">
        <v>412</v>
      </c>
      <c r="B10" s="140">
        <f>'Enterprise Income Stmt Exh 7'!J12</f>
        <v>0</v>
      </c>
      <c r="C10" s="140">
        <f>'Enterprise Income Stmt Exh 7'!M12</f>
        <v>7194</v>
      </c>
      <c r="D10" s="98">
        <v>0</v>
      </c>
      <c r="E10" s="98">
        <f>SUM(B10:D10)</f>
        <v>7194</v>
      </c>
      <c r="H10" s="146" t="str">
        <f>IF(E10-'Enterprise Income Stmt Exh 7'!B12=0,"Yes",E10-'Enterprise Income Stmt Exh 7'!B12)</f>
        <v>Yes</v>
      </c>
      <c r="I10" s="322" t="str">
        <f t="shared" ref="I10:I32" si="0">IF(((ABS(B10)+ABS(C10)+ABS(D10)+ABS(E10))=0),"Hide Row?"," ")</f>
        <v xml:space="preserve"> </v>
      </c>
    </row>
    <row r="11" spans="1:9" ht="15" x14ac:dyDescent="0.2">
      <c r="A11" s="73" t="s">
        <v>25</v>
      </c>
      <c r="B11" s="71">
        <f>SUM(B9:B10)</f>
        <v>16574</v>
      </c>
      <c r="C11" s="71">
        <f>SUM(C9:C10)</f>
        <v>7194</v>
      </c>
      <c r="D11" s="71">
        <f>SUM(D9:D10)</f>
        <v>0</v>
      </c>
      <c r="E11" s="71">
        <f>SUM(E9:E10)</f>
        <v>23768</v>
      </c>
      <c r="F11" s="71">
        <f>SUM(F9:F10)</f>
        <v>0</v>
      </c>
      <c r="H11" s="146" t="str">
        <f>IF(E11-'Enterprise Income Stmt Exh 7'!B13=0,"Yes",E11-'Enterprise Income Stmt Exh 7'!B13)</f>
        <v>Yes</v>
      </c>
      <c r="I11" s="322" t="str">
        <f t="shared" si="0"/>
        <v xml:space="preserve"> </v>
      </c>
    </row>
    <row r="12" spans="1:9" ht="21.95" customHeight="1" x14ac:dyDescent="0.25">
      <c r="A12" s="28" t="s">
        <v>260</v>
      </c>
      <c r="I12" s="322"/>
    </row>
    <row r="13" spans="1:9" ht="15" x14ac:dyDescent="0.2">
      <c r="A13" s="36" t="s">
        <v>330</v>
      </c>
      <c r="I13" s="322"/>
    </row>
    <row r="14" spans="1:9" ht="15" x14ac:dyDescent="0.2">
      <c r="A14" s="73" t="s">
        <v>103</v>
      </c>
      <c r="B14" s="139">
        <f>'Enterprise Income Stmt Exh 7'!J17</f>
        <v>15147</v>
      </c>
      <c r="C14" s="139">
        <f>'Enterprise Income Stmt Exh 7'!M17</f>
        <v>0</v>
      </c>
      <c r="D14" s="47">
        <v>0</v>
      </c>
      <c r="E14" s="47">
        <f t="shared" ref="E14:E20" si="1">SUM(B14:D14)</f>
        <v>15147</v>
      </c>
      <c r="H14" s="146" t="str">
        <f>IF(E14-'Enterprise Income Stmt Exh 7'!B17=0,"Yes",E14-'Enterprise Income Stmt Exh 7'!B17)</f>
        <v>Yes</v>
      </c>
      <c r="I14" s="322" t="str">
        <f t="shared" si="0"/>
        <v xml:space="preserve"> </v>
      </c>
    </row>
    <row r="15" spans="1:9" ht="15" hidden="1" x14ac:dyDescent="0.2">
      <c r="A15" s="73" t="s">
        <v>104</v>
      </c>
      <c r="B15" s="139">
        <f>'Enterprise Income Stmt Exh 7'!J18</f>
        <v>0</v>
      </c>
      <c r="C15" s="139">
        <f>'Enterprise Income Stmt Exh 7'!M18</f>
        <v>0</v>
      </c>
      <c r="D15" s="47">
        <v>0</v>
      </c>
      <c r="E15" s="47">
        <f t="shared" si="1"/>
        <v>0</v>
      </c>
      <c r="H15" s="146">
        <f>IF(E15-'Enterprise Income Stmt Exh 7'!B17=0,"Yes",E15-'Enterprise Income Stmt Exh 7'!B17)</f>
        <v>-15147</v>
      </c>
      <c r="I15" s="322" t="str">
        <f t="shared" si="0"/>
        <v>Hide Row?</v>
      </c>
    </row>
    <row r="16" spans="1:9" ht="15" x14ac:dyDescent="0.2">
      <c r="A16" s="36" t="s">
        <v>105</v>
      </c>
      <c r="B16" s="139">
        <f>'Enterprise Income Stmt Exh 7'!J19</f>
        <v>3913</v>
      </c>
      <c r="C16" s="139">
        <f>'Enterprise Income Stmt Exh 7'!M19</f>
        <v>4412</v>
      </c>
      <c r="D16" s="47">
        <v>0</v>
      </c>
      <c r="E16" s="47">
        <f t="shared" si="1"/>
        <v>8325</v>
      </c>
      <c r="H16" s="146" t="str">
        <f>IF(E16-'Enterprise Income Stmt Exh 7'!B19=0,"Yes",E16-'Enterprise Income Stmt Exh 7'!B19)</f>
        <v>Yes</v>
      </c>
      <c r="I16" s="322" t="str">
        <f t="shared" si="0"/>
        <v xml:space="preserve"> </v>
      </c>
    </row>
    <row r="17" spans="1:9" ht="15" x14ac:dyDescent="0.2">
      <c r="A17" s="36" t="s">
        <v>106</v>
      </c>
      <c r="B17" s="139">
        <f>'Enterprise Income Stmt Exh 7'!J20</f>
        <v>37</v>
      </c>
      <c r="C17" s="139">
        <f>'Enterprise Income Stmt Exh 7'!M20</f>
        <v>56</v>
      </c>
      <c r="D17" s="47">
        <v>0</v>
      </c>
      <c r="E17" s="47">
        <f t="shared" si="1"/>
        <v>93</v>
      </c>
      <c r="H17" s="146" t="str">
        <f>IF(E17-'Enterprise Income Stmt Exh 7'!B20=0,"Yes",E17-'Enterprise Income Stmt Exh 7'!B20)</f>
        <v>Yes</v>
      </c>
      <c r="I17" s="322" t="str">
        <f t="shared" si="0"/>
        <v xml:space="preserve"> </v>
      </c>
    </row>
    <row r="18" spans="1:9" ht="15" x14ac:dyDescent="0.2">
      <c r="A18" s="36" t="s">
        <v>107</v>
      </c>
      <c r="B18" s="139">
        <f>'Enterprise Income Stmt Exh 7'!J21</f>
        <v>50</v>
      </c>
      <c r="C18" s="139">
        <f>'Enterprise Income Stmt Exh 7'!M21</f>
        <v>202</v>
      </c>
      <c r="D18" s="47">
        <v>0</v>
      </c>
      <c r="E18" s="47">
        <f t="shared" si="1"/>
        <v>252</v>
      </c>
      <c r="H18" s="146" t="str">
        <f>IF(E18-'Enterprise Income Stmt Exh 7'!B21=0,"Yes",E18-'Enterprise Income Stmt Exh 7'!B21)</f>
        <v>Yes</v>
      </c>
      <c r="I18" s="322" t="str">
        <f t="shared" si="0"/>
        <v xml:space="preserve"> </v>
      </c>
    </row>
    <row r="19" spans="1:9" ht="15" x14ac:dyDescent="0.2">
      <c r="A19" s="36" t="s">
        <v>26</v>
      </c>
      <c r="B19" s="139">
        <f>'Enterprise Income Stmt Exh 7'!J22</f>
        <v>315</v>
      </c>
      <c r="C19" s="139">
        <f>'Enterprise Income Stmt Exh 7'!M22</f>
        <v>363</v>
      </c>
      <c r="D19" s="47">
        <v>0</v>
      </c>
      <c r="E19" s="47">
        <f t="shared" si="1"/>
        <v>678</v>
      </c>
      <c r="H19" s="146" t="str">
        <f>IF(E19-'Enterprise Income Stmt Exh 7'!B22=0,"Yes",E19-'Enterprise Income Stmt Exh 7'!B22)</f>
        <v>Yes</v>
      </c>
      <c r="I19" s="322" t="str">
        <f t="shared" si="0"/>
        <v xml:space="preserve"> </v>
      </c>
    </row>
    <row r="20" spans="1:9" ht="15" x14ac:dyDescent="0.2">
      <c r="A20" s="36" t="s">
        <v>50</v>
      </c>
      <c r="B20" s="139">
        <f>'Enterprise Income Stmt Exh 7'!J23</f>
        <v>4610</v>
      </c>
      <c r="C20" s="139">
        <f>'Enterprise Income Stmt Exh 7'!M23</f>
        <v>426</v>
      </c>
      <c r="D20" s="47">
        <v>0</v>
      </c>
      <c r="E20" s="47">
        <f t="shared" si="1"/>
        <v>5036</v>
      </c>
      <c r="H20" s="146" t="str">
        <f>IF(E20-'Enterprise Income Stmt Exh 7'!B23=0,"Yes",E20-'Enterprise Income Stmt Exh 7'!B23)</f>
        <v>Yes</v>
      </c>
      <c r="I20" s="322" t="str">
        <f t="shared" si="0"/>
        <v xml:space="preserve"> </v>
      </c>
    </row>
    <row r="21" spans="1:9" ht="17.25" x14ac:dyDescent="0.35">
      <c r="A21" s="36" t="s">
        <v>91</v>
      </c>
      <c r="B21" s="140">
        <f>'Enterprise Income Stmt Exh 7'!J24</f>
        <v>27</v>
      </c>
      <c r="C21" s="140">
        <f>'Enterprise Income Stmt Exh 7'!M24</f>
        <v>0</v>
      </c>
      <c r="D21" s="98">
        <v>0</v>
      </c>
      <c r="E21" s="98">
        <f>SUM(B21:D21)</f>
        <v>27</v>
      </c>
      <c r="H21" s="146" t="str">
        <f>IF(E21-'Enterprise Income Stmt Exh 7'!B24=0,"Yes",E21-'Enterprise Income Stmt Exh 7'!B24)</f>
        <v>Yes</v>
      </c>
      <c r="I21" s="322" t="str">
        <f t="shared" si="0"/>
        <v xml:space="preserve"> </v>
      </c>
    </row>
    <row r="22" spans="1:9" ht="17.25" x14ac:dyDescent="0.35">
      <c r="A22" s="73" t="s">
        <v>61</v>
      </c>
      <c r="B22" s="34">
        <f>SUM(B14:B21)</f>
        <v>24099</v>
      </c>
      <c r="C22" s="34">
        <f>SUM(C14:C21)</f>
        <v>5459</v>
      </c>
      <c r="D22" s="34">
        <f>SUM(D14:D21)</f>
        <v>0</v>
      </c>
      <c r="E22" s="34">
        <f>SUM(E14:E21)</f>
        <v>29558</v>
      </c>
      <c r="F22" s="34"/>
      <c r="H22" s="146" t="str">
        <f>IF(E22-'Enterprise Income Stmt Exh 7'!B25=0,"Yes",E22-'Enterprise Income Stmt Exh 7'!B25)</f>
        <v>Yes</v>
      </c>
      <c r="I22" s="322" t="str">
        <f t="shared" si="0"/>
        <v xml:space="preserve"> </v>
      </c>
    </row>
    <row r="23" spans="1:9" ht="20.100000000000001" customHeight="1" x14ac:dyDescent="0.35">
      <c r="A23" s="103" t="s">
        <v>27</v>
      </c>
      <c r="B23" s="34">
        <f>+B11-B22</f>
        <v>-7525</v>
      </c>
      <c r="C23" s="34">
        <f>+C11-C22</f>
        <v>1735</v>
      </c>
      <c r="D23" s="34">
        <f>+D11-D22</f>
        <v>0</v>
      </c>
      <c r="E23" s="34">
        <f>+E11-E22</f>
        <v>-5790</v>
      </c>
      <c r="F23" s="34"/>
      <c r="H23" s="146" t="str">
        <f>IF(E23-'Enterprise Income Stmt Exh 7'!B26=0,"Yes",E23-'Enterprise Income Stmt Exh 7'!B26)</f>
        <v>Yes</v>
      </c>
      <c r="I23" s="322" t="str">
        <f t="shared" si="0"/>
        <v xml:space="preserve"> </v>
      </c>
    </row>
    <row r="24" spans="1:9" ht="21.95" customHeight="1" x14ac:dyDescent="0.25">
      <c r="A24" s="28" t="s">
        <v>261</v>
      </c>
    </row>
    <row r="25" spans="1:9" ht="17.25" x14ac:dyDescent="0.35">
      <c r="A25" s="70" t="s">
        <v>108</v>
      </c>
      <c r="B25" s="140">
        <f>'Enterprise Income Stmt Exh 7'!J29</f>
        <v>15296</v>
      </c>
      <c r="C25" s="140">
        <f>'Enterprise Income Stmt Exh 7'!M29</f>
        <v>0</v>
      </c>
      <c r="D25" s="98">
        <v>0</v>
      </c>
      <c r="E25" s="98">
        <f>SUM(B25:D25)</f>
        <v>15296</v>
      </c>
      <c r="H25" s="146" t="str">
        <f>IF(E25-'Enterprise Income Stmt Exh 7'!B29=0,"Yes",E25-'Enterprise Income Stmt Exh 7'!B29)</f>
        <v>Yes</v>
      </c>
      <c r="I25" s="322" t="str">
        <f t="shared" si="0"/>
        <v xml:space="preserve"> </v>
      </c>
    </row>
    <row r="26" spans="1:9" ht="20.100000000000001" customHeight="1" x14ac:dyDescent="0.35">
      <c r="A26" s="69" t="s">
        <v>28</v>
      </c>
      <c r="B26" s="34">
        <f>SUM(B25:B25)</f>
        <v>15296</v>
      </c>
      <c r="C26" s="34">
        <f>SUM(C25:C25)</f>
        <v>0</v>
      </c>
      <c r="D26" s="34">
        <f>SUM(D25:D25)</f>
        <v>0</v>
      </c>
      <c r="E26" s="34">
        <f>SUM(E25:E25)</f>
        <v>15296</v>
      </c>
      <c r="F26" s="34"/>
      <c r="H26" s="146" t="str">
        <f>IF(E26-'Enterprise Income Stmt Exh 7'!B29=0,"Yes",E26-'Enterprise Income Stmt Exh 7'!B29)</f>
        <v>Yes</v>
      </c>
      <c r="I26" s="322" t="str">
        <f t="shared" si="0"/>
        <v xml:space="preserve"> </v>
      </c>
    </row>
    <row r="27" spans="1:9" ht="30" x14ac:dyDescent="0.2">
      <c r="A27" s="175" t="s">
        <v>29</v>
      </c>
      <c r="B27" s="76">
        <f>+B23+B26</f>
        <v>7771</v>
      </c>
      <c r="C27" s="76">
        <f>+C23+C26</f>
        <v>1735</v>
      </c>
      <c r="D27" s="76">
        <f>+D23+D26</f>
        <v>0</v>
      </c>
      <c r="E27" s="76">
        <f>+E23+E26</f>
        <v>9506</v>
      </c>
      <c r="F27" s="76"/>
      <c r="H27" s="147" t="str">
        <f>IF(E27-'Enterprise Income Stmt Exh 7'!B31=0,"Yes",E27-'Enterprise Income Stmt Exh 7'!B31)</f>
        <v>Yes</v>
      </c>
      <c r="I27" s="322" t="str">
        <f t="shared" si="0"/>
        <v xml:space="preserve"> </v>
      </c>
    </row>
    <row r="28" spans="1:9" ht="17.25" x14ac:dyDescent="0.35">
      <c r="A28" s="54" t="s">
        <v>135</v>
      </c>
      <c r="B28" s="140">
        <f>'Enterprise Income Stmt Exh 7'!J32</f>
        <v>0</v>
      </c>
      <c r="C28" s="140">
        <f>'Enterprise Income Stmt Exh 7'!M32</f>
        <v>364</v>
      </c>
      <c r="D28" s="98">
        <v>0</v>
      </c>
      <c r="E28" s="98">
        <f>SUM(B28:D28)</f>
        <v>364</v>
      </c>
      <c r="F28" s="35"/>
      <c r="H28" s="147" t="str">
        <f>IF(E28-'Enterprise Income Stmt Exh 7'!B32=0,"Yes",E28-'Enterprise Income Stmt Exh 7'!B32)</f>
        <v>Yes</v>
      </c>
      <c r="I28" s="322" t="str">
        <f t="shared" si="0"/>
        <v xml:space="preserve"> </v>
      </c>
    </row>
    <row r="29" spans="1:9" ht="17.25" hidden="1" x14ac:dyDescent="0.35">
      <c r="A29" s="279" t="s">
        <v>83</v>
      </c>
      <c r="B29" s="140">
        <f>'Enterprise Income Stmt Exh 7'!J33</f>
        <v>0</v>
      </c>
      <c r="C29" s="140">
        <f>'Enterprise Income Stmt Exh 7'!M33</f>
        <v>0</v>
      </c>
      <c r="D29" s="98">
        <v>0</v>
      </c>
      <c r="E29" s="98">
        <f>SUM(B29:D29)</f>
        <v>0</v>
      </c>
      <c r="F29" s="34"/>
      <c r="H29" s="147" t="str">
        <f>IF(E29-'Enterprise Income Stmt Exh 7'!B33=0,"Yes",E29-'Enterprise Income Stmt Exh 7'!B33)</f>
        <v>Yes</v>
      </c>
      <c r="I29" s="322" t="str">
        <f t="shared" si="0"/>
        <v>Hide Row?</v>
      </c>
    </row>
    <row r="30" spans="1:9" ht="21.95" customHeight="1" x14ac:dyDescent="0.2">
      <c r="A30" s="109" t="s">
        <v>170</v>
      </c>
      <c r="B30" s="110">
        <f>SUM(B27:B29)</f>
        <v>7771</v>
      </c>
      <c r="C30" s="110">
        <f>SUM(C27:C29)</f>
        <v>2099</v>
      </c>
      <c r="D30" s="110">
        <f>SUM(D27:D29)</f>
        <v>0</v>
      </c>
      <c r="E30" s="110">
        <f>SUM(E27:E29)</f>
        <v>9870</v>
      </c>
      <c r="F30" s="32"/>
      <c r="H30" s="147" t="str">
        <f>IF(E30-'Enterprise Income Stmt Exh 7'!B34=0,"Yes",E30-'Enterprise Income Stmt Exh 7'!B34)</f>
        <v>Yes</v>
      </c>
      <c r="I30" s="322" t="str">
        <f t="shared" si="0"/>
        <v xml:space="preserve"> </v>
      </c>
    </row>
    <row r="31" spans="1:9" ht="20.100000000000001" customHeight="1" x14ac:dyDescent="0.35">
      <c r="A31" s="56" t="s">
        <v>209</v>
      </c>
      <c r="B31" s="140">
        <f>'Enterprise Income Stmt Exh 7'!J35</f>
        <v>6761</v>
      </c>
      <c r="C31" s="140">
        <f>'Enterprise Income Stmt Exh 7'!M35</f>
        <v>197</v>
      </c>
      <c r="D31" s="98">
        <v>0</v>
      </c>
      <c r="E31" s="98">
        <f>SUM(B31:D31)</f>
        <v>6958</v>
      </c>
      <c r="H31" s="147" t="str">
        <f>IF(E31-'Enterprise Income Stmt Exh 7'!B35=0,"Yes",E31-'Enterprise Income Stmt Exh 7'!B35)</f>
        <v>Yes</v>
      </c>
      <c r="I31" s="322" t="str">
        <f t="shared" si="0"/>
        <v xml:space="preserve"> </v>
      </c>
    </row>
    <row r="32" spans="1:9" ht="17.25" x14ac:dyDescent="0.35">
      <c r="A32" s="30" t="s">
        <v>210</v>
      </c>
      <c r="B32" s="37">
        <f>+B30+B31</f>
        <v>14532</v>
      </c>
      <c r="C32" s="37">
        <f>+C30+C31</f>
        <v>2296</v>
      </c>
      <c r="D32" s="37">
        <f>+D30+D31</f>
        <v>0</v>
      </c>
      <c r="E32" s="37">
        <f>+E30+E31</f>
        <v>16828</v>
      </c>
      <c r="F32" s="37"/>
      <c r="H32" s="147" t="str">
        <f>IF(E32-'Enterprise Income Stmt Exh 7'!B36=0,"Yes",E32-'Enterprise Income Stmt Exh 7'!B36)</f>
        <v>Yes</v>
      </c>
      <c r="I32" s="322" t="str">
        <f t="shared" si="0"/>
        <v xml:space="preserve"> </v>
      </c>
    </row>
    <row r="33" spans="1:9" ht="15" x14ac:dyDescent="0.2">
      <c r="A33" s="20"/>
      <c r="B33" s="20"/>
      <c r="C33" s="20"/>
      <c r="D33" s="20"/>
      <c r="E33" s="20"/>
      <c r="F33" s="20"/>
      <c r="I33" s="322"/>
    </row>
    <row r="34" spans="1:9" ht="15" x14ac:dyDescent="0.2">
      <c r="A34" s="20"/>
      <c r="B34" s="20"/>
      <c r="C34" s="20"/>
      <c r="D34" s="20"/>
      <c r="E34" s="20"/>
      <c r="F34" s="20"/>
    </row>
    <row r="35" spans="1:9" ht="15" x14ac:dyDescent="0.2">
      <c r="A35" s="78"/>
      <c r="B35" s="20"/>
      <c r="C35" s="20"/>
      <c r="D35" s="20"/>
      <c r="E35" s="20"/>
      <c r="F35" s="20"/>
    </row>
    <row r="36" spans="1:9" ht="15" x14ac:dyDescent="0.2">
      <c r="A36" s="20"/>
      <c r="B36" s="20"/>
      <c r="C36" s="20"/>
      <c r="D36" s="20"/>
      <c r="E36" s="20"/>
      <c r="F36" s="20"/>
    </row>
    <row r="37" spans="1:9" ht="15" x14ac:dyDescent="0.2">
      <c r="A37" s="20"/>
      <c r="B37" s="20"/>
      <c r="C37" s="20"/>
      <c r="D37" s="20"/>
      <c r="E37" s="20"/>
      <c r="F37" s="20"/>
    </row>
    <row r="38" spans="1:9" ht="15" x14ac:dyDescent="0.2">
      <c r="A38" s="20"/>
      <c r="B38" s="20"/>
      <c r="C38" s="20"/>
      <c r="D38" s="20"/>
      <c r="E38" s="20"/>
      <c r="F38" s="20"/>
    </row>
    <row r="39" spans="1:9" ht="15" x14ac:dyDescent="0.2">
      <c r="A39" s="20"/>
      <c r="B39" s="20"/>
      <c r="C39" s="20"/>
      <c r="D39" s="20"/>
      <c r="E39" s="20"/>
      <c r="F39" s="20"/>
    </row>
    <row r="40" spans="1:9" ht="15" x14ac:dyDescent="0.2">
      <c r="A40" s="20"/>
      <c r="B40" s="20"/>
      <c r="C40" s="20"/>
      <c r="D40" s="20"/>
      <c r="E40" s="20"/>
      <c r="F40" s="20"/>
    </row>
    <row r="41" spans="1:9" ht="15" x14ac:dyDescent="0.2">
      <c r="A41" s="20"/>
      <c r="B41" s="20"/>
      <c r="C41" s="20"/>
      <c r="D41" s="20"/>
      <c r="E41" s="20"/>
      <c r="F41" s="20"/>
    </row>
    <row r="42" spans="1:9" ht="15" x14ac:dyDescent="0.2">
      <c r="A42" s="20"/>
      <c r="B42" s="20"/>
      <c r="C42" s="20"/>
      <c r="D42" s="20"/>
      <c r="E42" s="20"/>
      <c r="F42" s="20"/>
    </row>
    <row r="43" spans="1:9" ht="45" x14ac:dyDescent="0.2">
      <c r="A43" s="240" t="s">
        <v>208</v>
      </c>
      <c r="B43" s="68" t="str">
        <f>IF(B32-'Doceo Enterprise Net Pos - SI'!B35=0,"Yes",B32-'Doceo Enterprise Net Pos - SI'!B35)</f>
        <v>Yes</v>
      </c>
      <c r="C43" s="68" t="str">
        <f>IF(C32-'Doceo Enterprise Net Pos - SI'!C35=0,"Yes",C32-'Doceo Enterprise Net Pos - SI'!C35)</f>
        <v>Yes</v>
      </c>
      <c r="D43" s="68" t="str">
        <f>IF(D32-'Doceo Enterprise Net Pos - SI'!D35=0,"Yes",D32-'Doceo Enterprise Net Pos - SI'!D35)</f>
        <v>Yes</v>
      </c>
      <c r="E43" s="68" t="str">
        <f>IF(E32-'Doceo Enterprise Net Pos - SI'!E35=0,"Yes",E32-'Doceo Enterprise Net Pos - SI'!E35)</f>
        <v>Yes</v>
      </c>
      <c r="F43" s="280"/>
    </row>
    <row r="44" spans="1:9" ht="30" x14ac:dyDescent="0.2">
      <c r="A44" s="240" t="s">
        <v>340</v>
      </c>
      <c r="E44" s="68" t="str">
        <f>IF(E30-'Enterprise Income Stmt Exh 7'!B34=0,"Yes",E30-'Enterprise Income Stmt Exh 7'!B34)</f>
        <v>Yes</v>
      </c>
    </row>
    <row r="45" spans="1:9" ht="15" x14ac:dyDescent="0.2">
      <c r="A45" s="20"/>
    </row>
  </sheetData>
  <mergeCells count="6">
    <mergeCell ref="B6:E6"/>
    <mergeCell ref="A1:E1"/>
    <mergeCell ref="A2:E2"/>
    <mergeCell ref="A3:E3"/>
    <mergeCell ref="A4:E4"/>
    <mergeCell ref="B5:E5"/>
  </mergeCells>
  <conditionalFormatting sqref="B43:E43">
    <cfRule type="cellIs" dxfId="69" priority="6" stopIfTrue="1" operator="notEqual">
      <formula>"Yes"</formula>
    </cfRule>
  </conditionalFormatting>
  <conditionalFormatting sqref="E44">
    <cfRule type="cellIs" dxfId="68" priority="5" stopIfTrue="1" operator="notEqual">
      <formula>"Yes"</formula>
    </cfRule>
  </conditionalFormatting>
  <conditionalFormatting sqref="H10:H11 H14:H23 H25:H32">
    <cfRule type="cellIs" dxfId="67" priority="1" stopIfTrue="1" operator="notEqual">
      <formula>"Yes"</formula>
    </cfRule>
  </conditionalFormatting>
  <conditionalFormatting sqref="H9">
    <cfRule type="cellIs" dxfId="66" priority="2" stopIfTrue="1" operator="notEqual">
      <formula>"Yes"</formula>
    </cfRule>
  </conditionalFormatting>
  <pageMargins left="0.75" right="0.75" top="0.75" bottom="0.75" header="0.3" footer="0.3"/>
  <pageSetup scale="97" orientation="portrait" r:id="rId1"/>
  <headerFooter>
    <oddHeader>&amp;R&amp;12Statement 4</oddHeader>
    <oddFooter>&amp;L&amp;12Revised:  July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43.7109375" customWidth="1"/>
    <col min="2" max="3" width="16.7109375" customWidth="1"/>
    <col min="4" max="4" width="16.7109375" hidden="1" customWidth="1"/>
    <col min="5" max="5" width="16.7109375" customWidth="1"/>
    <col min="8" max="9" width="14.7109375" customWidth="1"/>
  </cols>
  <sheetData>
    <row r="1" spans="1:9" ht="15.75" x14ac:dyDescent="0.25">
      <c r="A1" s="342" t="str">
        <f>'GW Net Position Exh 1'!A1</f>
        <v>Owl Charter, Inc.</v>
      </c>
      <c r="B1" s="342"/>
      <c r="C1" s="342"/>
      <c r="D1" s="342"/>
      <c r="E1" s="342"/>
    </row>
    <row r="2" spans="1:9" ht="2.1" customHeight="1" x14ac:dyDescent="0.25">
      <c r="A2" s="21"/>
      <c r="B2" s="21"/>
      <c r="C2" s="21"/>
      <c r="D2" s="21"/>
      <c r="E2" s="21"/>
    </row>
    <row r="3" spans="1:9" ht="15.75" x14ac:dyDescent="0.25">
      <c r="A3" s="383" t="s">
        <v>352</v>
      </c>
      <c r="B3" s="383"/>
      <c r="C3" s="383"/>
      <c r="D3" s="383"/>
      <c r="E3" s="383"/>
      <c r="F3" s="21"/>
    </row>
    <row r="4" spans="1:9" ht="15.75" x14ac:dyDescent="0.25">
      <c r="A4" s="374" t="str">
        <f>+'GW Stmt Activities Exh 2'!A3</f>
        <v>For the Year Ended June 30, 2020</v>
      </c>
      <c r="B4" s="374"/>
      <c r="C4" s="374"/>
      <c r="D4" s="374"/>
      <c r="E4" s="374"/>
    </row>
    <row r="5" spans="1:9" ht="21.95" customHeight="1" x14ac:dyDescent="0.35">
      <c r="A5" s="20"/>
      <c r="B5" s="372" t="str">
        <f>'Govt Funds Bal Sh Exh 3'!C7</f>
        <v>Owl - Doceo</v>
      </c>
      <c r="C5" s="372"/>
      <c r="D5" s="372"/>
      <c r="E5" s="372"/>
    </row>
    <row r="6" spans="1:9" ht="17.25" x14ac:dyDescent="0.35">
      <c r="A6" s="20"/>
      <c r="B6" s="338" t="s">
        <v>350</v>
      </c>
      <c r="C6" s="338"/>
      <c r="D6" s="338"/>
      <c r="E6" s="338"/>
    </row>
    <row r="7" spans="1:9" ht="36" customHeight="1" x14ac:dyDescent="0.35">
      <c r="A7" s="20"/>
      <c r="B7" s="27" t="s">
        <v>351</v>
      </c>
      <c r="C7" s="26" t="s">
        <v>408</v>
      </c>
      <c r="D7" s="26" t="s">
        <v>225</v>
      </c>
      <c r="E7" s="26" t="s">
        <v>345</v>
      </c>
      <c r="H7" s="320" t="s">
        <v>402</v>
      </c>
      <c r="I7" s="325" t="s">
        <v>391</v>
      </c>
    </row>
    <row r="8" spans="1:9" ht="17.25" x14ac:dyDescent="0.35">
      <c r="A8" s="113" t="s">
        <v>262</v>
      </c>
      <c r="H8" s="27"/>
    </row>
    <row r="9" spans="1:9" ht="15" x14ac:dyDescent="0.2">
      <c r="A9" s="104" t="s">
        <v>79</v>
      </c>
      <c r="B9" s="138">
        <f>'Enterprise Cash Flow Exh 8'!J11</f>
        <v>12278</v>
      </c>
      <c r="C9" s="138">
        <f>'Enterprise Cash Flow Exh 8'!M11</f>
        <v>6030</v>
      </c>
      <c r="D9" s="138">
        <v>0</v>
      </c>
      <c r="E9" s="29">
        <f>SUM(B9:D9)</f>
        <v>18308</v>
      </c>
      <c r="H9" s="146" t="str">
        <f>IF(E9-'Enterprise Cash Flow Exh 8'!B11=0,"Yes",E9-'Enterprise Cash Flow Exh 8'!B11)</f>
        <v>Yes</v>
      </c>
      <c r="I9" s="322" t="str">
        <f>IF(((ABS(B9)+ABS(C9)+ABS(D9)+ABS(E9))=0),"Hide Row?"," ")</f>
        <v xml:space="preserve"> </v>
      </c>
    </row>
    <row r="10" spans="1:9" ht="15" x14ac:dyDescent="0.2">
      <c r="A10" s="240" t="s">
        <v>55</v>
      </c>
      <c r="B10" s="139">
        <f>'Enterprise Cash Flow Exh 8'!J12</f>
        <v>-20774</v>
      </c>
      <c r="C10" s="139">
        <f>'Enterprise Cash Flow Exh 8'!M12</f>
        <v>-723</v>
      </c>
      <c r="D10" s="139">
        <v>0</v>
      </c>
      <c r="E10" s="47">
        <f>SUM(B10:D10)</f>
        <v>-21497</v>
      </c>
      <c r="H10" s="146" t="str">
        <f>IF(E10-'Enterprise Cash Flow Exh 8'!B12=0,"Yes",E10-'Enterprise Cash Flow Exh 8'!B12)</f>
        <v>Yes</v>
      </c>
      <c r="I10" s="322" t="str">
        <f t="shared" ref="I10:I33" si="0">IF(((ABS(B10)+ABS(C10)+ABS(D10)+ABS(E10))=0),"Hide Row?"," ")</f>
        <v xml:space="preserve"> </v>
      </c>
    </row>
    <row r="11" spans="1:9" ht="17.25" x14ac:dyDescent="0.35">
      <c r="A11" s="240" t="s">
        <v>109</v>
      </c>
      <c r="B11" s="140">
        <f>'Enterprise Cash Flow Exh 8'!J13</f>
        <v>-3331</v>
      </c>
      <c r="C11" s="140">
        <f>'Enterprise Cash Flow Exh 8'!M13</f>
        <v>-4613</v>
      </c>
      <c r="D11" s="140">
        <v>0</v>
      </c>
      <c r="E11" s="98">
        <f>SUM(B11:D11)</f>
        <v>-7944</v>
      </c>
      <c r="H11" s="146" t="str">
        <f>IF(E11-'Enterprise Cash Flow Exh 8'!B13=0,"Yes",E11-'Enterprise Cash Flow Exh 8'!B13)</f>
        <v>Yes</v>
      </c>
      <c r="I11" s="322" t="str">
        <f t="shared" si="0"/>
        <v xml:space="preserve"> </v>
      </c>
    </row>
    <row r="12" spans="1:9" ht="30" x14ac:dyDescent="0.35">
      <c r="A12" s="175" t="s">
        <v>56</v>
      </c>
      <c r="B12" s="94">
        <f>SUM(B9:B11)</f>
        <v>-11827</v>
      </c>
      <c r="C12" s="94">
        <f>SUM(C9:C11)</f>
        <v>694</v>
      </c>
      <c r="D12" s="94">
        <f>SUM(D9:D11)</f>
        <v>0</v>
      </c>
      <c r="E12" s="94">
        <f>SUM(E9:E11)</f>
        <v>-11133</v>
      </c>
      <c r="F12" s="94"/>
      <c r="H12" s="146" t="str">
        <f>IF(E12-'Enterprise Cash Flow Exh 8'!B14=0,"Yes",E12-'Enterprise Cash Flow Exh 8'!B14)</f>
        <v>Yes</v>
      </c>
      <c r="I12" s="322" t="str">
        <f t="shared" si="0"/>
        <v xml:space="preserve"> </v>
      </c>
    </row>
    <row r="13" spans="1:9" ht="36" customHeight="1" x14ac:dyDescent="0.25">
      <c r="A13" s="113" t="s">
        <v>263</v>
      </c>
      <c r="I13" s="322"/>
    </row>
    <row r="14" spans="1:9" ht="17.25" customHeight="1" x14ac:dyDescent="0.35">
      <c r="A14" s="240" t="s">
        <v>108</v>
      </c>
      <c r="B14" s="140">
        <f>'Enterprise Cash Flow Exh 8'!J16</f>
        <v>15296</v>
      </c>
      <c r="C14" s="140">
        <f>'Enterprise Cash Flow Exh 8'!M16</f>
        <v>0</v>
      </c>
      <c r="D14" s="140">
        <v>0</v>
      </c>
      <c r="E14" s="98">
        <f>SUM(B14:D14)</f>
        <v>15296</v>
      </c>
      <c r="H14" s="146" t="str">
        <f>IF(E14-'Enterprise Cash Flow Exh 8'!B16=0,"Yes",E14-'Enterprise Cash Flow Exh 8'!B16)</f>
        <v>Yes</v>
      </c>
      <c r="I14" s="322" t="str">
        <f t="shared" si="0"/>
        <v xml:space="preserve"> </v>
      </c>
    </row>
    <row r="15" spans="1:9" ht="36" customHeight="1" x14ac:dyDescent="0.25">
      <c r="A15" s="113" t="s">
        <v>264</v>
      </c>
      <c r="I15" s="322"/>
    </row>
    <row r="16" spans="1:9" ht="15" x14ac:dyDescent="0.2">
      <c r="A16" s="240" t="s">
        <v>135</v>
      </c>
      <c r="B16" s="139">
        <f>'Enterprise Cash Flow Exh 8'!J18</f>
        <v>0</v>
      </c>
      <c r="C16" s="139">
        <f>'Enterprise Cash Flow Exh 8'!M18</f>
        <v>364</v>
      </c>
      <c r="D16" s="139">
        <v>0</v>
      </c>
      <c r="E16" s="47">
        <f>SUM(B16:D16)</f>
        <v>364</v>
      </c>
      <c r="H16" s="146" t="str">
        <f>IF(E16-'Enterprise Cash Flow Exh 8'!B18=0,"Yes",E16-'Enterprise Cash Flow Exh 8'!B18)</f>
        <v>Yes</v>
      </c>
      <c r="I16" s="322" t="str">
        <f t="shared" si="0"/>
        <v xml:space="preserve"> </v>
      </c>
    </row>
    <row r="17" spans="1:9" ht="17.25" x14ac:dyDescent="0.35">
      <c r="A17" s="240" t="s">
        <v>110</v>
      </c>
      <c r="B17" s="140">
        <f>'Enterprise Cash Flow Exh 8'!J19</f>
        <v>-2735</v>
      </c>
      <c r="C17" s="140">
        <f>'Enterprise Cash Flow Exh 8'!M19</f>
        <v>-323</v>
      </c>
      <c r="D17" s="140">
        <v>0</v>
      </c>
      <c r="E17" s="98">
        <f>SUM(B17:D17)</f>
        <v>-3058</v>
      </c>
      <c r="H17" s="146" t="str">
        <f>IF(E17-'Enterprise Cash Flow Exh 8'!B19=0,"Yes",E17-'Enterprise Cash Flow Exh 8'!B19)</f>
        <v>Yes</v>
      </c>
      <c r="I17" s="322" t="str">
        <f t="shared" si="0"/>
        <v xml:space="preserve"> </v>
      </c>
    </row>
    <row r="18" spans="1:9" ht="32.1" customHeight="1" x14ac:dyDescent="0.35">
      <c r="A18" s="175" t="s">
        <v>136</v>
      </c>
      <c r="B18" s="94">
        <f>SUM(B16:B17)</f>
        <v>-2735</v>
      </c>
      <c r="C18" s="94">
        <f>SUM(C16:C17)</f>
        <v>41</v>
      </c>
      <c r="D18" s="94">
        <f>SUM(D16:D17)</f>
        <v>0</v>
      </c>
      <c r="E18" s="94">
        <f>SUM(E16:E17)</f>
        <v>-2694</v>
      </c>
      <c r="F18" s="94"/>
      <c r="H18" s="146" t="str">
        <f>IF(E18-'Enterprise Cash Flow Exh 8'!B20=0,"Yes",E18-'Enterprise Cash Flow Exh 8'!B20)</f>
        <v>Yes</v>
      </c>
      <c r="I18" s="322" t="str">
        <f t="shared" si="0"/>
        <v xml:space="preserve"> </v>
      </c>
    </row>
    <row r="19" spans="1:9" ht="32.1" customHeight="1" x14ac:dyDescent="0.2">
      <c r="A19" s="69" t="s">
        <v>57</v>
      </c>
      <c r="B19" s="47">
        <f>+B18+B14+B12</f>
        <v>734</v>
      </c>
      <c r="C19" s="47">
        <f>+C18+C14+C12</f>
        <v>735</v>
      </c>
      <c r="D19" s="47">
        <f>+D18+D14+D12</f>
        <v>0</v>
      </c>
      <c r="E19" s="47">
        <f>+E18+E14+E12</f>
        <v>1469</v>
      </c>
      <c r="F19" s="47"/>
      <c r="H19" s="146" t="str">
        <f>IF(E19-'Enterprise Cash Flow Exh 8'!B21=0,"Yes",E19-'Enterprise Cash Flow Exh 8'!B21)</f>
        <v>Yes</v>
      </c>
      <c r="I19" s="322" t="str">
        <f t="shared" si="0"/>
        <v xml:space="preserve"> </v>
      </c>
    </row>
    <row r="20" spans="1:9" ht="21.95" customHeight="1" x14ac:dyDescent="0.35">
      <c r="A20" s="39" t="s">
        <v>212</v>
      </c>
      <c r="B20" s="140">
        <f>'Enterprise Cash Flow Exh 8'!J22</f>
        <v>313</v>
      </c>
      <c r="C20" s="140">
        <f>'Enterprise Cash Flow Exh 8'!M22</f>
        <v>185</v>
      </c>
      <c r="D20" s="140">
        <v>0</v>
      </c>
      <c r="E20" s="98">
        <f>SUM(B20:D20)</f>
        <v>498</v>
      </c>
      <c r="H20" s="146" t="str">
        <f>IF(E20-'Enterprise Cash Flow Exh 8'!B22=0,"Yes",E20-'Enterprise Cash Flow Exh 8'!B22)</f>
        <v>Yes</v>
      </c>
      <c r="I20" s="322" t="str">
        <f t="shared" si="0"/>
        <v xml:space="preserve"> </v>
      </c>
    </row>
    <row r="21" spans="1:9" ht="20.100000000000001" customHeight="1" x14ac:dyDescent="0.35">
      <c r="A21" s="39" t="s">
        <v>213</v>
      </c>
      <c r="B21" s="95">
        <f>+B19+B20</f>
        <v>1047</v>
      </c>
      <c r="C21" s="95">
        <f>+C19+C20</f>
        <v>920</v>
      </c>
      <c r="D21" s="95">
        <f>+D19+D20</f>
        <v>0</v>
      </c>
      <c r="E21" s="95">
        <f>+E19+E20</f>
        <v>1967</v>
      </c>
      <c r="F21" s="95"/>
      <c r="H21" s="146" t="str">
        <f>IF(E21-'Enterprise Cash Flow Exh 8'!B23=0,"Yes",E21-'Enterprise Cash Flow Exh 8'!B23)</f>
        <v>Yes</v>
      </c>
      <c r="I21" s="322" t="str">
        <f t="shared" si="0"/>
        <v xml:space="preserve"> </v>
      </c>
    </row>
    <row r="22" spans="1:9" ht="35.1" customHeight="1" x14ac:dyDescent="0.2">
      <c r="A22" s="39" t="s">
        <v>58</v>
      </c>
      <c r="I22" s="322"/>
    </row>
    <row r="23" spans="1:9" ht="20.100000000000001" customHeight="1" x14ac:dyDescent="0.2">
      <c r="A23" s="75" t="s">
        <v>59</v>
      </c>
      <c r="B23" s="138">
        <f>'Enterprise Cash Flow Exh 8'!J25</f>
        <v>-7525</v>
      </c>
      <c r="C23" s="138">
        <f>'Enterprise Cash Flow Exh 8'!M25</f>
        <v>1735</v>
      </c>
      <c r="D23" s="138">
        <v>0</v>
      </c>
      <c r="E23" s="29">
        <f>SUM(B23:D23)</f>
        <v>-5790</v>
      </c>
      <c r="H23" s="146" t="str">
        <f>IF(E23-'Enterprise Cash Flow Exh 8'!B25=0,"Yes",E23-'Enterprise Cash Flow Exh 8'!B25)</f>
        <v>Yes</v>
      </c>
      <c r="I23" s="322" t="str">
        <f t="shared" si="0"/>
        <v xml:space="preserve"> </v>
      </c>
    </row>
    <row r="24" spans="1:9" ht="36" customHeight="1" x14ac:dyDescent="0.2">
      <c r="A24" s="91" t="s">
        <v>332</v>
      </c>
      <c r="I24" s="322"/>
    </row>
    <row r="25" spans="1:9" ht="15" x14ac:dyDescent="0.2">
      <c r="A25" s="104" t="s">
        <v>26</v>
      </c>
      <c r="B25" s="139">
        <f>'Enterprise Cash Flow Exh 8'!J27</f>
        <v>315</v>
      </c>
      <c r="C25" s="139">
        <f>'Enterprise Cash Flow Exh 8'!M27</f>
        <v>363</v>
      </c>
      <c r="D25" s="139">
        <v>0</v>
      </c>
      <c r="E25" s="47">
        <f>SUM(B25:D25)</f>
        <v>678</v>
      </c>
      <c r="H25" s="146" t="str">
        <f>IF(E25-'Enterprise Cash Flow Exh 8'!B27=0,"Yes",E25-'Enterprise Cash Flow Exh 8'!B27)</f>
        <v>Yes</v>
      </c>
      <c r="I25" s="322" t="str">
        <f t="shared" si="0"/>
        <v xml:space="preserve"> </v>
      </c>
    </row>
    <row r="26" spans="1:9" ht="15" x14ac:dyDescent="0.2">
      <c r="A26" s="240" t="s">
        <v>331</v>
      </c>
      <c r="I26" s="322"/>
    </row>
    <row r="27" spans="1:9" ht="30" x14ac:dyDescent="0.2">
      <c r="A27" s="175" t="s">
        <v>152</v>
      </c>
      <c r="B27" s="139">
        <f>'Enterprise Cash Flow Exh 8'!J29</f>
        <v>-2830</v>
      </c>
      <c r="C27" s="139">
        <f>'Enterprise Cash Flow Exh 8'!M29</f>
        <v>-273</v>
      </c>
      <c r="D27" s="139">
        <v>0</v>
      </c>
      <c r="E27" s="47">
        <f>SUM(B27:D27)</f>
        <v>-3103</v>
      </c>
      <c r="H27" s="146" t="str">
        <f>IF(E27-'Enterprise Cash Flow Exh 8'!B29=0,"Yes",E27-'Enterprise Cash Flow Exh 8'!B29)</f>
        <v>Yes</v>
      </c>
      <c r="I27" s="322" t="str">
        <f t="shared" si="0"/>
        <v xml:space="preserve"> </v>
      </c>
    </row>
    <row r="28" spans="1:9" ht="15" x14ac:dyDescent="0.2">
      <c r="A28" s="175" t="s">
        <v>154</v>
      </c>
      <c r="B28" s="139">
        <f>'Enterprise Cash Flow Exh 8'!J30</f>
        <v>-924</v>
      </c>
      <c r="C28" s="139">
        <f>'Enterprise Cash Flow Exh 8'!M30</f>
        <v>-1053</v>
      </c>
      <c r="D28" s="139">
        <v>0</v>
      </c>
      <c r="E28" s="47">
        <f>SUM(B28:D28)</f>
        <v>-1977</v>
      </c>
      <c r="H28" s="146" t="str">
        <f>IF(E28-'Enterprise Cash Flow Exh 8'!B30=0,"Yes",E28-'Enterprise Cash Flow Exh 8'!B30)</f>
        <v>Yes</v>
      </c>
      <c r="I28" s="322" t="str">
        <f t="shared" si="0"/>
        <v xml:space="preserve"> </v>
      </c>
    </row>
    <row r="29" spans="1:9" ht="15" x14ac:dyDescent="0.2">
      <c r="A29" s="175" t="s">
        <v>153</v>
      </c>
      <c r="B29" s="139">
        <f>'Enterprise Cash Flow Exh 8'!J31</f>
        <v>-259</v>
      </c>
      <c r="C29" s="139">
        <f>'Enterprise Cash Flow Exh 8'!M31</f>
        <v>-78</v>
      </c>
      <c r="D29" s="139">
        <v>0</v>
      </c>
      <c r="E29" s="47">
        <f>SUM(B29:D29)</f>
        <v>-337</v>
      </c>
      <c r="H29" s="146" t="str">
        <f>IF(E29-'Enterprise Cash Flow Exh 8'!B31=0,"Yes",E29-'Enterprise Cash Flow Exh 8'!B31)</f>
        <v>Yes</v>
      </c>
      <c r="I29" s="322" t="str">
        <f t="shared" si="0"/>
        <v xml:space="preserve"> </v>
      </c>
    </row>
    <row r="30" spans="1:9" ht="30" x14ac:dyDescent="0.2">
      <c r="A30" s="175" t="s">
        <v>60</v>
      </c>
      <c r="B30" s="139">
        <f>'Enterprise Cash Flow Exh 8'!J32</f>
        <v>-645</v>
      </c>
      <c r="C30" s="139">
        <f>'Enterprise Cash Flow Exh 8'!M32</f>
        <v>39</v>
      </c>
      <c r="D30" s="139">
        <v>0</v>
      </c>
      <c r="E30" s="47">
        <f>SUM(B30:D30)</f>
        <v>-606</v>
      </c>
      <c r="H30" s="146" t="str">
        <f>IF(E30-'Enterprise Cash Flow Exh 8'!B32=0,"Yes",E30-'Enterprise Cash Flow Exh 8'!B32)</f>
        <v>Yes</v>
      </c>
      <c r="I30" s="322" t="str">
        <f t="shared" si="0"/>
        <v xml:space="preserve"> </v>
      </c>
    </row>
    <row r="31" spans="1:9" ht="30" x14ac:dyDescent="0.35">
      <c r="A31" s="175" t="s">
        <v>164</v>
      </c>
      <c r="B31" s="140">
        <f>'Enterprise Cash Flow Exh 8'!J33</f>
        <v>41</v>
      </c>
      <c r="C31" s="140">
        <f>'Enterprise Cash Flow Exh 8'!M33</f>
        <v>-39</v>
      </c>
      <c r="D31" s="140">
        <v>0</v>
      </c>
      <c r="E31" s="98">
        <f>SUM(B31:D31)</f>
        <v>2</v>
      </c>
      <c r="H31" s="146" t="str">
        <f>IF(E31-'Enterprise Cash Flow Exh 8'!B33=0,"Yes",E31-'Enterprise Cash Flow Exh 8'!B33)</f>
        <v>Yes</v>
      </c>
      <c r="I31" s="322" t="str">
        <f t="shared" si="0"/>
        <v xml:space="preserve"> </v>
      </c>
    </row>
    <row r="32" spans="1:9" ht="20.100000000000001" customHeight="1" x14ac:dyDescent="0.35">
      <c r="A32" s="282" t="s">
        <v>211</v>
      </c>
      <c r="B32" s="94">
        <f>SUM(B25:B31)</f>
        <v>-4302</v>
      </c>
      <c r="C32" s="94">
        <f>SUM(C25:C31)</f>
        <v>-1041</v>
      </c>
      <c r="D32" s="94">
        <f>SUM(D25:D31)</f>
        <v>0</v>
      </c>
      <c r="E32" s="94">
        <f>SUM(E25:E31)</f>
        <v>-5343</v>
      </c>
      <c r="F32" s="94"/>
      <c r="H32" s="146" t="str">
        <f>IF(E32-'Enterprise Cash Flow Exh 8'!B34=0,"Yes",E32-'Enterprise Cash Flow Exh 8'!B34)</f>
        <v>Yes</v>
      </c>
      <c r="I32" s="322" t="str">
        <f t="shared" si="0"/>
        <v xml:space="preserve"> </v>
      </c>
    </row>
    <row r="33" spans="1:9" ht="30" x14ac:dyDescent="0.35">
      <c r="A33" s="175" t="s">
        <v>56</v>
      </c>
      <c r="B33" s="95">
        <f>+B32+B23</f>
        <v>-11827</v>
      </c>
      <c r="C33" s="95">
        <f>+C32+C23</f>
        <v>694</v>
      </c>
      <c r="D33" s="95">
        <f>+D32+D23</f>
        <v>0</v>
      </c>
      <c r="E33" s="95">
        <f>+E32+E23</f>
        <v>-11133</v>
      </c>
      <c r="F33" s="95"/>
      <c r="H33" s="146" t="str">
        <f>IF(E33-'Enterprise Cash Flow Exh 8'!B35=0,"Yes",E33-'Enterprise Cash Flow Exh 8'!B35)</f>
        <v>Yes</v>
      </c>
      <c r="I33" s="322" t="str">
        <f t="shared" si="0"/>
        <v xml:space="preserve"> </v>
      </c>
    </row>
    <row r="34" spans="1:9" ht="15" x14ac:dyDescent="0.2">
      <c r="A34" s="20"/>
    </row>
    <row r="35" spans="1:9" ht="15" x14ac:dyDescent="0.2">
      <c r="A35" s="20"/>
    </row>
    <row r="36" spans="1:9" ht="15" x14ac:dyDescent="0.2">
      <c r="A36" s="20"/>
    </row>
    <row r="37" spans="1:9" ht="15" x14ac:dyDescent="0.2">
      <c r="A37" s="20"/>
    </row>
    <row r="38" spans="1:9" ht="15" x14ac:dyDescent="0.2">
      <c r="A38" s="20"/>
    </row>
    <row r="39" spans="1:9" ht="15" x14ac:dyDescent="0.2">
      <c r="A39" s="20"/>
    </row>
    <row r="40" spans="1:9" ht="15" x14ac:dyDescent="0.2">
      <c r="A40" s="20"/>
    </row>
    <row r="41" spans="1:9" ht="15" x14ac:dyDescent="0.2">
      <c r="A41" s="20"/>
    </row>
    <row r="42" spans="1:9" ht="30" x14ac:dyDescent="0.2">
      <c r="A42" s="39" t="s">
        <v>214</v>
      </c>
      <c r="B42" s="68" t="str">
        <f>IF(B21-'Doceo Enterprise Net Pos - SI'!B10=0,"Yes",B21-'Doceo Enterprise Net Pos - SI'!B10)</f>
        <v>Yes</v>
      </c>
      <c r="C42" s="68" t="str">
        <f>IF(C21-'Doceo Enterprise Net Pos - SI'!C10=0,"Yes",C21-'Doceo Enterprise Net Pos - SI'!C10)</f>
        <v>Yes</v>
      </c>
      <c r="D42" s="68" t="str">
        <f>IF(D21-'Doceo Enterprise Net Pos - SI'!D10=0,"Yes",D21-'Doceo Enterprise Net Pos - SI'!D10)</f>
        <v>Yes</v>
      </c>
      <c r="E42" s="68" t="str">
        <f>IF(E21-'Doceo Enterprise Net Pos - SI'!E10=0,"Yes",E21-'Doceo Enterprise Net Pos - SI'!E10)</f>
        <v>Yes</v>
      </c>
    </row>
    <row r="43" spans="1:9" ht="30" x14ac:dyDescent="0.2">
      <c r="A43" s="39" t="s">
        <v>215</v>
      </c>
      <c r="B43" s="68" t="str">
        <f>IF(B23-'Doceo Enterprise Inc Stmt - SI'!B23=0,"Yes",B23-'Doceo Enterprise Inc Stmt - SI'!B23)</f>
        <v>Yes</v>
      </c>
      <c r="C43" s="68" t="str">
        <f>IF(C23-'Doceo Enterprise Inc Stmt - SI'!C23=0,"Yes",C23-'Doceo Enterprise Inc Stmt - SI'!C23)</f>
        <v>Yes</v>
      </c>
      <c r="D43" s="68" t="str">
        <f>IF(D23-'Doceo Enterprise Inc Stmt - SI'!D23=0,"Yes",D23-'Doceo Enterprise Inc Stmt - SI'!D23)</f>
        <v>Yes</v>
      </c>
      <c r="E43" s="68" t="str">
        <f>IF(E23-'Doceo Enterprise Inc Stmt - SI'!E23=0,"Yes",E23-'Doceo Enterprise Inc Stmt - SI'!E23)</f>
        <v>Yes</v>
      </c>
    </row>
    <row r="44" spans="1:9" ht="30" x14ac:dyDescent="0.2">
      <c r="A44" s="39" t="s">
        <v>265</v>
      </c>
      <c r="B44" s="68" t="str">
        <f>IF(B12-B33=0,"Yes",B12-B33)</f>
        <v>Yes</v>
      </c>
      <c r="C44" s="68" t="str">
        <f>IF(C12-C33=0,"Yes",C12-C33)</f>
        <v>Yes</v>
      </c>
      <c r="D44" s="68" t="str">
        <f>IF(D12-D33=0,"Yes",D12-D33)</f>
        <v>Yes</v>
      </c>
      <c r="E44" s="68" t="str">
        <f>IF(E12-E33=0,"Yes",E12-E33)</f>
        <v>Yes</v>
      </c>
    </row>
    <row r="45" spans="1:9" ht="15" x14ac:dyDescent="0.2">
      <c r="A45" s="20"/>
    </row>
  </sheetData>
  <mergeCells count="5">
    <mergeCell ref="B6:E6"/>
    <mergeCell ref="A3:E3"/>
    <mergeCell ref="A1:E1"/>
    <mergeCell ref="A4:E4"/>
    <mergeCell ref="B5:E5"/>
  </mergeCells>
  <conditionalFormatting sqref="B42:E44">
    <cfRule type="cellIs" dxfId="65" priority="3" stopIfTrue="1" operator="notEqual">
      <formula>"Yes"</formula>
    </cfRule>
  </conditionalFormatting>
  <conditionalFormatting sqref="H9">
    <cfRule type="cellIs" dxfId="64" priority="2" stopIfTrue="1" operator="notEqual">
      <formula>"Yes"</formula>
    </cfRule>
  </conditionalFormatting>
  <conditionalFormatting sqref="H10:H12 H14 H16:H21 H23 H25 H27:H33">
    <cfRule type="cellIs" dxfId="63" priority="1" stopIfTrue="1" operator="notEqual">
      <formula>"Yes"</formula>
    </cfRule>
  </conditionalFormatting>
  <pageMargins left="0.75" right="0.75" top="0.75" bottom="0.75" header="0.3" footer="0.3"/>
  <pageSetup scale="93" orientation="portrait" r:id="rId1"/>
  <headerFooter>
    <oddHeader>&amp;R&amp;12Statement 5</oddHeader>
    <oddFooter>&amp;L&amp;12Revised:  July 2020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tabColor rgb="FF00B050"/>
  </sheetPr>
  <dimension ref="A2:D2"/>
  <sheetViews>
    <sheetView showGridLines="0" workbookViewId="0">
      <selection activeCell="A33" sqref="A33"/>
    </sheetView>
  </sheetViews>
  <sheetFormatPr defaultRowHeight="12.75" x14ac:dyDescent="0.2"/>
  <sheetData>
    <row r="2" spans="1:4" ht="15" x14ac:dyDescent="0.2">
      <c r="A2" s="379" t="s">
        <v>271</v>
      </c>
      <c r="B2" s="379"/>
      <c r="C2" s="379"/>
      <c r="D2" s="379"/>
    </row>
  </sheetData>
  <mergeCells count="1">
    <mergeCell ref="A2:D2"/>
  </mergeCells>
  <printOptions horizontalCentered="1" verticalCentered="1"/>
  <pageMargins left="0.75" right="0.75" top="0.75" bottom="0.75" header="0.5" footer="0.5"/>
  <pageSetup orientation="portrait" r:id="rId1"/>
  <headerFooter>
    <oddHeader>&amp;C&amp;"Arial,Bold"&amp;12Owl Charter, Inc.</oddHeader>
    <oddFooter>&amp;L&amp;12Revised:  July 2020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9" tint="0.39997558519241921"/>
    <pageSetUpPr fitToPage="1"/>
  </sheetPr>
  <dimension ref="A1:AL95"/>
  <sheetViews>
    <sheetView showGridLines="0" zoomScaleNormal="100" zoomScaleSheetLayoutView="70" zoomScalePageLayoutView="80" workbookViewId="0">
      <selection activeCell="A33" sqref="A33"/>
    </sheetView>
  </sheetViews>
  <sheetFormatPr defaultRowHeight="12.75" x14ac:dyDescent="0.2"/>
  <cols>
    <col min="1" max="1" width="42.7109375" customWidth="1"/>
    <col min="2" max="3" width="14.7109375" customWidth="1"/>
    <col min="4" max="6" width="14.7109375" hidden="1" customWidth="1"/>
    <col min="7" max="20" width="14.7109375" customWidth="1"/>
    <col min="21" max="21" width="13.7109375" customWidth="1"/>
    <col min="22" max="22" width="12.140625" bestFit="1" customWidth="1"/>
    <col min="24" max="24" width="11" bestFit="1" customWidth="1"/>
  </cols>
  <sheetData>
    <row r="1" spans="1:38" ht="15.75" x14ac:dyDescent="0.25">
      <c r="A1" s="341" t="str">
        <f>'GW Net Position Exh 1'!A1</f>
        <v>Owl Charter, Inc.</v>
      </c>
      <c r="B1" s="341"/>
      <c r="C1" s="341"/>
      <c r="D1" s="341"/>
      <c r="E1" s="341"/>
      <c r="F1" s="341"/>
      <c r="G1" s="341"/>
      <c r="H1" s="19"/>
      <c r="I1" s="19"/>
      <c r="J1" s="19"/>
      <c r="K1" s="19"/>
      <c r="L1" s="19"/>
      <c r="M1" s="19"/>
      <c r="N1" s="19"/>
      <c r="O1" s="19"/>
      <c r="P1" s="19"/>
      <c r="Q1" s="19"/>
      <c r="R1" s="19"/>
      <c r="S1" s="19"/>
      <c r="T1" s="19"/>
      <c r="U1" s="19"/>
      <c r="V1" s="19"/>
      <c r="W1" s="20"/>
      <c r="X1" s="20"/>
      <c r="Y1" s="20"/>
      <c r="Z1" s="20"/>
      <c r="AA1" s="20"/>
      <c r="AB1" s="20"/>
      <c r="AC1" s="20"/>
      <c r="AD1" s="20"/>
      <c r="AE1" s="20"/>
      <c r="AF1" s="20"/>
      <c r="AG1" s="20"/>
      <c r="AH1" s="11"/>
      <c r="AI1" s="11"/>
      <c r="AJ1" s="11"/>
      <c r="AK1" s="11"/>
      <c r="AL1" s="11"/>
    </row>
    <row r="2" spans="1:38" ht="15.75" hidden="1" x14ac:dyDescent="0.25">
      <c r="A2" s="342" t="s">
        <v>6</v>
      </c>
      <c r="B2" s="342"/>
      <c r="C2" s="342"/>
      <c r="D2" s="342"/>
      <c r="E2" s="342"/>
      <c r="F2" s="342"/>
      <c r="G2" s="342"/>
      <c r="H2" s="21"/>
      <c r="I2" s="21"/>
      <c r="J2" s="21"/>
      <c r="K2" s="21"/>
      <c r="L2" s="21"/>
      <c r="M2" s="21"/>
      <c r="N2" s="21"/>
      <c r="O2" s="21"/>
      <c r="P2" s="21"/>
      <c r="Q2" s="21"/>
      <c r="R2" s="21"/>
      <c r="S2" s="21"/>
      <c r="T2" s="20"/>
      <c r="U2" s="20"/>
      <c r="V2" s="20"/>
      <c r="W2" s="20"/>
      <c r="X2" s="20"/>
      <c r="Y2" s="20"/>
      <c r="Z2" s="20"/>
      <c r="AA2" s="20"/>
      <c r="AB2" s="20"/>
      <c r="AC2" s="20"/>
      <c r="AD2" s="20"/>
      <c r="AE2" s="20"/>
      <c r="AF2" s="20"/>
      <c r="AG2" s="20"/>
      <c r="AH2" s="11"/>
      <c r="AI2" s="11"/>
      <c r="AJ2" s="11"/>
      <c r="AK2" s="11"/>
      <c r="AL2" s="11"/>
    </row>
    <row r="3" spans="1:38" ht="15.75" x14ac:dyDescent="0.25">
      <c r="A3" s="383" t="s">
        <v>346</v>
      </c>
      <c r="B3" s="383"/>
      <c r="C3" s="383"/>
      <c r="D3" s="383"/>
      <c r="E3" s="383"/>
      <c r="F3" s="383"/>
      <c r="G3" s="383"/>
      <c r="H3" s="21"/>
      <c r="I3" s="21"/>
      <c r="J3" s="21"/>
      <c r="K3" s="21"/>
      <c r="L3" s="21"/>
      <c r="M3" s="21"/>
      <c r="N3" s="21"/>
      <c r="O3" s="21"/>
      <c r="P3" s="21"/>
      <c r="Q3" s="21"/>
      <c r="R3" s="21"/>
      <c r="S3" s="21"/>
      <c r="T3" s="20"/>
      <c r="U3" s="20"/>
      <c r="V3" s="20"/>
      <c r="W3" s="20"/>
      <c r="X3" s="20"/>
      <c r="Y3" s="20"/>
      <c r="Z3" s="20"/>
      <c r="AA3" s="20"/>
      <c r="AB3" s="20"/>
      <c r="AC3" s="20"/>
      <c r="AD3" s="20"/>
      <c r="AE3" s="20"/>
      <c r="AF3" s="20"/>
      <c r="AG3" s="20"/>
      <c r="AH3" s="11"/>
      <c r="AI3" s="11"/>
      <c r="AJ3" s="11"/>
      <c r="AK3" s="11"/>
      <c r="AL3" s="11"/>
    </row>
    <row r="4" spans="1:38" ht="15.75" x14ac:dyDescent="0.25">
      <c r="A4" s="374" t="str">
        <f>+'GW Net Position Exh 1'!A3</f>
        <v>June 30, 2020</v>
      </c>
      <c r="B4" s="374"/>
      <c r="C4" s="374"/>
      <c r="D4" s="374"/>
      <c r="E4" s="374"/>
      <c r="F4" s="374"/>
      <c r="G4" s="374"/>
      <c r="H4" s="21"/>
      <c r="I4" s="21"/>
      <c r="J4" s="21"/>
      <c r="K4" s="21"/>
      <c r="L4" s="21"/>
      <c r="M4" s="21"/>
      <c r="N4" s="21"/>
      <c r="O4" s="21"/>
      <c r="P4" s="21"/>
      <c r="Q4" s="21"/>
      <c r="R4" s="21"/>
      <c r="S4" s="21"/>
      <c r="T4" s="20"/>
      <c r="U4" s="20"/>
      <c r="V4" s="20"/>
      <c r="W4" s="20"/>
      <c r="X4" s="20"/>
      <c r="Y4" s="20"/>
      <c r="Z4" s="20"/>
      <c r="AA4" s="20"/>
      <c r="AB4" s="20"/>
      <c r="AC4" s="20"/>
      <c r="AD4" s="20"/>
      <c r="AE4" s="20"/>
      <c r="AF4" s="20"/>
      <c r="AG4" s="20"/>
      <c r="AH4" s="11"/>
      <c r="AI4" s="11"/>
      <c r="AJ4" s="11"/>
      <c r="AK4" s="11"/>
      <c r="AL4" s="11"/>
    </row>
    <row r="5" spans="1:38" ht="21.95" customHeight="1" x14ac:dyDescent="0.35">
      <c r="A5" s="23"/>
      <c r="B5" s="372" t="str">
        <f>'Govt Funds Bal Sh Exh 3'!D7</f>
        <v>Owl - Erudio</v>
      </c>
      <c r="C5" s="372"/>
      <c r="D5" s="372"/>
      <c r="E5" s="372"/>
      <c r="F5" s="372"/>
      <c r="G5" s="372"/>
      <c r="H5" s="24"/>
      <c r="I5" s="365"/>
      <c r="J5" s="365"/>
      <c r="K5" s="365"/>
      <c r="L5" s="365"/>
      <c r="M5" s="365"/>
      <c r="N5" s="365"/>
      <c r="O5" s="365"/>
      <c r="P5" s="365"/>
      <c r="Q5" s="365"/>
      <c r="R5" s="365"/>
      <c r="S5" s="365"/>
      <c r="T5" s="365"/>
      <c r="U5" s="20"/>
      <c r="V5" s="20"/>
      <c r="W5" s="20"/>
      <c r="X5" s="20"/>
      <c r="Y5" s="20"/>
      <c r="Z5" s="20"/>
      <c r="AA5" s="20"/>
      <c r="AB5" s="20"/>
      <c r="AC5" s="20"/>
      <c r="AD5" s="20"/>
      <c r="AE5" s="20"/>
      <c r="AF5" s="20"/>
      <c r="AG5" s="20"/>
      <c r="AH5" s="11"/>
      <c r="AI5" s="11"/>
      <c r="AJ5" s="11"/>
      <c r="AK5" s="11"/>
      <c r="AL5" s="11"/>
    </row>
    <row r="6" spans="1:38" ht="18" customHeight="1" x14ac:dyDescent="0.35">
      <c r="A6" s="23"/>
      <c r="B6" s="338" t="s">
        <v>342</v>
      </c>
      <c r="C6" s="337" t="s">
        <v>343</v>
      </c>
      <c r="D6" s="337" t="s">
        <v>344</v>
      </c>
      <c r="E6" s="337" t="s">
        <v>278</v>
      </c>
      <c r="F6" s="338" t="s">
        <v>225</v>
      </c>
      <c r="G6" s="87"/>
      <c r="H6" s="24"/>
      <c r="I6" s="386" t="s">
        <v>324</v>
      </c>
      <c r="J6" s="275"/>
      <c r="K6" s="275"/>
      <c r="L6" s="365"/>
      <c r="M6" s="365"/>
      <c r="N6" s="365"/>
      <c r="O6" s="365"/>
      <c r="P6" s="365"/>
      <c r="Q6" s="365"/>
      <c r="R6" s="365"/>
      <c r="S6" s="365"/>
      <c r="T6" s="365"/>
      <c r="U6" s="20"/>
      <c r="V6" s="20"/>
      <c r="W6" s="20"/>
      <c r="X6" s="20"/>
      <c r="Y6" s="20"/>
      <c r="Z6" s="20"/>
      <c r="AA6" s="20"/>
      <c r="AB6" s="20"/>
      <c r="AC6" s="20"/>
      <c r="AD6" s="20"/>
      <c r="AE6" s="20"/>
      <c r="AF6" s="20"/>
      <c r="AG6" s="20"/>
      <c r="AH6" s="11"/>
      <c r="AI6" s="11"/>
      <c r="AJ6" s="11"/>
      <c r="AK6" s="11"/>
      <c r="AL6" s="11"/>
    </row>
    <row r="7" spans="1:38" ht="18" customHeight="1" x14ac:dyDescent="0.35">
      <c r="A7" s="20"/>
      <c r="B7" s="338"/>
      <c r="C7" s="337"/>
      <c r="D7" s="337"/>
      <c r="E7" s="337"/>
      <c r="F7" s="338"/>
      <c r="G7" s="26" t="s">
        <v>345</v>
      </c>
      <c r="H7" s="27"/>
      <c r="I7" s="386"/>
      <c r="J7" s="325" t="s">
        <v>391</v>
      </c>
      <c r="K7" s="27"/>
      <c r="L7" s="27"/>
      <c r="M7" s="27"/>
      <c r="N7" s="27"/>
      <c r="O7" s="27"/>
      <c r="P7" s="27"/>
      <c r="Q7" s="27"/>
      <c r="R7" s="27"/>
      <c r="S7" s="27"/>
      <c r="T7" s="27"/>
      <c r="U7" s="20"/>
      <c r="V7" s="20"/>
      <c r="W7" s="20"/>
      <c r="X7" s="20"/>
      <c r="Y7" s="20"/>
      <c r="Z7" s="20"/>
      <c r="AA7" s="20"/>
      <c r="AB7" s="20"/>
      <c r="AC7" s="20"/>
      <c r="AD7" s="20"/>
      <c r="AE7" s="20"/>
      <c r="AF7" s="20"/>
      <c r="AG7" s="20"/>
      <c r="AH7" s="11"/>
      <c r="AI7" s="11"/>
      <c r="AJ7" s="11"/>
      <c r="AK7" s="11"/>
      <c r="AL7" s="11"/>
    </row>
    <row r="8" spans="1:38" ht="15.75" customHeight="1" x14ac:dyDescent="0.25">
      <c r="A8" s="28" t="s">
        <v>227</v>
      </c>
      <c r="B8" s="20"/>
      <c r="C8" s="20"/>
      <c r="D8" s="20"/>
      <c r="E8" s="20"/>
      <c r="F8" s="20"/>
      <c r="G8" s="20"/>
      <c r="H8" s="20"/>
      <c r="I8" s="30"/>
      <c r="J8" s="30"/>
      <c r="K8" s="30"/>
      <c r="L8" s="30"/>
      <c r="M8" s="30"/>
      <c r="N8" s="30"/>
      <c r="O8" s="30"/>
      <c r="P8" s="30"/>
      <c r="Q8" s="30"/>
      <c r="R8" s="30"/>
      <c r="S8" s="30"/>
      <c r="T8" s="30"/>
      <c r="U8" s="20"/>
      <c r="V8" s="20"/>
      <c r="W8" s="20"/>
      <c r="X8" s="20"/>
      <c r="Y8" s="20"/>
      <c r="Z8" s="20"/>
      <c r="AA8" s="20"/>
      <c r="AB8" s="20"/>
      <c r="AC8" s="20"/>
      <c r="AD8" s="20"/>
      <c r="AE8" s="20"/>
      <c r="AF8" s="20"/>
      <c r="AG8" s="20"/>
      <c r="AH8" s="11"/>
      <c r="AI8" s="11"/>
      <c r="AJ8" s="11"/>
      <c r="AK8" s="11"/>
      <c r="AL8" s="11"/>
    </row>
    <row r="9" spans="1:38" ht="15.75" customHeight="1" x14ac:dyDescent="0.25">
      <c r="A9" s="36" t="s">
        <v>1</v>
      </c>
      <c r="B9" s="18">
        <f>'Govt Funds Bal Sh Exh 3'!N9</f>
        <v>353273</v>
      </c>
      <c r="C9" s="18">
        <f>'Govt Funds Bal Sh Exh 3'!Q9</f>
        <v>116580</v>
      </c>
      <c r="D9" s="18">
        <f>'Govt Funds Bal Sh Exh 3'!T9</f>
        <v>0</v>
      </c>
      <c r="E9" s="18">
        <f>'Govt Funds Bal Sh Exh 3'!W9</f>
        <v>0</v>
      </c>
      <c r="F9" s="18">
        <v>0</v>
      </c>
      <c r="G9" s="18">
        <f t="shared" ref="G9:G14" si="0">SUM(B9:F9)</f>
        <v>469853</v>
      </c>
      <c r="H9" s="18"/>
      <c r="I9" s="146" t="str">
        <f>IF(G9-'Govt Funds Bal Sh Exh 3'!D9=0,"Yes",G9-'Govt Funds Bal Sh Exh 3'!D9)</f>
        <v>Yes</v>
      </c>
      <c r="J9" s="322" t="str">
        <f>IF(((ABS(B9)+ABS(C9)+ABS(D9)+ABS(E9)+ABS(F9)+ABS(G9))=0),"Hide Row?"," ")</f>
        <v xml:space="preserve"> </v>
      </c>
      <c r="K9" s="38"/>
      <c r="L9" s="38"/>
      <c r="M9" s="38"/>
      <c r="N9" s="38"/>
      <c r="O9" s="38"/>
      <c r="P9" s="38"/>
      <c r="Q9" s="38"/>
      <c r="R9" s="38"/>
      <c r="S9" s="38"/>
      <c r="T9" s="38"/>
      <c r="U9" s="29"/>
      <c r="V9" s="20"/>
      <c r="W9" s="20"/>
      <c r="X9" s="29"/>
      <c r="Y9" s="20"/>
      <c r="Z9" s="20"/>
      <c r="AA9" s="20"/>
      <c r="AB9" s="20"/>
      <c r="AC9" s="20"/>
      <c r="AD9" s="20"/>
      <c r="AE9" s="20"/>
      <c r="AF9" s="20"/>
      <c r="AG9" s="20"/>
      <c r="AH9" s="11"/>
      <c r="AI9" s="11"/>
      <c r="AJ9" s="11"/>
      <c r="AK9" s="11"/>
      <c r="AL9" s="11"/>
    </row>
    <row r="10" spans="1:38" ht="15.75" customHeight="1" x14ac:dyDescent="0.25">
      <c r="A10" s="36" t="s">
        <v>46</v>
      </c>
      <c r="B10" s="32">
        <f>'Govt Funds Bal Sh Exh 3'!N10</f>
        <v>21130</v>
      </c>
      <c r="C10" s="32">
        <f>'Govt Funds Bal Sh Exh 3'!Q10</f>
        <v>6973</v>
      </c>
      <c r="D10" s="32">
        <f>'Govt Funds Bal Sh Exh 3'!T10</f>
        <v>0</v>
      </c>
      <c r="E10" s="32">
        <f>'Govt Funds Bal Sh Exh 3'!W10</f>
        <v>0</v>
      </c>
      <c r="F10" s="33">
        <v>0</v>
      </c>
      <c r="G10" s="33">
        <f t="shared" si="0"/>
        <v>28103</v>
      </c>
      <c r="H10" s="32"/>
      <c r="I10" s="146" t="str">
        <f>IF(G10-'Govt Funds Bal Sh Exh 3'!D10=0,"Yes",G10-'Govt Funds Bal Sh Exh 3'!D10)</f>
        <v>Yes</v>
      </c>
      <c r="J10" s="322" t="str">
        <f t="shared" ref="J10:J31" si="1">IF(((ABS(B10)+ABS(C10)+ABS(D10)+ABS(E10)+ABS(F10)+ABS(G10))=0),"Hide Row?"," ")</f>
        <v xml:space="preserve"> </v>
      </c>
      <c r="K10" s="31"/>
      <c r="L10" s="31"/>
      <c r="M10" s="31"/>
      <c r="N10" s="31"/>
      <c r="O10" s="31"/>
      <c r="P10" s="31"/>
      <c r="Q10" s="31"/>
      <c r="R10" s="31"/>
      <c r="S10" s="31"/>
      <c r="T10" s="31"/>
      <c r="U10" s="20"/>
      <c r="V10" s="20"/>
      <c r="W10" s="20"/>
      <c r="X10" s="20"/>
      <c r="Y10" s="20"/>
      <c r="Z10" s="20"/>
      <c r="AA10" s="20"/>
      <c r="AB10" s="20"/>
      <c r="AC10" s="20"/>
      <c r="AD10" s="20"/>
      <c r="AE10" s="20"/>
      <c r="AF10" s="20"/>
      <c r="AG10" s="20"/>
      <c r="AH10" s="11"/>
      <c r="AI10" s="11"/>
      <c r="AJ10" s="11"/>
      <c r="AK10" s="11"/>
      <c r="AL10" s="11"/>
    </row>
    <row r="11" spans="1:38" ht="15.75" hidden="1" customHeight="1" x14ac:dyDescent="0.25">
      <c r="A11" s="40" t="s">
        <v>78</v>
      </c>
      <c r="B11" s="32">
        <f>'Govt Funds Bal Sh Exh 3'!N11</f>
        <v>0</v>
      </c>
      <c r="C11" s="32">
        <f>'Govt Funds Bal Sh Exh 3'!Q11</f>
        <v>0</v>
      </c>
      <c r="D11" s="32">
        <f>'Govt Funds Bal Sh Exh 3'!T11</f>
        <v>0</v>
      </c>
      <c r="E11" s="32">
        <f>'Govt Funds Bal Sh Exh 3'!W11</f>
        <v>0</v>
      </c>
      <c r="F11" s="31">
        <v>0</v>
      </c>
      <c r="G11" s="31">
        <f t="shared" si="0"/>
        <v>0</v>
      </c>
      <c r="H11" s="32"/>
      <c r="I11" s="146" t="str">
        <f>IF(G11-'Govt Funds Bal Sh Exh 3'!D11=0,"Yes",G11-'Govt Funds Bal Sh Exh 3'!D11)</f>
        <v>Yes</v>
      </c>
      <c r="J11" s="322" t="str">
        <f t="shared" si="1"/>
        <v>Hide Row?</v>
      </c>
      <c r="K11" s="31"/>
      <c r="L11" s="31"/>
      <c r="M11" s="31"/>
      <c r="N11" s="31"/>
      <c r="O11" s="31"/>
      <c r="P11" s="31"/>
      <c r="Q11" s="31"/>
      <c r="R11" s="31"/>
      <c r="S11" s="31"/>
      <c r="T11" s="31"/>
      <c r="U11" s="20"/>
      <c r="V11" s="20"/>
      <c r="W11" s="20"/>
      <c r="X11" s="20"/>
      <c r="Y11" s="20"/>
      <c r="Z11" s="20"/>
      <c r="AA11" s="20"/>
      <c r="AB11" s="20"/>
      <c r="AC11" s="20"/>
      <c r="AD11" s="20"/>
      <c r="AE11" s="20"/>
      <c r="AF11" s="20"/>
      <c r="AG11" s="20"/>
      <c r="AH11" s="11"/>
      <c r="AI11" s="11"/>
      <c r="AJ11" s="11"/>
      <c r="AK11" s="11"/>
      <c r="AL11" s="11"/>
    </row>
    <row r="12" spans="1:38" ht="15.75" customHeight="1" x14ac:dyDescent="0.25">
      <c r="A12" s="36" t="s">
        <v>2</v>
      </c>
      <c r="B12" s="32">
        <f>'Govt Funds Bal Sh Exh 3'!N12</f>
        <v>322</v>
      </c>
      <c r="C12" s="32">
        <f>'Govt Funds Bal Sh Exh 3'!Q12</f>
        <v>0</v>
      </c>
      <c r="D12" s="32">
        <f>'Govt Funds Bal Sh Exh 3'!T12</f>
        <v>0</v>
      </c>
      <c r="E12" s="32">
        <f>'Govt Funds Bal Sh Exh 3'!W12</f>
        <v>0</v>
      </c>
      <c r="F12" s="33">
        <v>0</v>
      </c>
      <c r="G12" s="33">
        <f t="shared" si="0"/>
        <v>322</v>
      </c>
      <c r="H12" s="32"/>
      <c r="I12" s="146" t="str">
        <f>IF(G12-'Govt Funds Bal Sh Exh 3'!D12=0,"Yes",G12-'Govt Funds Bal Sh Exh 3'!D12)</f>
        <v>Yes</v>
      </c>
      <c r="J12" s="322" t="str">
        <f t="shared" si="1"/>
        <v xml:space="preserve"> </v>
      </c>
      <c r="K12" s="31"/>
      <c r="L12" s="31"/>
      <c r="M12" s="31"/>
      <c r="N12" s="31"/>
      <c r="O12" s="31"/>
      <c r="P12" s="31"/>
      <c r="Q12" s="31"/>
      <c r="R12" s="31"/>
      <c r="S12" s="31"/>
      <c r="T12" s="31"/>
      <c r="U12" s="20"/>
      <c r="V12" s="20"/>
      <c r="W12" s="20"/>
      <c r="X12" s="20"/>
      <c r="Y12" s="20"/>
      <c r="Z12" s="20"/>
      <c r="AA12" s="20"/>
      <c r="AB12" s="20"/>
      <c r="AC12" s="20"/>
      <c r="AD12" s="20"/>
      <c r="AE12" s="20"/>
      <c r="AF12" s="20"/>
      <c r="AG12" s="20"/>
      <c r="AH12" s="11"/>
      <c r="AI12" s="11"/>
      <c r="AJ12" s="11"/>
      <c r="AK12" s="11"/>
      <c r="AL12" s="11"/>
    </row>
    <row r="13" spans="1:38" ht="17.25" customHeight="1" x14ac:dyDescent="0.35">
      <c r="A13" s="36" t="s">
        <v>129</v>
      </c>
      <c r="B13" s="35">
        <f>'Govt Funds Bal Sh Exh 3'!N13</f>
        <v>3646</v>
      </c>
      <c r="C13" s="35">
        <f>'Govt Funds Bal Sh Exh 3'!Q13</f>
        <v>0</v>
      </c>
      <c r="D13" s="35">
        <f>'Govt Funds Bal Sh Exh 3'!T13</f>
        <v>0</v>
      </c>
      <c r="E13" s="35">
        <f>'Govt Funds Bal Sh Exh 3'!W13</f>
        <v>0</v>
      </c>
      <c r="F13" s="34">
        <v>0</v>
      </c>
      <c r="G13" s="34">
        <f t="shared" si="0"/>
        <v>3646</v>
      </c>
      <c r="H13" s="35"/>
      <c r="I13" s="146" t="str">
        <f>IF(G13-'Govt Funds Bal Sh Exh 3'!D13=0,"Yes",G13-'Govt Funds Bal Sh Exh 3'!D13)</f>
        <v>Yes</v>
      </c>
      <c r="J13" s="322" t="str">
        <f t="shared" si="1"/>
        <v xml:space="preserve"> </v>
      </c>
      <c r="K13" s="41"/>
      <c r="L13" s="41"/>
      <c r="M13" s="41"/>
      <c r="N13" s="41"/>
      <c r="O13" s="41"/>
      <c r="P13" s="41"/>
      <c r="Q13" s="41"/>
      <c r="R13" s="41"/>
      <c r="S13" s="41"/>
      <c r="T13" s="41"/>
      <c r="U13" s="20"/>
      <c r="V13" s="20"/>
      <c r="W13" s="20"/>
      <c r="X13" s="20"/>
      <c r="Y13" s="20"/>
      <c r="Z13" s="20"/>
      <c r="AA13" s="20"/>
      <c r="AB13" s="20"/>
      <c r="AC13" s="20"/>
      <c r="AD13" s="20"/>
      <c r="AE13" s="20"/>
      <c r="AF13" s="20"/>
      <c r="AG13" s="20"/>
      <c r="AH13" s="11"/>
      <c r="AI13" s="11"/>
      <c r="AJ13" s="11"/>
      <c r="AK13" s="11"/>
      <c r="AL13" s="11"/>
    </row>
    <row r="14" spans="1:38" ht="21.95" customHeight="1" x14ac:dyDescent="0.35">
      <c r="A14" s="73" t="s">
        <v>3</v>
      </c>
      <c r="B14" s="37">
        <f>SUM(B9:B13)</f>
        <v>378371</v>
      </c>
      <c r="C14" s="37">
        <f>SUM(C9:C13)</f>
        <v>123553</v>
      </c>
      <c r="D14" s="37">
        <f>SUM(D9:D13)</f>
        <v>0</v>
      </c>
      <c r="E14" s="37">
        <f>SUM(E9:E13)</f>
        <v>0</v>
      </c>
      <c r="F14" s="37">
        <f>SUM(F9:F13)</f>
        <v>0</v>
      </c>
      <c r="G14" s="37">
        <f t="shared" si="0"/>
        <v>501924</v>
      </c>
      <c r="H14" s="37"/>
      <c r="I14" s="146" t="str">
        <f>IF(G14-'Govt Funds Bal Sh Exh 3'!D14=0,"Yes",G14-'Govt Funds Bal Sh Exh 3'!D14)</f>
        <v>Yes</v>
      </c>
      <c r="J14" s="322" t="str">
        <f t="shared" si="1"/>
        <v xml:space="preserve"> </v>
      </c>
      <c r="K14" s="49"/>
      <c r="L14" s="49"/>
      <c r="M14" s="49"/>
      <c r="N14" s="49"/>
      <c r="O14" s="49"/>
      <c r="P14" s="49"/>
      <c r="Q14" s="49"/>
      <c r="R14" s="49"/>
      <c r="S14" s="49"/>
      <c r="T14" s="49"/>
      <c r="U14" s="20"/>
      <c r="V14" s="20"/>
      <c r="W14" s="20"/>
      <c r="X14" s="20"/>
      <c r="Y14" s="20"/>
      <c r="Z14" s="20"/>
      <c r="AA14" s="20"/>
      <c r="AB14" s="20"/>
      <c r="AC14" s="20"/>
      <c r="AD14" s="20"/>
      <c r="AE14" s="20"/>
      <c r="AF14" s="20"/>
      <c r="AG14" s="20"/>
      <c r="AH14" s="11"/>
      <c r="AI14" s="11"/>
      <c r="AJ14" s="11"/>
      <c r="AK14" s="11"/>
      <c r="AL14" s="11"/>
    </row>
    <row r="15" spans="1:38" ht="21" customHeight="1" x14ac:dyDescent="0.25">
      <c r="A15" s="28" t="s">
        <v>228</v>
      </c>
      <c r="B15" s="20"/>
      <c r="C15" s="20"/>
      <c r="D15" s="20"/>
      <c r="E15" s="20"/>
      <c r="F15" s="20"/>
      <c r="G15" s="20"/>
      <c r="H15" s="20"/>
      <c r="I15" s="146"/>
      <c r="J15" s="322"/>
      <c r="K15" s="30"/>
      <c r="L15" s="30"/>
      <c r="M15" s="30"/>
      <c r="N15" s="30"/>
      <c r="O15" s="30"/>
      <c r="P15" s="30"/>
      <c r="Q15" s="30"/>
      <c r="R15" s="30"/>
      <c r="S15" s="30"/>
      <c r="T15" s="30"/>
      <c r="U15" s="20"/>
      <c r="V15" s="20"/>
      <c r="W15" s="20"/>
      <c r="X15" s="20"/>
      <c r="Y15" s="20"/>
      <c r="Z15" s="20"/>
      <c r="AA15" s="20"/>
      <c r="AB15" s="20"/>
      <c r="AC15" s="20"/>
      <c r="AD15" s="20"/>
      <c r="AE15" s="20"/>
      <c r="AF15" s="20"/>
      <c r="AG15" s="20"/>
      <c r="AH15" s="11"/>
      <c r="AI15" s="11"/>
      <c r="AJ15" s="11"/>
      <c r="AK15" s="11"/>
      <c r="AL15" s="11"/>
    </row>
    <row r="16" spans="1:38" ht="15.75" customHeight="1" x14ac:dyDescent="0.25">
      <c r="A16" s="278" t="s">
        <v>45</v>
      </c>
      <c r="B16" s="18">
        <f>'Govt Funds Bal Sh Exh 3'!N16</f>
        <v>155462</v>
      </c>
      <c r="C16" s="18">
        <f>'Govt Funds Bal Sh Exh 3'!Q16</f>
        <v>47793</v>
      </c>
      <c r="D16" s="18">
        <f>'Govt Funds Bal Sh Exh 3'!T16</f>
        <v>0</v>
      </c>
      <c r="E16" s="18">
        <f>'Govt Funds Bal Sh Exh 3'!W16</f>
        <v>0</v>
      </c>
      <c r="F16" s="18">
        <v>0</v>
      </c>
      <c r="G16" s="18">
        <f t="shared" ref="G16:G21" si="2">SUM(B16:F16)</f>
        <v>203255</v>
      </c>
      <c r="H16" s="18"/>
      <c r="I16" s="146" t="str">
        <f>IF(G16-'Govt Funds Bal Sh Exh 3'!D16=0,"Yes",G16-'Govt Funds Bal Sh Exh 3'!D16)</f>
        <v>Yes</v>
      </c>
      <c r="J16" s="322" t="str">
        <f t="shared" si="1"/>
        <v xml:space="preserve"> </v>
      </c>
      <c r="K16" s="38"/>
      <c r="L16" s="38"/>
      <c r="M16" s="38"/>
      <c r="N16" s="38"/>
      <c r="O16" s="38"/>
      <c r="P16" s="38"/>
      <c r="Q16" s="38"/>
      <c r="R16" s="38"/>
      <c r="S16" s="38"/>
      <c r="T16" s="38"/>
      <c r="U16" s="20"/>
      <c r="V16" s="30"/>
      <c r="W16" s="30"/>
      <c r="X16" s="30"/>
      <c r="Y16" s="30"/>
      <c r="Z16" s="20"/>
      <c r="AA16" s="20"/>
      <c r="AB16" s="20"/>
      <c r="AC16" s="20"/>
      <c r="AD16" s="20"/>
      <c r="AE16" s="20"/>
      <c r="AF16" s="20"/>
      <c r="AG16" s="20"/>
      <c r="AH16" s="11"/>
      <c r="AI16" s="11"/>
      <c r="AJ16" s="11"/>
      <c r="AK16" s="11"/>
      <c r="AL16" s="11"/>
    </row>
    <row r="17" spans="1:38" ht="15.75" customHeight="1" x14ac:dyDescent="0.35">
      <c r="A17" s="105" t="s">
        <v>90</v>
      </c>
      <c r="B17" s="35">
        <f>'Govt Funds Bal Sh Exh 3'!N17</f>
        <v>95550</v>
      </c>
      <c r="C17" s="35">
        <f>'Govt Funds Bal Sh Exh 3'!Q17</f>
        <v>75760</v>
      </c>
      <c r="D17" s="35">
        <f>'Govt Funds Bal Sh Exh 3'!T17</f>
        <v>0</v>
      </c>
      <c r="E17" s="35">
        <f>'Govt Funds Bal Sh Exh 3'!W17</f>
        <v>0</v>
      </c>
      <c r="F17" s="236">
        <v>0</v>
      </c>
      <c r="G17" s="236">
        <f t="shared" si="2"/>
        <v>171310</v>
      </c>
      <c r="H17" s="32"/>
      <c r="I17" s="146" t="str">
        <f>IF(G17-'Govt Funds Bal Sh Exh 3'!D17=0,"Yes",G17-'Govt Funds Bal Sh Exh 3'!D17)</f>
        <v>Yes</v>
      </c>
      <c r="J17" s="322" t="str">
        <f t="shared" si="1"/>
        <v xml:space="preserve"> </v>
      </c>
      <c r="K17" s="31"/>
      <c r="L17" s="31"/>
      <c r="M17" s="31"/>
      <c r="N17" s="31"/>
      <c r="O17" s="31"/>
      <c r="P17" s="31"/>
      <c r="Q17" s="31"/>
      <c r="R17" s="31"/>
      <c r="S17" s="31"/>
      <c r="T17" s="31"/>
      <c r="U17" s="20"/>
      <c r="V17" s="30"/>
      <c r="W17" s="31"/>
      <c r="X17" s="31"/>
      <c r="Y17" s="31"/>
      <c r="Z17" s="20"/>
      <c r="AA17" s="20"/>
      <c r="AB17" s="20"/>
      <c r="AC17" s="20"/>
      <c r="AD17" s="20"/>
      <c r="AE17" s="20"/>
      <c r="AF17" s="20"/>
      <c r="AG17" s="20"/>
      <c r="AH17" s="11"/>
      <c r="AI17" s="11"/>
      <c r="AJ17" s="11"/>
      <c r="AK17" s="11"/>
      <c r="AL17" s="11"/>
    </row>
    <row r="18" spans="1:38" ht="15.75" hidden="1" customHeight="1" x14ac:dyDescent="0.25">
      <c r="A18" s="40" t="s">
        <v>202</v>
      </c>
      <c r="B18" s="32">
        <f>'Govt Funds Bal Sh Exh 3'!N18</f>
        <v>0</v>
      </c>
      <c r="C18" s="32">
        <f>'Govt Funds Bal Sh Exh 3'!Q18</f>
        <v>0</v>
      </c>
      <c r="D18" s="32">
        <f>'Govt Funds Bal Sh Exh 3'!T18</f>
        <v>0</v>
      </c>
      <c r="E18" s="32">
        <f>'Govt Funds Bal Sh Exh 3'!W18</f>
        <v>0</v>
      </c>
      <c r="F18" s="33">
        <v>0</v>
      </c>
      <c r="G18" s="33">
        <f t="shared" si="2"/>
        <v>0</v>
      </c>
      <c r="H18" s="32"/>
      <c r="I18" s="146" t="str">
        <f>IF(G18-'Govt Funds Bal Sh Exh 3'!D18=0,"Yes",G18-'Govt Funds Bal Sh Exh 3'!D18)</f>
        <v>Yes</v>
      </c>
      <c r="J18" s="322" t="str">
        <f t="shared" si="1"/>
        <v>Hide Row?</v>
      </c>
      <c r="K18" s="31"/>
      <c r="L18" s="31"/>
      <c r="M18" s="31"/>
      <c r="N18" s="31"/>
      <c r="O18" s="31"/>
      <c r="P18" s="31"/>
      <c r="Q18" s="31"/>
      <c r="R18" s="31"/>
      <c r="S18" s="31"/>
      <c r="T18" s="31"/>
      <c r="U18" s="20"/>
      <c r="V18" s="40"/>
      <c r="W18" s="31"/>
      <c r="X18" s="31"/>
      <c r="Y18" s="31"/>
      <c r="Z18" s="20"/>
      <c r="AA18" s="20"/>
      <c r="AB18" s="20"/>
      <c r="AC18" s="20"/>
      <c r="AD18" s="20"/>
      <c r="AE18" s="20"/>
      <c r="AF18" s="20"/>
      <c r="AG18" s="20"/>
      <c r="AH18" s="11"/>
      <c r="AI18" s="11"/>
      <c r="AJ18" s="11"/>
      <c r="AK18" s="11"/>
      <c r="AL18" s="11"/>
    </row>
    <row r="19" spans="1:38" ht="15.75" hidden="1" customHeight="1" x14ac:dyDescent="0.25">
      <c r="A19" s="48" t="s">
        <v>130</v>
      </c>
      <c r="B19" s="32">
        <f>'Govt Funds Bal Sh Exh 3'!N19</f>
        <v>0</v>
      </c>
      <c r="C19" s="32">
        <f>'Govt Funds Bal Sh Exh 3'!Q19</f>
        <v>0</v>
      </c>
      <c r="D19" s="32">
        <f>'Govt Funds Bal Sh Exh 3'!T19</f>
        <v>0</v>
      </c>
      <c r="E19" s="32">
        <f>'Govt Funds Bal Sh Exh 3'!W19</f>
        <v>0</v>
      </c>
      <c r="F19" s="31">
        <v>0</v>
      </c>
      <c r="G19" s="31">
        <f t="shared" si="2"/>
        <v>0</v>
      </c>
      <c r="H19" s="32"/>
      <c r="I19" s="146" t="str">
        <f>IF(G19-'Govt Funds Bal Sh Exh 3'!D19=0,"Yes",G19-'Govt Funds Bal Sh Exh 3'!D19)</f>
        <v>Yes</v>
      </c>
      <c r="J19" s="322" t="str">
        <f t="shared" si="1"/>
        <v>Hide Row?</v>
      </c>
      <c r="K19" s="31"/>
      <c r="L19" s="31"/>
      <c r="M19" s="31"/>
      <c r="N19" s="31"/>
      <c r="O19" s="31"/>
      <c r="P19" s="31"/>
      <c r="Q19" s="31"/>
      <c r="R19" s="31"/>
      <c r="S19" s="31"/>
      <c r="T19" s="31"/>
      <c r="U19" s="20"/>
      <c r="V19" s="40"/>
      <c r="W19" s="31"/>
      <c r="X19" s="31"/>
      <c r="Y19" s="31"/>
      <c r="Z19" s="20"/>
      <c r="AA19" s="20"/>
      <c r="AB19" s="20"/>
      <c r="AC19" s="20"/>
      <c r="AD19" s="20"/>
      <c r="AE19" s="20"/>
      <c r="AF19" s="20"/>
      <c r="AG19" s="20"/>
      <c r="AH19" s="11"/>
      <c r="AI19" s="11"/>
      <c r="AJ19" s="11"/>
      <c r="AK19" s="11"/>
      <c r="AL19" s="11"/>
    </row>
    <row r="20" spans="1:38" ht="17.25" hidden="1" customHeight="1" x14ac:dyDescent="0.35">
      <c r="A20" s="48" t="s">
        <v>9</v>
      </c>
      <c r="B20" s="35">
        <f>'Govt Funds Bal Sh Exh 3'!N20</f>
        <v>0</v>
      </c>
      <c r="C20" s="35">
        <f>'Govt Funds Bal Sh Exh 3'!Q20</f>
        <v>0</v>
      </c>
      <c r="D20" s="35">
        <f>'Govt Funds Bal Sh Exh 3'!T20</f>
        <v>0</v>
      </c>
      <c r="E20" s="35">
        <f>'Govt Funds Bal Sh Exh 3'!W20</f>
        <v>0</v>
      </c>
      <c r="F20" s="41">
        <v>0</v>
      </c>
      <c r="G20" s="41">
        <f t="shared" si="2"/>
        <v>0</v>
      </c>
      <c r="H20" s="35"/>
      <c r="I20" s="146" t="str">
        <f>IF(G20-'Govt Funds Bal Sh Exh 3'!D20=0,"Yes",G20-'Govt Funds Bal Sh Exh 3'!D20)</f>
        <v>Yes</v>
      </c>
      <c r="J20" s="322" t="str">
        <f t="shared" si="1"/>
        <v>Hide Row?</v>
      </c>
      <c r="K20" s="41"/>
      <c r="L20" s="41"/>
      <c r="M20" s="41"/>
      <c r="N20" s="41"/>
      <c r="O20" s="41"/>
      <c r="P20" s="41"/>
      <c r="Q20" s="41"/>
      <c r="R20" s="41"/>
      <c r="S20" s="41"/>
      <c r="T20" s="41"/>
      <c r="U20" s="20"/>
      <c r="V20" s="30"/>
      <c r="W20" s="31"/>
      <c r="X20" s="31"/>
      <c r="Y20" s="31"/>
      <c r="Z20" s="20"/>
      <c r="AA20" s="20"/>
      <c r="AB20" s="20"/>
      <c r="AC20" s="20"/>
      <c r="AD20" s="20"/>
      <c r="AE20" s="20"/>
      <c r="AF20" s="20"/>
      <c r="AG20" s="20"/>
      <c r="AH20" s="11"/>
      <c r="AI20" s="11"/>
      <c r="AJ20" s="11"/>
      <c r="AK20" s="11"/>
      <c r="AL20" s="11"/>
    </row>
    <row r="21" spans="1:38" ht="21.95" customHeight="1" x14ac:dyDescent="0.35">
      <c r="A21" s="73" t="s">
        <v>4</v>
      </c>
      <c r="B21" s="41">
        <f>SUM(B16:B20)</f>
        <v>251012</v>
      </c>
      <c r="C21" s="41">
        <f>SUM(C16:C20)</f>
        <v>123553</v>
      </c>
      <c r="D21" s="41">
        <f>SUM(D16:D20)</f>
        <v>0</v>
      </c>
      <c r="E21" s="41">
        <f>SUM(E16:E20)</f>
        <v>0</v>
      </c>
      <c r="F21" s="41">
        <f>SUM(F16:F20)</f>
        <v>0</v>
      </c>
      <c r="G21" s="41">
        <f t="shared" si="2"/>
        <v>374565</v>
      </c>
      <c r="H21" s="41"/>
      <c r="I21" s="146" t="str">
        <f>IF(G21-'Govt Funds Bal Sh Exh 3'!D21=0,"Yes",G21-'Govt Funds Bal Sh Exh 3'!D21)</f>
        <v>Yes</v>
      </c>
      <c r="J21" s="322" t="str">
        <f t="shared" si="1"/>
        <v xml:space="preserve"> </v>
      </c>
      <c r="K21" s="41"/>
      <c r="L21" s="41"/>
      <c r="M21" s="41"/>
      <c r="N21" s="41"/>
      <c r="O21" s="41"/>
      <c r="P21" s="41"/>
      <c r="Q21" s="41"/>
      <c r="R21" s="41"/>
      <c r="S21" s="41"/>
      <c r="T21" s="41"/>
      <c r="U21" s="20"/>
      <c r="V21" s="30"/>
      <c r="W21" s="31"/>
      <c r="X21" s="31"/>
      <c r="Y21" s="31"/>
      <c r="Z21" s="20"/>
      <c r="AA21" s="20"/>
      <c r="AB21" s="20"/>
      <c r="AC21" s="20"/>
      <c r="AD21" s="20"/>
      <c r="AE21" s="20"/>
      <c r="AF21" s="20"/>
      <c r="AG21" s="20"/>
      <c r="AH21" s="11"/>
      <c r="AI21" s="11"/>
      <c r="AJ21" s="11"/>
      <c r="AK21" s="11"/>
      <c r="AL21" s="11"/>
    </row>
    <row r="22" spans="1:38" ht="24" customHeight="1" x14ac:dyDescent="0.35">
      <c r="A22" s="42" t="s">
        <v>229</v>
      </c>
      <c r="B22" s="35">
        <f>'Govt Funds Bal Sh Exh 3'!N22</f>
        <v>585</v>
      </c>
      <c r="C22" s="35">
        <f>'Govt Funds Bal Sh Exh 3'!Q22</f>
        <v>0</v>
      </c>
      <c r="D22" s="35">
        <f>'Govt Funds Bal Sh Exh 3'!T22</f>
        <v>0</v>
      </c>
      <c r="E22" s="35">
        <f>'Govt Funds Bal Sh Exh 3'!W22</f>
        <v>0</v>
      </c>
      <c r="F22" s="41">
        <v>0</v>
      </c>
      <c r="G22" s="85">
        <f>SUM(B22:F22)</f>
        <v>585</v>
      </c>
      <c r="H22" s="43"/>
      <c r="I22" s="146" t="str">
        <f>IF(G22-'Govt Funds Bal Sh Exh 3'!D22=0,"Yes",G22-'Govt Funds Bal Sh Exh 3'!D22)</f>
        <v>Yes</v>
      </c>
      <c r="J22" s="322" t="str">
        <f t="shared" si="1"/>
        <v xml:space="preserve"> </v>
      </c>
      <c r="K22" s="43"/>
      <c r="L22" s="43"/>
      <c r="M22" s="43"/>
      <c r="N22" s="43"/>
      <c r="O22" s="43"/>
      <c r="P22" s="43"/>
      <c r="Q22" s="43"/>
      <c r="R22" s="43"/>
      <c r="S22" s="43"/>
      <c r="T22" s="43"/>
      <c r="U22" s="20"/>
      <c r="V22" s="30"/>
      <c r="W22" s="31"/>
      <c r="X22" s="31"/>
      <c r="Y22" s="31"/>
      <c r="Z22" s="20"/>
      <c r="AA22" s="20"/>
      <c r="AB22" s="20"/>
      <c r="AC22" s="20"/>
      <c r="AD22" s="20"/>
      <c r="AE22" s="20"/>
      <c r="AF22" s="20"/>
      <c r="AG22" s="20"/>
      <c r="AH22" s="11"/>
      <c r="AI22" s="11"/>
      <c r="AJ22" s="11"/>
      <c r="AK22" s="11"/>
      <c r="AL22" s="11"/>
    </row>
    <row r="23" spans="1:38" ht="21" customHeight="1" x14ac:dyDescent="0.25">
      <c r="A23" s="42" t="s">
        <v>239</v>
      </c>
      <c r="B23" s="30"/>
      <c r="C23" s="30"/>
      <c r="D23" s="30"/>
      <c r="E23" s="30"/>
      <c r="F23" s="30"/>
      <c r="G23" s="30"/>
      <c r="H23" s="30"/>
      <c r="I23" s="146"/>
      <c r="J23" s="322"/>
      <c r="K23" s="30"/>
      <c r="L23" s="30"/>
      <c r="M23" s="30"/>
      <c r="N23" s="30"/>
      <c r="O23" s="30"/>
      <c r="P23" s="30"/>
      <c r="Q23" s="30"/>
      <c r="R23" s="30"/>
      <c r="S23" s="30"/>
      <c r="T23" s="30"/>
      <c r="U23" s="20"/>
      <c r="V23" s="30"/>
      <c r="W23" s="31"/>
      <c r="X23" s="31"/>
      <c r="Y23" s="31"/>
      <c r="Z23" s="20"/>
      <c r="AA23" s="20"/>
      <c r="AB23" s="20"/>
      <c r="AC23" s="20"/>
      <c r="AD23" s="20"/>
      <c r="AE23" s="20"/>
      <c r="AF23" s="20"/>
      <c r="AG23" s="20"/>
      <c r="AH23" s="11"/>
      <c r="AI23" s="11"/>
      <c r="AJ23" s="11"/>
      <c r="AK23" s="11"/>
      <c r="AL23" s="11"/>
    </row>
    <row r="24" spans="1:38" ht="15.75" customHeight="1" x14ac:dyDescent="0.25">
      <c r="A24" s="40" t="s">
        <v>337</v>
      </c>
      <c r="B24" s="30"/>
      <c r="C24" s="30"/>
      <c r="D24" s="30"/>
      <c r="E24" s="30"/>
      <c r="F24" s="30"/>
      <c r="G24" s="30"/>
      <c r="H24" s="30"/>
      <c r="I24" s="146"/>
      <c r="J24" s="322" t="str">
        <f>IF(AND(J25="Hide Row?",J26="Hide Row?"),"Hide Row?"," ")</f>
        <v xml:space="preserve"> </v>
      </c>
      <c r="K24" s="30"/>
      <c r="L24" s="30"/>
      <c r="M24" s="30"/>
      <c r="N24" s="30"/>
      <c r="O24" s="30"/>
      <c r="P24" s="30"/>
      <c r="Q24" s="30"/>
      <c r="R24" s="30"/>
      <c r="S24" s="30"/>
      <c r="T24" s="30"/>
      <c r="U24" s="20"/>
      <c r="V24" s="20"/>
      <c r="W24" s="20"/>
      <c r="X24" s="20"/>
      <c r="Y24" s="20"/>
      <c r="Z24" s="20"/>
      <c r="AA24" s="20"/>
      <c r="AB24" s="20"/>
      <c r="AC24" s="20"/>
      <c r="AD24" s="20"/>
      <c r="AE24" s="20"/>
      <c r="AF24" s="20"/>
      <c r="AG24" s="20"/>
      <c r="AH24" s="11"/>
      <c r="AI24" s="11"/>
      <c r="AJ24" s="11"/>
      <c r="AK24" s="11"/>
      <c r="AL24" s="11"/>
    </row>
    <row r="25" spans="1:38" ht="15.75" customHeight="1" x14ac:dyDescent="0.25">
      <c r="A25" s="44" t="s">
        <v>2</v>
      </c>
      <c r="B25" s="32">
        <f>'Govt Funds Bal Sh Exh 3'!N25</f>
        <v>322</v>
      </c>
      <c r="C25" s="32">
        <f>'Govt Funds Bal Sh Exh 3'!Q25</f>
        <v>0</v>
      </c>
      <c r="D25" s="32">
        <f>'Govt Funds Bal Sh Exh 3'!T25</f>
        <v>0</v>
      </c>
      <c r="E25" s="32">
        <f>'Govt Funds Bal Sh Exh 3'!W25</f>
        <v>0</v>
      </c>
      <c r="F25" s="31">
        <v>0</v>
      </c>
      <c r="G25" s="31">
        <f>SUM(B25:F25)</f>
        <v>322</v>
      </c>
      <c r="H25" s="32"/>
      <c r="I25" s="146" t="str">
        <f>IF(G25-'Govt Funds Bal Sh Exh 3'!D25=0,"Yes",G25-'Govt Funds Bal Sh Exh 3'!D25)</f>
        <v>Yes</v>
      </c>
      <c r="J25" s="322" t="str">
        <f t="shared" si="1"/>
        <v xml:space="preserve"> </v>
      </c>
      <c r="K25" s="31"/>
      <c r="L25" s="31"/>
      <c r="M25" s="31"/>
      <c r="N25" s="31"/>
      <c r="O25" s="31"/>
      <c r="P25" s="31"/>
      <c r="Q25" s="31"/>
      <c r="R25" s="31"/>
      <c r="S25" s="31"/>
      <c r="T25" s="31"/>
      <c r="U25" s="20"/>
      <c r="V25" s="20"/>
      <c r="W25" s="20"/>
      <c r="X25" s="20"/>
      <c r="Y25" s="20"/>
      <c r="Z25" s="20"/>
      <c r="AA25" s="20"/>
      <c r="AB25" s="20"/>
      <c r="AC25" s="20"/>
      <c r="AD25" s="20"/>
      <c r="AE25" s="20"/>
      <c r="AF25" s="20"/>
      <c r="AG25" s="20"/>
      <c r="AH25" s="11"/>
      <c r="AI25" s="11"/>
      <c r="AJ25" s="11"/>
      <c r="AK25" s="11"/>
      <c r="AL25" s="11"/>
    </row>
    <row r="26" spans="1:38" ht="15.75" customHeight="1" x14ac:dyDescent="0.25">
      <c r="A26" s="44" t="s">
        <v>129</v>
      </c>
      <c r="B26" s="32">
        <f>'Govt Funds Bal Sh Exh 3'!N26</f>
        <v>3646</v>
      </c>
      <c r="C26" s="32">
        <f>'Govt Funds Bal Sh Exh 3'!Q26</f>
        <v>0</v>
      </c>
      <c r="D26" s="32">
        <f>'Govt Funds Bal Sh Exh 3'!T26</f>
        <v>0</v>
      </c>
      <c r="E26" s="32">
        <f>'Govt Funds Bal Sh Exh 3'!W26</f>
        <v>0</v>
      </c>
      <c r="F26" s="31">
        <v>0</v>
      </c>
      <c r="G26" s="31">
        <f>SUM(B26:F26)</f>
        <v>3646</v>
      </c>
      <c r="H26" s="32"/>
      <c r="I26" s="146" t="str">
        <f>IF(G26-'Govt Funds Bal Sh Exh 3'!D26=0,"Yes",G26-'Govt Funds Bal Sh Exh 3'!D26)</f>
        <v>Yes</v>
      </c>
      <c r="J26" s="322" t="str">
        <f t="shared" si="1"/>
        <v xml:space="preserve"> </v>
      </c>
      <c r="K26" s="31"/>
      <c r="L26" s="31"/>
      <c r="M26" s="31"/>
      <c r="N26" s="31"/>
      <c r="O26" s="31"/>
      <c r="P26" s="31"/>
      <c r="Q26" s="31"/>
      <c r="R26" s="31"/>
      <c r="S26" s="31"/>
      <c r="T26" s="31"/>
      <c r="U26" s="20"/>
      <c r="V26" s="20"/>
      <c r="W26" s="20"/>
      <c r="X26" s="20"/>
      <c r="Y26" s="20"/>
      <c r="Z26" s="20"/>
      <c r="AA26" s="20"/>
      <c r="AB26" s="20"/>
      <c r="AC26" s="20"/>
      <c r="AD26" s="20"/>
      <c r="AE26" s="20"/>
      <c r="AF26" s="20"/>
      <c r="AG26" s="20"/>
      <c r="AH26" s="11"/>
      <c r="AI26" s="11"/>
      <c r="AJ26" s="11"/>
      <c r="AK26" s="11"/>
      <c r="AL26" s="11"/>
    </row>
    <row r="27" spans="1:38" s="7" customFormat="1" ht="15.75" hidden="1" customHeight="1" x14ac:dyDescent="0.25">
      <c r="A27" s="40" t="s">
        <v>160</v>
      </c>
      <c r="B27" s="32"/>
      <c r="C27" s="32">
        <f>'Govt Funds Bal Sh Exh 3'!Q27</f>
        <v>0</v>
      </c>
      <c r="D27" s="32"/>
      <c r="E27" s="32"/>
      <c r="F27" s="31"/>
      <c r="G27" s="31"/>
      <c r="H27" s="31"/>
      <c r="I27" s="146" t="str">
        <f>IF(G27-'Govt Funds Bal Sh Exh 3'!D27=0,"Yes",G27-'Govt Funds Bal Sh Exh 3'!D27)</f>
        <v>Yes</v>
      </c>
      <c r="J27" s="322" t="str">
        <f t="shared" si="1"/>
        <v>Hide Row?</v>
      </c>
      <c r="K27" s="31"/>
      <c r="L27" s="31"/>
      <c r="M27" s="31"/>
      <c r="N27" s="31"/>
      <c r="O27" s="31"/>
      <c r="P27" s="31"/>
      <c r="Q27" s="31"/>
      <c r="R27" s="31"/>
      <c r="S27" s="31"/>
      <c r="T27" s="31"/>
      <c r="U27" s="30"/>
      <c r="V27" s="30"/>
      <c r="W27" s="30"/>
      <c r="X27" s="30"/>
      <c r="Y27" s="30"/>
      <c r="Z27" s="30"/>
      <c r="AA27" s="30"/>
      <c r="AB27" s="30"/>
      <c r="AC27" s="30"/>
      <c r="AD27" s="30"/>
      <c r="AE27" s="30"/>
      <c r="AF27" s="30"/>
      <c r="AG27" s="30"/>
      <c r="AH27" s="10"/>
      <c r="AI27" s="10"/>
      <c r="AJ27" s="10"/>
      <c r="AK27" s="10"/>
      <c r="AL27" s="10"/>
    </row>
    <row r="28" spans="1:38" ht="15.75" hidden="1" customHeight="1" x14ac:dyDescent="0.25">
      <c r="A28" s="44" t="s">
        <v>161</v>
      </c>
      <c r="B28" s="32">
        <f>'Govt Funds Bal Sh Exh 3'!N28</f>
        <v>0</v>
      </c>
      <c r="C28" s="32">
        <f>'Govt Funds Bal Sh Exh 3'!Q28</f>
        <v>0</v>
      </c>
      <c r="D28" s="32">
        <f>'Govt Funds Bal Sh Exh 3'!T28</f>
        <v>0</v>
      </c>
      <c r="E28" s="32">
        <f>'Govt Funds Bal Sh Exh 3'!W28</f>
        <v>0</v>
      </c>
      <c r="F28" s="31">
        <v>0</v>
      </c>
      <c r="G28" s="31">
        <f>SUM(B28:F28)</f>
        <v>0</v>
      </c>
      <c r="H28" s="32"/>
      <c r="I28" s="146" t="str">
        <f>IF(G28-'Govt Funds Bal Sh Exh 3'!D28=0,"Yes",G28-'Govt Funds Bal Sh Exh 3'!D28)</f>
        <v>Yes</v>
      </c>
      <c r="J28" s="322" t="str">
        <f t="shared" si="1"/>
        <v>Hide Row?</v>
      </c>
      <c r="K28" s="31"/>
      <c r="L28" s="31"/>
      <c r="M28" s="31"/>
      <c r="N28" s="31"/>
      <c r="O28" s="31"/>
      <c r="P28" s="31"/>
      <c r="Q28" s="31"/>
      <c r="R28" s="31"/>
      <c r="S28" s="31"/>
      <c r="T28" s="31"/>
      <c r="U28" s="20"/>
      <c r="V28" s="20"/>
      <c r="W28" s="20"/>
      <c r="X28" s="20"/>
      <c r="Y28" s="20"/>
      <c r="Z28" s="20"/>
      <c r="AA28" s="20"/>
      <c r="AB28" s="20"/>
      <c r="AC28" s="20"/>
      <c r="AD28" s="20"/>
      <c r="AE28" s="20"/>
      <c r="AF28" s="20"/>
      <c r="AG28" s="20"/>
      <c r="AH28" s="11"/>
      <c r="AI28" s="11"/>
      <c r="AJ28" s="11"/>
      <c r="AK28" s="11"/>
      <c r="AL28" s="11"/>
    </row>
    <row r="29" spans="1:38" ht="17.25" customHeight="1" x14ac:dyDescent="0.35">
      <c r="A29" s="40" t="s">
        <v>247</v>
      </c>
      <c r="B29" s="35">
        <f>'Govt Funds Bal Sh Exh 3'!N29</f>
        <v>122806</v>
      </c>
      <c r="C29" s="35">
        <f>'Govt Funds Bal Sh Exh 3'!Q29</f>
        <v>0</v>
      </c>
      <c r="D29" s="35">
        <f>'Govt Funds Bal Sh Exh 3'!T29</f>
        <v>0</v>
      </c>
      <c r="E29" s="35">
        <f>'Govt Funds Bal Sh Exh 3'!W29</f>
        <v>0</v>
      </c>
      <c r="F29" s="41">
        <v>0</v>
      </c>
      <c r="G29" s="41">
        <f>SUM(B29:F29)</f>
        <v>122806</v>
      </c>
      <c r="H29" s="35"/>
      <c r="I29" s="146" t="str">
        <f>IF(G29-'Govt Funds Bal Sh Exh 3'!D29=0,"Yes",G29-'Govt Funds Bal Sh Exh 3'!D29)</f>
        <v>Yes</v>
      </c>
      <c r="J29" s="322" t="str">
        <f t="shared" si="1"/>
        <v xml:space="preserve"> </v>
      </c>
      <c r="K29" s="41"/>
      <c r="L29" s="41"/>
      <c r="M29" s="41"/>
      <c r="N29" s="41"/>
      <c r="O29" s="41"/>
      <c r="P29" s="41"/>
      <c r="Q29" s="41"/>
      <c r="R29" s="41"/>
      <c r="S29" s="41"/>
      <c r="T29" s="41"/>
      <c r="U29" s="20"/>
      <c r="V29" s="20"/>
      <c r="W29" s="20"/>
      <c r="X29" s="20"/>
      <c r="Y29" s="20" t="s">
        <v>49</v>
      </c>
      <c r="Z29" s="20"/>
      <c r="AA29" s="20"/>
      <c r="AB29" s="20"/>
      <c r="AC29" s="20"/>
      <c r="AD29" s="20"/>
      <c r="AE29" s="20"/>
      <c r="AF29" s="20"/>
      <c r="AG29" s="20"/>
      <c r="AH29" s="11"/>
      <c r="AI29" s="11"/>
      <c r="AJ29" s="11"/>
      <c r="AK29" s="11"/>
      <c r="AL29" s="11"/>
    </row>
    <row r="30" spans="1:38" ht="21.95" customHeight="1" x14ac:dyDescent="0.35">
      <c r="A30" s="44" t="s">
        <v>10</v>
      </c>
      <c r="B30" s="41">
        <f>SUM(B25:B29)</f>
        <v>126774</v>
      </c>
      <c r="C30" s="41">
        <f>SUM(C25:C29)</f>
        <v>0</v>
      </c>
      <c r="D30" s="41">
        <f>SUM(D25:D29)</f>
        <v>0</v>
      </c>
      <c r="E30" s="41">
        <f>SUM(E25:E29)</f>
        <v>0</v>
      </c>
      <c r="F30" s="41">
        <f>SUM(F25:F29)</f>
        <v>0</v>
      </c>
      <c r="G30" s="41">
        <f>SUM(B30:F30)</f>
        <v>126774</v>
      </c>
      <c r="H30" s="41"/>
      <c r="I30" s="146" t="str">
        <f>IF(G30-'Govt Funds Bal Sh Exh 3'!D30=0,"Yes",G30-'Govt Funds Bal Sh Exh 3'!D30)</f>
        <v>Yes</v>
      </c>
      <c r="J30" s="322" t="str">
        <f t="shared" si="1"/>
        <v xml:space="preserve"> </v>
      </c>
      <c r="K30" s="41"/>
      <c r="L30" s="41"/>
      <c r="M30" s="41"/>
      <c r="N30" s="41"/>
      <c r="O30" s="41"/>
      <c r="P30" s="41"/>
      <c r="Q30" s="41"/>
      <c r="R30" s="41"/>
      <c r="S30" s="41"/>
      <c r="T30" s="41"/>
      <c r="U30" s="47"/>
      <c r="V30" s="20"/>
      <c r="W30" s="20"/>
      <c r="X30" s="20"/>
      <c r="Y30" s="20"/>
      <c r="Z30" s="20"/>
      <c r="AA30" s="20"/>
      <c r="AB30" s="20"/>
      <c r="AC30" s="20"/>
      <c r="AD30" s="20"/>
      <c r="AE30" s="20"/>
      <c r="AF30" s="20"/>
      <c r="AG30" s="20"/>
      <c r="AH30" s="11"/>
      <c r="AI30" s="11"/>
      <c r="AJ30" s="11"/>
      <c r="AK30" s="11"/>
      <c r="AL30" s="11"/>
    </row>
    <row r="31" spans="1:38" ht="35.1" customHeight="1" x14ac:dyDescent="0.35">
      <c r="A31" s="48" t="s">
        <v>198</v>
      </c>
      <c r="B31" s="49">
        <f t="shared" ref="B31:G31" si="3">B21+B30+B22</f>
        <v>378371</v>
      </c>
      <c r="C31" s="49">
        <f t="shared" si="3"/>
        <v>123553</v>
      </c>
      <c r="D31" s="49">
        <f t="shared" si="3"/>
        <v>0</v>
      </c>
      <c r="E31" s="49">
        <f t="shared" si="3"/>
        <v>0</v>
      </c>
      <c r="F31" s="49">
        <f t="shared" si="3"/>
        <v>0</v>
      </c>
      <c r="G31" s="49">
        <f t="shared" si="3"/>
        <v>501924</v>
      </c>
      <c r="H31" s="49"/>
      <c r="I31" s="146" t="str">
        <f>IF(G31-'Govt Funds Bal Sh Exh 3'!D31=0,"Yes",G31-'Govt Funds Bal Sh Exh 3'!D31)</f>
        <v>Yes</v>
      </c>
      <c r="J31" s="322" t="str">
        <f t="shared" si="1"/>
        <v xml:space="preserve"> </v>
      </c>
      <c r="K31" s="49"/>
      <c r="L31" s="49"/>
      <c r="M31" s="49"/>
      <c r="N31" s="49"/>
      <c r="O31" s="49"/>
      <c r="P31" s="49"/>
      <c r="Q31" s="49"/>
      <c r="R31" s="49"/>
      <c r="S31" s="49"/>
      <c r="T31" s="49"/>
      <c r="U31" s="20"/>
      <c r="V31" s="20"/>
      <c r="W31" s="20"/>
      <c r="X31" s="20"/>
      <c r="Y31" s="20"/>
      <c r="Z31" s="20"/>
      <c r="AA31" s="20"/>
      <c r="AB31" s="20"/>
      <c r="AC31" s="20"/>
      <c r="AD31" s="20"/>
      <c r="AE31" s="20"/>
      <c r="AF31" s="20"/>
      <c r="AG31" s="20"/>
      <c r="AH31" s="11"/>
      <c r="AI31" s="11"/>
      <c r="AJ31" s="11"/>
      <c r="AK31" s="11"/>
      <c r="AL31" s="11"/>
    </row>
    <row r="32" spans="1:38" ht="14.25" customHeight="1" x14ac:dyDescent="0.25">
      <c r="A32" s="30"/>
      <c r="B32" s="30"/>
      <c r="C32" s="30"/>
      <c r="D32" s="30"/>
      <c r="E32" s="30"/>
      <c r="F32" s="30"/>
      <c r="G32" s="4"/>
      <c r="H32" s="30"/>
      <c r="I32" s="30"/>
      <c r="J32" s="30"/>
      <c r="K32" s="30"/>
      <c r="L32" s="30"/>
      <c r="M32" s="30"/>
      <c r="N32" s="30"/>
      <c r="O32" s="30"/>
      <c r="P32" s="30"/>
      <c r="Q32" s="30"/>
      <c r="R32" s="30"/>
      <c r="S32" s="30"/>
      <c r="T32" s="30"/>
      <c r="U32" s="20"/>
      <c r="V32" s="20" t="s">
        <v>159</v>
      </c>
      <c r="W32" s="20"/>
      <c r="X32" s="20"/>
      <c r="Y32" s="20"/>
      <c r="Z32" s="20"/>
      <c r="AA32" s="20"/>
      <c r="AB32" s="20"/>
      <c r="AC32" s="20"/>
      <c r="AD32" s="20"/>
      <c r="AE32" s="20"/>
      <c r="AF32" s="20"/>
      <c r="AG32" s="20"/>
      <c r="AH32" s="11"/>
      <c r="AI32" s="11"/>
      <c r="AJ32" s="11"/>
      <c r="AK32" s="11"/>
      <c r="AL32" s="11"/>
    </row>
    <row r="33" spans="1:38" s="2" customFormat="1" ht="15.75" x14ac:dyDescent="0.25">
      <c r="A33" s="51"/>
      <c r="B33" s="52"/>
      <c r="C33" s="52"/>
      <c r="D33" s="52"/>
      <c r="E33" s="52"/>
      <c r="F33" s="52"/>
      <c r="G33" s="30"/>
      <c r="H33" s="52"/>
      <c r="I33" s="52"/>
      <c r="J33" s="52"/>
      <c r="K33" s="52"/>
      <c r="L33" s="52"/>
      <c r="M33" s="52"/>
      <c r="N33" s="52"/>
      <c r="O33" s="52"/>
      <c r="P33" s="52"/>
      <c r="Q33" s="52"/>
      <c r="R33" s="52"/>
      <c r="T33" s="53"/>
      <c r="U33" s="53"/>
      <c r="V33" s="53"/>
      <c r="W33" s="53"/>
      <c r="X33" s="53"/>
      <c r="Y33" s="53"/>
      <c r="Z33" s="53"/>
      <c r="AA33" s="53"/>
      <c r="AB33" s="53"/>
      <c r="AC33" s="53"/>
      <c r="AD33" s="53"/>
      <c r="AE33" s="53"/>
      <c r="AF33" s="53"/>
      <c r="AG33" s="53"/>
      <c r="AH33" s="14"/>
      <c r="AI33" s="14"/>
      <c r="AJ33" s="14"/>
      <c r="AK33" s="14"/>
      <c r="AL33" s="14"/>
    </row>
    <row r="34" spans="1:38" s="2" customFormat="1" ht="15.75" x14ac:dyDescent="0.25">
      <c r="A34" s="20"/>
      <c r="B34" s="64"/>
      <c r="C34" s="64"/>
      <c r="D34" s="64"/>
      <c r="E34" s="64"/>
      <c r="F34" s="64"/>
      <c r="G34" s="31"/>
      <c r="H34" s="48"/>
      <c r="I34" s="48"/>
      <c r="J34" s="48"/>
      <c r="K34" s="48"/>
      <c r="L34" s="48"/>
      <c r="M34" s="48"/>
      <c r="N34" s="48"/>
      <c r="O34" s="48"/>
      <c r="P34" s="48"/>
      <c r="Q34" s="48"/>
      <c r="R34" s="48"/>
      <c r="T34" s="53"/>
      <c r="U34" s="53"/>
      <c r="V34" s="53"/>
      <c r="W34" s="53"/>
      <c r="X34" s="53"/>
      <c r="Y34" s="53"/>
      <c r="Z34" s="53"/>
      <c r="AA34" s="53"/>
      <c r="AB34" s="53"/>
      <c r="AC34" s="53"/>
      <c r="AD34" s="53"/>
      <c r="AE34" s="53"/>
      <c r="AF34" s="53"/>
      <c r="AG34" s="53"/>
      <c r="AH34" s="14"/>
      <c r="AI34" s="14"/>
      <c r="AJ34" s="14"/>
      <c r="AK34" s="14"/>
      <c r="AL34" s="14"/>
    </row>
    <row r="35" spans="1:38" s="2" customFormat="1" ht="15.75" x14ac:dyDescent="0.25">
      <c r="A35" s="51"/>
      <c r="B35" s="65"/>
      <c r="C35" s="65"/>
      <c r="D35" s="65"/>
      <c r="E35" s="65"/>
      <c r="F35" s="65"/>
      <c r="G35" s="31"/>
      <c r="H35" s="54"/>
      <c r="I35" s="54"/>
      <c r="J35" s="54"/>
      <c r="K35" s="54"/>
      <c r="L35" s="54"/>
      <c r="M35" s="54"/>
      <c r="N35" s="54"/>
      <c r="O35" s="54"/>
      <c r="P35" s="54"/>
      <c r="Q35" s="54"/>
      <c r="R35" s="54"/>
      <c r="T35" s="53"/>
      <c r="U35" s="53"/>
      <c r="V35" s="53"/>
      <c r="W35" s="53"/>
      <c r="X35" s="53"/>
      <c r="Y35" s="53"/>
      <c r="Z35" s="53"/>
      <c r="AA35" s="53"/>
      <c r="AB35" s="53"/>
      <c r="AC35" s="53"/>
      <c r="AD35" s="53"/>
      <c r="AE35" s="53"/>
      <c r="AF35" s="53"/>
      <c r="AG35" s="53"/>
      <c r="AH35" s="14"/>
      <c r="AI35" s="14"/>
      <c r="AJ35" s="14"/>
      <c r="AK35" s="14"/>
      <c r="AL35" s="14"/>
    </row>
    <row r="36" spans="1:38" s="2" customFormat="1" ht="17.25" x14ac:dyDescent="0.35">
      <c r="A36" s="51"/>
      <c r="B36" s="64"/>
      <c r="C36" s="64"/>
      <c r="D36" s="64"/>
      <c r="E36" s="64"/>
      <c r="F36" s="64"/>
      <c r="G36" s="55"/>
      <c r="H36" s="56"/>
      <c r="I36" s="56"/>
      <c r="J36" s="56"/>
      <c r="K36" s="56"/>
      <c r="L36" s="56"/>
      <c r="M36" s="56"/>
      <c r="N36" s="56"/>
      <c r="O36" s="56"/>
      <c r="P36" s="56"/>
      <c r="Q36" s="56"/>
      <c r="R36" s="56"/>
      <c r="T36" s="53"/>
      <c r="U36" s="53"/>
      <c r="V36" s="53"/>
      <c r="W36" s="53"/>
      <c r="X36" s="53"/>
      <c r="Y36" s="53"/>
      <c r="Z36" s="53"/>
      <c r="AA36" s="53"/>
      <c r="AB36" s="53"/>
      <c r="AC36" s="53"/>
      <c r="AD36" s="53"/>
      <c r="AE36" s="53"/>
      <c r="AF36" s="53"/>
      <c r="AG36" s="53"/>
      <c r="AH36" s="14"/>
      <c r="AI36" s="14"/>
      <c r="AJ36" s="14"/>
      <c r="AK36" s="14"/>
      <c r="AL36" s="14"/>
    </row>
    <row r="37" spans="1:38" s="2" customFormat="1" ht="20.100000000000001" customHeight="1" x14ac:dyDescent="0.35">
      <c r="A37" s="51"/>
      <c r="B37" s="44"/>
      <c r="C37" s="57"/>
      <c r="D37" s="57"/>
      <c r="E37" s="57"/>
      <c r="F37" s="57"/>
      <c r="G37" s="37"/>
      <c r="H37" s="57"/>
      <c r="I37" s="40"/>
      <c r="J37" s="40"/>
      <c r="K37" s="40"/>
      <c r="L37" s="40"/>
      <c r="M37" s="40"/>
      <c r="N37" s="40"/>
      <c r="O37" s="40"/>
      <c r="P37" s="40"/>
      <c r="Q37" s="40"/>
      <c r="R37" s="30"/>
      <c r="T37" s="53"/>
      <c r="U37" s="53"/>
      <c r="V37" s="53"/>
      <c r="W37" s="53"/>
      <c r="X37" s="53"/>
      <c r="Y37" s="53"/>
      <c r="Z37" s="53"/>
      <c r="AA37" s="53"/>
      <c r="AB37" s="53"/>
      <c r="AC37" s="53"/>
      <c r="AD37" s="53"/>
      <c r="AE37" s="53"/>
      <c r="AF37" s="53"/>
      <c r="AG37" s="53"/>
      <c r="AH37" s="14"/>
      <c r="AI37" s="14"/>
      <c r="AJ37" s="14"/>
      <c r="AK37" s="14"/>
      <c r="AL37" s="14"/>
    </row>
    <row r="38" spans="1:38" ht="15.75"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11"/>
      <c r="AI38" s="11"/>
      <c r="AJ38" s="11"/>
      <c r="AK38" s="11"/>
      <c r="AL38" s="11"/>
    </row>
    <row r="39" spans="1:38" ht="15.75"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11"/>
      <c r="AI39" s="11"/>
      <c r="AJ39" s="11"/>
      <c r="AK39" s="11"/>
      <c r="AL39" s="11"/>
    </row>
    <row r="40" spans="1:38" ht="15.75" x14ac:dyDescent="0.25">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11"/>
      <c r="AI40" s="11"/>
      <c r="AJ40" s="11"/>
      <c r="AK40" s="11"/>
      <c r="AL40" s="11"/>
    </row>
    <row r="41" spans="1:38" ht="15.75"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11"/>
      <c r="AI41" s="11"/>
      <c r="AJ41" s="11"/>
      <c r="AK41" s="11"/>
      <c r="AL41" s="11"/>
    </row>
    <row r="42" spans="1:38" ht="15.75" x14ac:dyDescent="0.25">
      <c r="A42" s="20"/>
      <c r="B42" s="20"/>
      <c r="C42" s="20"/>
      <c r="D42" s="20"/>
      <c r="E42" s="20"/>
      <c r="F42" s="20"/>
      <c r="G42" s="20"/>
      <c r="H42" s="20"/>
      <c r="I42" s="20"/>
      <c r="J42" s="20"/>
      <c r="K42" s="20"/>
      <c r="L42" s="20"/>
      <c r="M42" s="20"/>
      <c r="N42" s="20"/>
      <c r="O42" s="20"/>
      <c r="P42" s="20"/>
      <c r="Q42" s="20"/>
      <c r="R42" s="20"/>
      <c r="S42" s="29"/>
      <c r="T42" s="20"/>
      <c r="U42" s="20"/>
      <c r="V42" s="20"/>
      <c r="W42" s="20"/>
      <c r="X42" s="20"/>
      <c r="Y42" s="20"/>
      <c r="Z42" s="20"/>
      <c r="AA42" s="20"/>
      <c r="AB42" s="20"/>
      <c r="AC42" s="20"/>
      <c r="AD42" s="20"/>
      <c r="AE42" s="20"/>
      <c r="AF42" s="20"/>
      <c r="AG42" s="20"/>
      <c r="AH42" s="11"/>
      <c r="AI42" s="11"/>
      <c r="AJ42" s="11"/>
      <c r="AK42" s="11"/>
      <c r="AL42" s="11"/>
    </row>
    <row r="43" spans="1:38" ht="15.75"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11"/>
      <c r="AI43" s="11"/>
      <c r="AJ43" s="11"/>
      <c r="AK43" s="11"/>
      <c r="AL43" s="11"/>
    </row>
    <row r="44" spans="1:38" ht="15.75"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11"/>
      <c r="AI44" s="11"/>
      <c r="AJ44" s="11"/>
      <c r="AK44" s="11"/>
      <c r="AL44" s="11"/>
    </row>
    <row r="45" spans="1:38" ht="17.25" customHeight="1"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11"/>
      <c r="AI45" s="11"/>
      <c r="AJ45" s="11"/>
      <c r="AK45" s="11"/>
      <c r="AL45" s="11"/>
    </row>
    <row r="46" spans="1:38" ht="17.25" customHeight="1"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11"/>
      <c r="AI46" s="11"/>
      <c r="AJ46" s="11"/>
      <c r="AK46" s="11"/>
      <c r="AL46" s="11"/>
    </row>
    <row r="47" spans="1:38" ht="45" x14ac:dyDescent="0.25">
      <c r="A47" s="58" t="s">
        <v>186</v>
      </c>
      <c r="B47" s="135" t="str">
        <f t="shared" ref="B47:G47" si="4">IF(+B14-B21-B22-B30=0,"Yes",+B14-B21-B22-B30)</f>
        <v>Yes</v>
      </c>
      <c r="C47" s="135" t="str">
        <f t="shared" si="4"/>
        <v>Yes</v>
      </c>
      <c r="D47" s="135" t="str">
        <f t="shared" si="4"/>
        <v>Yes</v>
      </c>
      <c r="E47" s="135" t="str">
        <f t="shared" si="4"/>
        <v>Yes</v>
      </c>
      <c r="F47" s="135" t="str">
        <f t="shared" si="4"/>
        <v>Yes</v>
      </c>
      <c r="G47" s="135" t="str">
        <f t="shared" si="4"/>
        <v>Yes</v>
      </c>
      <c r="H47" s="59"/>
      <c r="I47" s="59"/>
      <c r="J47" s="59"/>
      <c r="K47" s="59"/>
      <c r="L47" s="59"/>
      <c r="M47" s="59"/>
      <c r="N47" s="59"/>
      <c r="O47" s="59"/>
      <c r="P47" s="59"/>
      <c r="Q47" s="59"/>
      <c r="R47" s="59"/>
      <c r="S47" s="59"/>
      <c r="T47" s="59"/>
      <c r="U47" s="20"/>
      <c r="V47" s="20"/>
      <c r="W47" s="20"/>
      <c r="X47" s="20"/>
      <c r="Y47" s="20"/>
      <c r="Z47" s="20"/>
      <c r="AA47" s="20"/>
      <c r="AB47" s="20"/>
      <c r="AC47" s="20"/>
      <c r="AD47" s="20"/>
      <c r="AE47" s="20"/>
      <c r="AF47" s="20"/>
      <c r="AG47" s="20"/>
      <c r="AH47" s="11"/>
      <c r="AI47" s="11"/>
      <c r="AJ47" s="11"/>
      <c r="AK47" s="11"/>
      <c r="AL47" s="11"/>
    </row>
    <row r="48" spans="1:38" ht="36.75" customHeight="1" x14ac:dyDescent="0.25">
      <c r="A48" s="60"/>
      <c r="B48" s="20"/>
      <c r="C48" s="20"/>
      <c r="D48" s="20"/>
      <c r="E48" s="20"/>
      <c r="F48" s="20"/>
      <c r="G48" s="20"/>
      <c r="H48" s="20"/>
      <c r="I48" s="20"/>
      <c r="J48" s="20"/>
      <c r="K48" s="20"/>
      <c r="L48" s="20"/>
      <c r="M48" s="20"/>
      <c r="N48" s="20"/>
      <c r="O48" s="20"/>
      <c r="P48" s="20"/>
      <c r="Q48" s="20"/>
      <c r="R48" s="20"/>
      <c r="S48" s="61"/>
      <c r="T48" s="20"/>
      <c r="U48" s="20"/>
      <c r="V48" s="20"/>
      <c r="W48" s="20"/>
      <c r="X48" s="20"/>
      <c r="Y48" s="20"/>
      <c r="Z48" s="20"/>
      <c r="AA48" s="20"/>
      <c r="AB48" s="20"/>
      <c r="AC48" s="20"/>
      <c r="AD48" s="20"/>
      <c r="AE48" s="20"/>
      <c r="AF48" s="20"/>
      <c r="AG48" s="20"/>
      <c r="AH48" s="11"/>
      <c r="AI48" s="11"/>
      <c r="AJ48" s="11"/>
      <c r="AK48" s="11"/>
      <c r="AL48" s="11"/>
    </row>
    <row r="49" spans="1:38" ht="15.75" x14ac:dyDescent="0.25">
      <c r="A49" s="20"/>
      <c r="B49" s="62"/>
      <c r="C49" s="62"/>
      <c r="D49" s="62"/>
      <c r="E49" s="62"/>
      <c r="F49" s="62"/>
      <c r="G49" s="18"/>
      <c r="H49" s="62"/>
      <c r="I49" s="62"/>
      <c r="J49" s="62"/>
      <c r="K49" s="62"/>
      <c r="L49" s="62"/>
      <c r="M49" s="62"/>
      <c r="N49" s="62"/>
      <c r="O49" s="62"/>
      <c r="P49" s="62"/>
      <c r="Q49" s="62"/>
      <c r="R49" s="62"/>
      <c r="T49" s="20"/>
      <c r="U49" s="20"/>
      <c r="V49" s="20"/>
      <c r="W49" s="20"/>
      <c r="X49" s="20"/>
      <c r="Y49" s="20"/>
      <c r="Z49" s="20"/>
      <c r="AA49" s="20"/>
      <c r="AB49" s="20"/>
      <c r="AC49" s="20"/>
      <c r="AD49" s="20"/>
      <c r="AE49" s="20"/>
      <c r="AF49" s="20"/>
      <c r="AG49" s="20"/>
      <c r="AH49" s="11"/>
      <c r="AI49" s="11"/>
      <c r="AJ49" s="11"/>
      <c r="AK49" s="11"/>
      <c r="AL49" s="11"/>
    </row>
    <row r="50" spans="1:38" ht="15.7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11"/>
      <c r="AI50" s="11"/>
      <c r="AJ50" s="11"/>
      <c r="AK50" s="11"/>
      <c r="AL50" s="11"/>
    </row>
    <row r="51" spans="1:38" ht="15.75" x14ac:dyDescent="0.25">
      <c r="A51" s="4"/>
      <c r="B51" s="20"/>
      <c r="C51" s="20"/>
      <c r="D51" s="20"/>
      <c r="E51" s="20"/>
      <c r="F51" s="20"/>
      <c r="G51" s="62"/>
      <c r="H51" s="20"/>
      <c r="J51" s="20"/>
      <c r="K51" s="20"/>
      <c r="L51" s="20"/>
      <c r="M51" s="20"/>
      <c r="N51" s="20"/>
      <c r="O51" s="20"/>
      <c r="P51" s="20"/>
      <c r="Q51" s="20"/>
      <c r="R51" s="63" t="e">
        <f>IF(F30-#REF!=0,"Yes",F30-#REF!)</f>
        <v>#REF!</v>
      </c>
      <c r="S51" s="20"/>
      <c r="T51" s="20"/>
      <c r="U51" s="20"/>
      <c r="V51" s="20"/>
      <c r="W51" s="20"/>
      <c r="X51" s="20"/>
      <c r="Y51" s="20"/>
      <c r="Z51" s="20"/>
      <c r="AA51" s="20"/>
      <c r="AB51" s="20"/>
      <c r="AC51" s="20"/>
      <c r="AD51" s="20"/>
      <c r="AE51" s="20"/>
      <c r="AF51" s="20"/>
      <c r="AG51" s="20"/>
      <c r="AH51" s="11"/>
      <c r="AI51" s="11"/>
      <c r="AJ51" s="11"/>
      <c r="AK51" s="11"/>
      <c r="AL51" s="11"/>
    </row>
    <row r="52" spans="1:38" ht="15.7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11"/>
      <c r="AI52" s="11"/>
      <c r="AJ52" s="11"/>
      <c r="AK52" s="11"/>
      <c r="AL52" s="11"/>
    </row>
    <row r="53" spans="1:38" ht="15.7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11"/>
      <c r="AI53" s="11"/>
      <c r="AJ53" s="11"/>
      <c r="AK53" s="11"/>
      <c r="AL53" s="11"/>
    </row>
    <row r="54" spans="1:38" ht="15.75"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11"/>
      <c r="AI54" s="11"/>
      <c r="AJ54" s="11"/>
      <c r="AK54" s="11"/>
      <c r="AL54" s="11"/>
    </row>
    <row r="55" spans="1:38" ht="15.75"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11"/>
      <c r="AI55" s="11"/>
      <c r="AJ55" s="11"/>
      <c r="AK55" s="11"/>
      <c r="AL55" s="11"/>
    </row>
    <row r="56" spans="1:38" ht="15.75"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11"/>
      <c r="AI56" s="11"/>
      <c r="AJ56" s="11"/>
      <c r="AK56" s="11"/>
      <c r="AL56" s="11"/>
    </row>
    <row r="57" spans="1:38" ht="17.25" x14ac:dyDescent="0.35">
      <c r="A57" s="20"/>
      <c r="B57" s="372"/>
      <c r="C57" s="372"/>
      <c r="D57" s="372"/>
      <c r="E57" s="372"/>
      <c r="F57" s="25"/>
      <c r="G57" s="33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11"/>
      <c r="AI57" s="11"/>
      <c r="AJ57" s="11"/>
      <c r="AK57" s="11"/>
      <c r="AL57" s="11"/>
    </row>
    <row r="58" spans="1:38" ht="17.25" x14ac:dyDescent="0.35">
      <c r="A58" s="20"/>
      <c r="B58" s="338"/>
      <c r="C58" s="337"/>
      <c r="D58" s="337"/>
      <c r="E58" s="66"/>
      <c r="F58" s="338"/>
      <c r="G58" s="33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11"/>
      <c r="AI58" s="11"/>
      <c r="AJ58" s="11"/>
      <c r="AK58" s="11"/>
      <c r="AL58" s="11"/>
    </row>
    <row r="59" spans="1:38" ht="17.25" x14ac:dyDescent="0.35">
      <c r="A59" s="20"/>
      <c r="B59" s="338"/>
      <c r="C59" s="337"/>
      <c r="D59" s="337"/>
      <c r="E59" s="27"/>
      <c r="F59" s="338"/>
      <c r="G59" s="33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11"/>
      <c r="AI59" s="11"/>
      <c r="AJ59" s="11"/>
      <c r="AK59" s="11"/>
      <c r="AL59" s="11"/>
    </row>
    <row r="60" spans="1:38" ht="15.75"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11"/>
      <c r="AI60" s="11"/>
      <c r="AJ60" s="11"/>
      <c r="AK60" s="11"/>
      <c r="AL60" s="11"/>
    </row>
    <row r="61" spans="1:38" ht="15.7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5.7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7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5.7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7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ht="15.7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ht="15.7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ht="15.7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ht="15.7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ht="15.7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ht="15.7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ht="15.7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ht="15.7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ht="15.7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7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ht="15.7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ht="15.7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ht="15.7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7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ht="15.7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ht="15.7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ht="15.7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ht="15.7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ht="15.7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ht="15.7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38" ht="15.7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ht="15.7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row>
    <row r="91" spans="1:38" ht="15.7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ht="15.7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1:38" ht="15.7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ht="15.7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ht="15.7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sheetData>
  <mergeCells count="21">
    <mergeCell ref="R6:T6"/>
    <mergeCell ref="C6:C7"/>
    <mergeCell ref="O6:Q6"/>
    <mergeCell ref="E6:E7"/>
    <mergeCell ref="I5:T5"/>
    <mergeCell ref="L6:N6"/>
    <mergeCell ref="I6:I7"/>
    <mergeCell ref="B5:G5"/>
    <mergeCell ref="A1:G1"/>
    <mergeCell ref="A2:G2"/>
    <mergeCell ref="A3:G3"/>
    <mergeCell ref="A4:G4"/>
    <mergeCell ref="C58:C59"/>
    <mergeCell ref="F6:F7"/>
    <mergeCell ref="B57:E57"/>
    <mergeCell ref="B6:B7"/>
    <mergeCell ref="D58:D59"/>
    <mergeCell ref="B58:B59"/>
    <mergeCell ref="F58:F59"/>
    <mergeCell ref="G57:G59"/>
    <mergeCell ref="D6:D7"/>
  </mergeCells>
  <conditionalFormatting sqref="B47:G47">
    <cfRule type="cellIs" dxfId="62" priority="2" stopIfTrue="1" operator="notEqual">
      <formula>"Yes"</formula>
    </cfRule>
  </conditionalFormatting>
  <conditionalFormatting sqref="I9:I14 I25:I30 I16:I22">
    <cfRule type="cellIs" dxfId="61" priority="1" stopIfTrue="1" operator="notEqual">
      <formula>"Yes"</formula>
    </cfRule>
  </conditionalFormatting>
  <pageMargins left="0.75" right="0.75" top="0.75" bottom="0.75" header="0.5" footer="0.5"/>
  <pageSetup firstPageNumber="19" orientation="portrait" useFirstPageNumber="1" r:id="rId1"/>
  <headerFooter alignWithMargins="0">
    <oddHeader xml:space="preserve">&amp;R&amp;12Statement 6
</oddHeader>
    <oddFooter>&amp;L&amp;12Revised:  July 2020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pageSetUpPr fitToPage="1"/>
  </sheetPr>
  <dimension ref="A1:S101"/>
  <sheetViews>
    <sheetView showGridLines="0" workbookViewId="0">
      <selection activeCell="A33" sqref="A33"/>
    </sheetView>
  </sheetViews>
  <sheetFormatPr defaultRowHeight="12.75" x14ac:dyDescent="0.2"/>
  <cols>
    <col min="1" max="1" width="45.7109375" customWidth="1"/>
    <col min="2" max="3" width="15.7109375" customWidth="1"/>
    <col min="4" max="6" width="15.7109375" hidden="1" customWidth="1"/>
    <col min="7" max="7" width="15.7109375" customWidth="1"/>
    <col min="9" max="10" width="14.7109375" customWidth="1"/>
  </cols>
  <sheetData>
    <row r="1" spans="1:19" ht="15.75" customHeight="1" x14ac:dyDescent="0.25">
      <c r="A1" s="341" t="str">
        <f>'GW Net Position Exh 1'!A1</f>
        <v>Owl Charter, Inc.</v>
      </c>
      <c r="B1" s="341"/>
      <c r="C1" s="341"/>
      <c r="D1" s="341"/>
      <c r="E1" s="341"/>
      <c r="F1" s="341"/>
      <c r="G1" s="341"/>
      <c r="H1" s="20"/>
      <c r="I1" s="20"/>
      <c r="J1" s="20"/>
      <c r="K1" s="20"/>
      <c r="L1" s="20"/>
      <c r="M1" s="20"/>
      <c r="N1" s="20"/>
      <c r="O1" s="20"/>
      <c r="P1" s="20"/>
      <c r="Q1" s="20"/>
      <c r="R1" s="20"/>
      <c r="S1" s="20"/>
    </row>
    <row r="2" spans="1:19" ht="15.75" customHeight="1" x14ac:dyDescent="0.25">
      <c r="A2" s="383" t="s">
        <v>348</v>
      </c>
      <c r="B2" s="383"/>
      <c r="C2" s="383"/>
      <c r="D2" s="383"/>
      <c r="E2" s="383"/>
      <c r="F2" s="383"/>
      <c r="G2" s="383"/>
      <c r="H2" s="20"/>
      <c r="I2" s="20"/>
      <c r="J2" s="20"/>
      <c r="K2" s="20"/>
      <c r="L2" s="20"/>
      <c r="M2" s="20"/>
      <c r="N2" s="20"/>
      <c r="O2" s="20"/>
      <c r="P2" s="20"/>
      <c r="Q2" s="20"/>
      <c r="R2" s="20"/>
      <c r="S2" s="20"/>
    </row>
    <row r="3" spans="1:19" ht="15.75" hidden="1" customHeight="1" x14ac:dyDescent="0.25">
      <c r="A3" s="342" t="s">
        <v>7</v>
      </c>
      <c r="B3" s="342"/>
      <c r="C3" s="342"/>
      <c r="D3" s="342"/>
      <c r="E3" s="342"/>
      <c r="F3" s="342"/>
      <c r="G3" s="342"/>
      <c r="H3" s="20"/>
      <c r="I3" s="20"/>
      <c r="J3" s="20"/>
      <c r="K3" s="20"/>
      <c r="L3" s="20"/>
      <c r="M3" s="20"/>
      <c r="N3" s="20"/>
      <c r="O3" s="20"/>
      <c r="P3" s="20"/>
      <c r="Q3" s="20"/>
      <c r="R3" s="20"/>
      <c r="S3" s="20"/>
    </row>
    <row r="4" spans="1:19" ht="15.75" customHeight="1" x14ac:dyDescent="0.25">
      <c r="A4" s="374" t="str">
        <f>+'GW Stmt Activities Exh 2'!A3</f>
        <v>For the Year Ended June 30, 2020</v>
      </c>
      <c r="B4" s="374"/>
      <c r="C4" s="374"/>
      <c r="D4" s="374"/>
      <c r="E4" s="374"/>
      <c r="F4" s="374"/>
      <c r="G4" s="374"/>
      <c r="H4" s="20"/>
      <c r="I4" s="20"/>
      <c r="J4" s="20"/>
      <c r="K4" s="20"/>
      <c r="L4" s="20"/>
      <c r="M4" s="20"/>
      <c r="N4" s="20"/>
      <c r="O4" s="20"/>
      <c r="P4" s="20"/>
      <c r="Q4" s="20"/>
      <c r="R4" s="20"/>
      <c r="S4" s="20"/>
    </row>
    <row r="5" spans="1:19" ht="21.95" customHeight="1" x14ac:dyDescent="0.35">
      <c r="A5" s="23"/>
      <c r="B5" s="372" t="str">
        <f>'Govt Funds Bal Sh Exh 3'!D7</f>
        <v>Owl - Erudio</v>
      </c>
      <c r="C5" s="372"/>
      <c r="D5" s="372"/>
      <c r="E5" s="372"/>
      <c r="F5" s="372"/>
      <c r="G5" s="372"/>
      <c r="H5" s="20"/>
      <c r="I5" s="20"/>
      <c r="J5" s="20"/>
      <c r="K5" s="20"/>
      <c r="L5" s="20"/>
      <c r="M5" s="20"/>
      <c r="N5" s="20"/>
      <c r="O5" s="20"/>
      <c r="P5" s="20"/>
      <c r="Q5" s="20"/>
      <c r="R5" s="20"/>
      <c r="S5" s="20"/>
    </row>
    <row r="6" spans="1:19" ht="18" customHeight="1" x14ac:dyDescent="0.25">
      <c r="A6" s="23"/>
      <c r="B6" s="338" t="s">
        <v>342</v>
      </c>
      <c r="C6" s="337" t="s">
        <v>343</v>
      </c>
      <c r="D6" s="337" t="s">
        <v>344</v>
      </c>
      <c r="E6" s="337" t="s">
        <v>278</v>
      </c>
      <c r="F6" s="338" t="s">
        <v>225</v>
      </c>
      <c r="G6" s="87"/>
      <c r="H6" s="20"/>
      <c r="I6" s="386" t="s">
        <v>325</v>
      </c>
      <c r="J6" s="20"/>
      <c r="K6" s="20"/>
      <c r="L6" s="20"/>
      <c r="M6" s="20"/>
      <c r="N6" s="20"/>
      <c r="O6" s="20"/>
      <c r="P6" s="20"/>
      <c r="Q6" s="20"/>
      <c r="R6" s="20"/>
      <c r="S6" s="20"/>
    </row>
    <row r="7" spans="1:19" ht="18" customHeight="1" x14ac:dyDescent="0.35">
      <c r="A7" s="20"/>
      <c r="B7" s="338"/>
      <c r="C7" s="337"/>
      <c r="D7" s="337"/>
      <c r="E7" s="337"/>
      <c r="F7" s="338"/>
      <c r="G7" s="26" t="s">
        <v>345</v>
      </c>
      <c r="H7" s="20"/>
      <c r="I7" s="386"/>
      <c r="J7" s="325" t="s">
        <v>391</v>
      </c>
      <c r="K7" s="20"/>
      <c r="L7" s="20"/>
      <c r="M7" s="20"/>
      <c r="N7" s="20"/>
      <c r="O7" s="20"/>
      <c r="P7" s="20"/>
      <c r="Q7" s="20"/>
      <c r="R7" s="20"/>
      <c r="S7" s="20"/>
    </row>
    <row r="8" spans="1:19" ht="15.75" x14ac:dyDescent="0.25">
      <c r="A8" s="28" t="s">
        <v>233</v>
      </c>
      <c r="B8" s="20"/>
      <c r="C8" s="20"/>
      <c r="D8" s="20"/>
      <c r="E8" s="20"/>
      <c r="F8" s="20"/>
      <c r="G8" s="20"/>
      <c r="H8" s="20"/>
      <c r="I8" s="30"/>
      <c r="J8" s="20"/>
      <c r="K8" s="20"/>
      <c r="L8" s="20"/>
      <c r="M8" s="20"/>
      <c r="N8" s="20"/>
      <c r="O8" s="20"/>
      <c r="P8" s="20"/>
      <c r="Q8" s="20"/>
      <c r="R8" s="20"/>
      <c r="S8" s="20"/>
    </row>
    <row r="9" spans="1:19" ht="15" x14ac:dyDescent="0.2">
      <c r="A9" s="36" t="s">
        <v>97</v>
      </c>
      <c r="B9" s="18">
        <f>'Govt Funds Inc Stmt Exh 4'!N9</f>
        <v>0</v>
      </c>
      <c r="C9" s="18">
        <f>'Govt Funds Inc Stmt Exh 4'!Q9</f>
        <v>1055814</v>
      </c>
      <c r="D9" s="18">
        <f>'Govt Funds Inc Stmt Exh 4'!T9</f>
        <v>0</v>
      </c>
      <c r="E9" s="18">
        <f>'Govt Funds Inc Stmt Exh 4'!W9</f>
        <v>0</v>
      </c>
      <c r="F9" s="18">
        <v>0</v>
      </c>
      <c r="G9" s="18">
        <f>SUM(B9:F9)</f>
        <v>1055814</v>
      </c>
      <c r="H9" s="20"/>
      <c r="I9" s="146" t="str">
        <f>IF(G9-'Govt Funds Inc Stmt Exh 4'!D9=0,"Yes",G9-'Govt Funds Inc Stmt Exh 4'!D9)</f>
        <v>Yes</v>
      </c>
      <c r="J9" s="322" t="str">
        <f>IF(((ABS(B9)+ABS(C9)+ABS(D9)+ABS(E9)+ABS(F9)+ABS(G9))=0),"Hide Row?"," ")</f>
        <v xml:space="preserve"> </v>
      </c>
      <c r="K9" s="20"/>
      <c r="L9" s="20"/>
      <c r="M9" s="20"/>
      <c r="N9" s="20"/>
      <c r="O9" s="20"/>
      <c r="P9" s="20"/>
      <c r="Q9" s="20"/>
      <c r="R9" s="20"/>
      <c r="S9" s="20"/>
    </row>
    <row r="10" spans="1:19" ht="15" x14ac:dyDescent="0.2">
      <c r="A10" s="40" t="s">
        <v>98</v>
      </c>
      <c r="B10" s="32">
        <f>'Govt Funds Inc Stmt Exh 4'!N10</f>
        <v>479029</v>
      </c>
      <c r="C10" s="32">
        <f>'Govt Funds Inc Stmt Exh 4'!Q10</f>
        <v>0</v>
      </c>
      <c r="D10" s="32">
        <f>'Govt Funds Inc Stmt Exh 4'!T10</f>
        <v>0</v>
      </c>
      <c r="E10" s="32">
        <f>'Govt Funds Inc Stmt Exh 4'!W10</f>
        <v>0</v>
      </c>
      <c r="F10" s="32">
        <v>0</v>
      </c>
      <c r="G10" s="33">
        <f>SUM(B10:F10)</f>
        <v>479029</v>
      </c>
      <c r="H10" s="20"/>
      <c r="I10" s="146" t="str">
        <f>IF(G10-'Govt Funds Inc Stmt Exh 4'!D10=0,"Yes",G10-'Govt Funds Inc Stmt Exh 4'!D10)</f>
        <v>Yes</v>
      </c>
      <c r="J10" s="322" t="str">
        <f t="shared" ref="J10:J34" si="0">IF(((ABS(B10)+ABS(C10)+ABS(D10)+ABS(E10)+ABS(F10)+ABS(G10))=0),"Hide Row?"," ")</f>
        <v xml:space="preserve"> </v>
      </c>
      <c r="K10" s="20"/>
      <c r="L10" s="20"/>
      <c r="M10" s="20"/>
      <c r="N10" s="20"/>
      <c r="O10" s="20"/>
      <c r="P10" s="20"/>
      <c r="Q10" s="20"/>
      <c r="R10" s="20"/>
      <c r="S10" s="20"/>
    </row>
    <row r="11" spans="1:19" ht="15" hidden="1" x14ac:dyDescent="0.2">
      <c r="A11" s="36" t="s">
        <v>99</v>
      </c>
      <c r="B11" s="32">
        <f>'Govt Funds Inc Stmt Exh 4'!N11</f>
        <v>0</v>
      </c>
      <c r="C11" s="32">
        <f>'Govt Funds Inc Stmt Exh 4'!Q11</f>
        <v>0</v>
      </c>
      <c r="D11" s="32">
        <f>'Govt Funds Inc Stmt Exh 4'!T11</f>
        <v>0</v>
      </c>
      <c r="E11" s="32">
        <f>'Govt Funds Inc Stmt Exh 4'!W11</f>
        <v>0</v>
      </c>
      <c r="F11" s="32">
        <v>0</v>
      </c>
      <c r="G11" s="31">
        <f>SUM(B11:F11)</f>
        <v>0</v>
      </c>
      <c r="H11" s="20"/>
      <c r="I11" s="146" t="str">
        <f>IF(G11-'Govt Funds Inc Stmt Exh 4'!D11=0,"Yes",G11-'Govt Funds Inc Stmt Exh 4'!D11)</f>
        <v>Yes</v>
      </c>
      <c r="J11" s="322" t="str">
        <f t="shared" si="0"/>
        <v>Hide Row?</v>
      </c>
      <c r="K11" s="20"/>
      <c r="L11" s="20"/>
      <c r="M11" s="20"/>
      <c r="N11" s="20"/>
      <c r="O11" s="20"/>
      <c r="P11" s="20"/>
      <c r="Q11" s="20"/>
      <c r="R11" s="20"/>
      <c r="S11" s="20"/>
    </row>
    <row r="12" spans="1:19" ht="15" x14ac:dyDescent="0.2">
      <c r="A12" s="36" t="s">
        <v>100</v>
      </c>
      <c r="B12" s="32">
        <f>'Govt Funds Inc Stmt Exh 4'!N12</f>
        <v>118735</v>
      </c>
      <c r="C12" s="32">
        <f>'Govt Funds Inc Stmt Exh 4'!Q12</f>
        <v>0</v>
      </c>
      <c r="D12" s="32">
        <f>'Govt Funds Inc Stmt Exh 4'!T12</f>
        <v>0</v>
      </c>
      <c r="E12" s="32">
        <f>'Govt Funds Inc Stmt Exh 4'!W12</f>
        <v>0</v>
      </c>
      <c r="F12" s="32">
        <v>0</v>
      </c>
      <c r="G12" s="33">
        <f>SUM(B12:F12)</f>
        <v>118735</v>
      </c>
      <c r="H12" s="20"/>
      <c r="I12" s="146" t="str">
        <f>IF(G12-'Govt Funds Inc Stmt Exh 4'!D12=0,"Yes",G12-'Govt Funds Inc Stmt Exh 4'!D12)</f>
        <v>Yes</v>
      </c>
      <c r="J12" s="322" t="str">
        <f t="shared" si="0"/>
        <v xml:space="preserve"> </v>
      </c>
      <c r="K12" s="20"/>
      <c r="L12" s="20"/>
      <c r="M12" s="20"/>
      <c r="N12" s="20"/>
      <c r="O12" s="20"/>
      <c r="P12" s="20"/>
      <c r="Q12" s="20"/>
      <c r="R12" s="20"/>
      <c r="S12" s="20"/>
    </row>
    <row r="13" spans="1:19" ht="17.25" customHeight="1" x14ac:dyDescent="0.35">
      <c r="A13" s="36" t="s">
        <v>91</v>
      </c>
      <c r="B13" s="35">
        <f>'Govt Funds Inc Stmt Exh 4'!N13</f>
        <v>31699</v>
      </c>
      <c r="C13" s="35">
        <f>'Govt Funds Inc Stmt Exh 4'!Q13</f>
        <v>0</v>
      </c>
      <c r="D13" s="35">
        <f>'Govt Funds Inc Stmt Exh 4'!T13</f>
        <v>0</v>
      </c>
      <c r="E13" s="35">
        <f>'Govt Funds Inc Stmt Exh 4'!W13</f>
        <v>0</v>
      </c>
      <c r="F13" s="35">
        <v>0</v>
      </c>
      <c r="G13" s="34">
        <f>SUM(B13:F13)</f>
        <v>31699</v>
      </c>
      <c r="H13" s="20"/>
      <c r="I13" s="146" t="str">
        <f>IF(G13-'Govt Funds Inc Stmt Exh 4'!D13=0,"Yes",G13-'Govt Funds Inc Stmt Exh 4'!D13)</f>
        <v>Yes</v>
      </c>
      <c r="J13" s="322" t="str">
        <f t="shared" si="0"/>
        <v xml:space="preserve"> </v>
      </c>
      <c r="K13" s="20"/>
      <c r="L13" s="20"/>
      <c r="M13" s="20"/>
      <c r="N13" s="20"/>
      <c r="O13" s="20"/>
      <c r="P13" s="20"/>
      <c r="Q13" s="20"/>
      <c r="R13" s="20"/>
      <c r="S13" s="20"/>
    </row>
    <row r="14" spans="1:19" ht="20.100000000000001" customHeight="1" x14ac:dyDescent="0.35">
      <c r="A14" s="73" t="s">
        <v>13</v>
      </c>
      <c r="B14" s="34">
        <f t="shared" ref="B14:G14" si="1">SUM(B9:B13)</f>
        <v>629463</v>
      </c>
      <c r="C14" s="34">
        <f t="shared" si="1"/>
        <v>1055814</v>
      </c>
      <c r="D14" s="34">
        <f t="shared" si="1"/>
        <v>0</v>
      </c>
      <c r="E14" s="34">
        <f t="shared" si="1"/>
        <v>0</v>
      </c>
      <c r="F14" s="34">
        <f t="shared" si="1"/>
        <v>0</v>
      </c>
      <c r="G14" s="34">
        <f t="shared" si="1"/>
        <v>1685277</v>
      </c>
      <c r="H14" s="20"/>
      <c r="I14" s="146" t="str">
        <f>IF(G14-'Govt Funds Inc Stmt Exh 4'!D14=0,"Yes",G14-'Govt Funds Inc Stmt Exh 4'!D14)</f>
        <v>Yes</v>
      </c>
      <c r="J14" s="322" t="str">
        <f t="shared" si="0"/>
        <v xml:space="preserve"> </v>
      </c>
      <c r="K14" s="20"/>
      <c r="L14" s="20"/>
      <c r="M14" s="20"/>
      <c r="N14" s="20"/>
      <c r="O14" s="20"/>
      <c r="P14" s="20"/>
      <c r="Q14" s="20"/>
      <c r="R14" s="20"/>
      <c r="S14" s="20"/>
    </row>
    <row r="15" spans="1:19" ht="21" customHeight="1" x14ac:dyDescent="0.25">
      <c r="A15" s="28" t="s">
        <v>234</v>
      </c>
      <c r="B15" s="33"/>
      <c r="C15" s="33"/>
      <c r="D15" s="33"/>
      <c r="E15" s="33"/>
      <c r="F15" s="33"/>
      <c r="G15" s="33"/>
      <c r="H15" s="20"/>
      <c r="I15" s="146"/>
      <c r="J15" s="322"/>
      <c r="K15" s="20"/>
      <c r="L15" s="20"/>
      <c r="M15" s="20"/>
      <c r="N15" s="20"/>
      <c r="O15" s="20"/>
      <c r="P15" s="20"/>
      <c r="Q15" s="20"/>
      <c r="R15" s="20"/>
      <c r="S15" s="20"/>
    </row>
    <row r="16" spans="1:19" ht="18" customHeight="1" x14ac:dyDescent="0.25">
      <c r="A16" s="84" t="s">
        <v>280</v>
      </c>
      <c r="B16" s="33"/>
      <c r="C16" s="33"/>
      <c r="D16" s="33"/>
      <c r="E16" s="33"/>
      <c r="F16" s="33"/>
      <c r="G16" s="33"/>
      <c r="H16" s="20"/>
      <c r="I16" s="146"/>
      <c r="J16" s="322"/>
      <c r="K16" s="20"/>
      <c r="L16" s="20"/>
      <c r="M16" s="20"/>
      <c r="N16" s="20"/>
      <c r="O16" s="20"/>
      <c r="P16" s="20"/>
      <c r="Q16" s="20"/>
      <c r="R16" s="20"/>
      <c r="S16" s="20"/>
    </row>
    <row r="17" spans="1:19" ht="15.75" customHeight="1" x14ac:dyDescent="0.2">
      <c r="A17" s="69" t="s">
        <v>143</v>
      </c>
      <c r="B17" s="32">
        <f>'Govt Funds Inc Stmt Exh 4'!N17</f>
        <v>420427</v>
      </c>
      <c r="C17" s="32">
        <f>'Govt Funds Inc Stmt Exh 4'!Q17</f>
        <v>850484</v>
      </c>
      <c r="D17" s="32">
        <f>'Govt Funds Inc Stmt Exh 4'!T17</f>
        <v>0</v>
      </c>
      <c r="E17" s="32">
        <f>'Govt Funds Inc Stmt Exh 4'!W17</f>
        <v>0</v>
      </c>
      <c r="F17" s="32">
        <v>0</v>
      </c>
      <c r="G17" s="33">
        <f>SUM(B17:F17)</f>
        <v>1270911</v>
      </c>
      <c r="H17" s="20"/>
      <c r="I17" s="146" t="str">
        <f>IF(G17-'Govt Funds Inc Stmt Exh 4'!D17=0,"Yes",G17-'Govt Funds Inc Stmt Exh 4'!D17)</f>
        <v>Yes</v>
      </c>
      <c r="J17" s="322" t="str">
        <f t="shared" si="0"/>
        <v xml:space="preserve"> </v>
      </c>
      <c r="K17" s="20"/>
      <c r="L17" s="20"/>
      <c r="M17" s="20"/>
      <c r="N17" s="20"/>
      <c r="O17" s="20"/>
      <c r="P17" s="20"/>
      <c r="Q17" s="20"/>
      <c r="R17" s="20"/>
      <c r="S17" s="20"/>
    </row>
    <row r="18" spans="1:19" ht="15.75" customHeight="1" x14ac:dyDescent="0.2">
      <c r="A18" s="69" t="s">
        <v>155</v>
      </c>
      <c r="B18" s="32">
        <f>'Govt Funds Inc Stmt Exh 4'!N18</f>
        <v>98499</v>
      </c>
      <c r="C18" s="32">
        <f>'Govt Funds Inc Stmt Exh 4'!Q18</f>
        <v>205330</v>
      </c>
      <c r="D18" s="32">
        <f>'Govt Funds Inc Stmt Exh 4'!T18</f>
        <v>0</v>
      </c>
      <c r="E18" s="32">
        <f>'Govt Funds Inc Stmt Exh 4'!W18</f>
        <v>0</v>
      </c>
      <c r="F18" s="32">
        <v>0</v>
      </c>
      <c r="G18" s="31">
        <f>SUM(B18:F18)</f>
        <v>303829</v>
      </c>
      <c r="H18" s="20"/>
      <c r="I18" s="146" t="str">
        <f>IF(G18-'Govt Funds Inc Stmt Exh 4'!D18=0,"Yes",G18-'Govt Funds Inc Stmt Exh 4'!D18)</f>
        <v>Yes</v>
      </c>
      <c r="J18" s="322" t="str">
        <f t="shared" si="0"/>
        <v xml:space="preserve"> </v>
      </c>
      <c r="K18" s="20"/>
      <c r="L18" s="20"/>
      <c r="M18" s="20"/>
      <c r="N18" s="20"/>
      <c r="O18" s="20"/>
      <c r="P18" s="20"/>
      <c r="Q18" s="20"/>
      <c r="R18" s="20"/>
      <c r="S18" s="20"/>
    </row>
    <row r="19" spans="1:19" ht="15.75" hidden="1" customHeight="1" x14ac:dyDescent="0.2">
      <c r="A19" s="69" t="s">
        <v>92</v>
      </c>
      <c r="B19" s="32">
        <f>'Govt Funds Inc Stmt Exh 4'!N19</f>
        <v>0</v>
      </c>
      <c r="C19" s="32">
        <f>'Govt Funds Inc Stmt Exh 4'!Q19</f>
        <v>0</v>
      </c>
      <c r="D19" s="32">
        <f>'Govt Funds Inc Stmt Exh 4'!T19</f>
        <v>0</v>
      </c>
      <c r="E19" s="32">
        <f>'Govt Funds Inc Stmt Exh 4'!W19</f>
        <v>0</v>
      </c>
      <c r="F19" s="32">
        <v>0</v>
      </c>
      <c r="G19" s="33">
        <f>SUM(B19:F19)</f>
        <v>0</v>
      </c>
      <c r="H19" s="20"/>
      <c r="I19" s="146" t="str">
        <f>IF(G19-'Govt Funds Inc Stmt Exh 4'!D19=0,"Yes",G19-'Govt Funds Inc Stmt Exh 4'!D19)</f>
        <v>Yes</v>
      </c>
      <c r="J19" s="322" t="str">
        <f t="shared" si="0"/>
        <v>Hide Row?</v>
      </c>
      <c r="K19" s="20"/>
      <c r="L19" s="20"/>
      <c r="M19" s="20"/>
      <c r="N19" s="20"/>
      <c r="O19" s="20"/>
      <c r="P19" s="20"/>
      <c r="Q19" s="20"/>
      <c r="R19" s="20"/>
      <c r="S19" s="20"/>
    </row>
    <row r="20" spans="1:19" ht="18" customHeight="1" x14ac:dyDescent="0.25">
      <c r="A20" s="84" t="s">
        <v>17</v>
      </c>
      <c r="B20" s="32">
        <f>'Govt Funds Inc Stmt Exh 4'!N20</f>
        <v>292500</v>
      </c>
      <c r="C20" s="32">
        <f>'Govt Funds Inc Stmt Exh 4'!Q20</f>
        <v>0</v>
      </c>
      <c r="D20" s="32">
        <f>'Govt Funds Inc Stmt Exh 4'!T20</f>
        <v>0</v>
      </c>
      <c r="E20" s="32">
        <f>'Govt Funds Inc Stmt Exh 4'!W20</f>
        <v>0</v>
      </c>
      <c r="F20" s="32">
        <v>0</v>
      </c>
      <c r="G20" s="33">
        <f>SUM(B20:F20)</f>
        <v>292500</v>
      </c>
      <c r="H20" s="20"/>
      <c r="I20" s="146" t="str">
        <f>IF(G20-'Govt Funds Inc Stmt Exh 4'!D20=0,"Yes",G20-'Govt Funds Inc Stmt Exh 4'!D20)</f>
        <v>Yes</v>
      </c>
      <c r="J20" s="322" t="str">
        <f t="shared" si="0"/>
        <v xml:space="preserve"> </v>
      </c>
      <c r="K20" s="20"/>
      <c r="L20" s="20"/>
      <c r="M20" s="20"/>
      <c r="N20" s="20"/>
      <c r="O20" s="20"/>
      <c r="P20" s="20"/>
      <c r="Q20" s="20"/>
      <c r="R20" s="20"/>
      <c r="S20" s="20"/>
    </row>
    <row r="21" spans="1:19" ht="18" customHeight="1" x14ac:dyDescent="0.25">
      <c r="A21" s="84" t="s">
        <v>281</v>
      </c>
      <c r="B21" s="72"/>
      <c r="C21" s="72"/>
      <c r="D21" s="72"/>
      <c r="E21" s="72"/>
      <c r="F21" s="72"/>
      <c r="G21" s="72"/>
      <c r="H21" s="20"/>
      <c r="I21" s="146" t="str">
        <f>IF(G21-'Govt Funds Inc Stmt Exh 4'!D21=0,"Yes",G21-'Govt Funds Inc Stmt Exh 4'!D21)</f>
        <v>Yes</v>
      </c>
      <c r="J21" s="322"/>
      <c r="K21" s="20"/>
      <c r="L21" s="20"/>
      <c r="M21" s="20"/>
      <c r="N21" s="20"/>
      <c r="O21" s="20"/>
      <c r="P21" s="20"/>
      <c r="Q21" s="20"/>
      <c r="R21" s="20"/>
      <c r="S21" s="20"/>
    </row>
    <row r="22" spans="1:19" ht="15.75" customHeight="1" x14ac:dyDescent="0.2">
      <c r="A22" s="73" t="s">
        <v>15</v>
      </c>
      <c r="B22" s="32">
        <f>'Govt Funds Inc Stmt Exh 4'!N22</f>
        <v>67470</v>
      </c>
      <c r="C22" s="32">
        <f>'Govt Funds Inc Stmt Exh 4'!Q22</f>
        <v>0</v>
      </c>
      <c r="D22" s="32">
        <f>'Govt Funds Inc Stmt Exh 4'!T22</f>
        <v>0</v>
      </c>
      <c r="E22" s="32">
        <f>'Govt Funds Inc Stmt Exh 4'!W22</f>
        <v>0</v>
      </c>
      <c r="F22" s="32">
        <v>0</v>
      </c>
      <c r="G22" s="33">
        <f>SUM(B22:F22)</f>
        <v>67470</v>
      </c>
      <c r="H22" s="20"/>
      <c r="I22" s="146" t="str">
        <f>IF(G22-'Govt Funds Inc Stmt Exh 4'!D22=0,"Yes",G22-'Govt Funds Inc Stmt Exh 4'!D22)</f>
        <v>Yes</v>
      </c>
      <c r="J22" s="322" t="str">
        <f t="shared" si="0"/>
        <v xml:space="preserve"> </v>
      </c>
      <c r="K22" s="20"/>
      <c r="L22" s="20"/>
      <c r="M22" s="20"/>
      <c r="N22" s="20"/>
      <c r="O22" s="20"/>
      <c r="P22" s="20"/>
      <c r="Q22" s="20"/>
      <c r="R22" s="20"/>
      <c r="S22" s="20"/>
    </row>
    <row r="23" spans="1:19" ht="17.25" customHeight="1" x14ac:dyDescent="0.35">
      <c r="A23" s="73" t="s">
        <v>16</v>
      </c>
      <c r="B23" s="35">
        <f>'Govt Funds Inc Stmt Exh 4'!N23</f>
        <v>94531</v>
      </c>
      <c r="C23" s="35">
        <f>'Govt Funds Inc Stmt Exh 4'!Q22</f>
        <v>0</v>
      </c>
      <c r="D23" s="35">
        <f>'Govt Funds Inc Stmt Exh 4'!T23</f>
        <v>0</v>
      </c>
      <c r="E23" s="35">
        <f>'Govt Funds Inc Stmt Exh 4'!W23</f>
        <v>0</v>
      </c>
      <c r="F23" s="35">
        <v>0</v>
      </c>
      <c r="G23" s="34">
        <f>SUM(B23:F23)</f>
        <v>94531</v>
      </c>
      <c r="H23" s="20"/>
      <c r="I23" s="146" t="str">
        <f>IF(G23-'Govt Funds Inc Stmt Exh 4'!D23=0,"Yes",G23-'Govt Funds Inc Stmt Exh 4'!D23)</f>
        <v>Yes</v>
      </c>
      <c r="J23" s="322" t="str">
        <f t="shared" si="0"/>
        <v xml:space="preserve"> </v>
      </c>
      <c r="K23" s="20"/>
      <c r="L23" s="20"/>
      <c r="M23" s="20"/>
      <c r="N23" s="20"/>
      <c r="O23" s="20"/>
      <c r="P23" s="20"/>
      <c r="Q23" s="20"/>
      <c r="R23" s="20"/>
      <c r="S23" s="20"/>
    </row>
    <row r="24" spans="1:19" ht="20.100000000000001" customHeight="1" x14ac:dyDescent="0.35">
      <c r="A24" s="73" t="s">
        <v>18</v>
      </c>
      <c r="B24" s="34">
        <f t="shared" ref="B24:G24" si="2">SUM(B17:B23)</f>
        <v>973427</v>
      </c>
      <c r="C24" s="34">
        <f t="shared" si="2"/>
        <v>1055814</v>
      </c>
      <c r="D24" s="34">
        <f t="shared" si="2"/>
        <v>0</v>
      </c>
      <c r="E24" s="34">
        <f t="shared" si="2"/>
        <v>0</v>
      </c>
      <c r="F24" s="34">
        <f t="shared" si="2"/>
        <v>0</v>
      </c>
      <c r="G24" s="34">
        <f t="shared" si="2"/>
        <v>2029241</v>
      </c>
      <c r="H24" s="20"/>
      <c r="I24" s="146" t="str">
        <f>IF(G24-'Govt Funds Inc Stmt Exh 4'!D24=0,"Yes",G24-'Govt Funds Inc Stmt Exh 4'!D24)</f>
        <v>Yes</v>
      </c>
      <c r="J24" s="322" t="str">
        <f t="shared" si="0"/>
        <v xml:space="preserve"> </v>
      </c>
      <c r="K24" s="20"/>
      <c r="L24" s="20"/>
      <c r="M24" s="20"/>
      <c r="N24" s="20"/>
      <c r="O24" s="20"/>
      <c r="P24" s="20"/>
      <c r="Q24" s="20"/>
      <c r="R24" s="20"/>
      <c r="S24" s="20"/>
    </row>
    <row r="25" spans="1:19" ht="35.1" customHeight="1" x14ac:dyDescent="0.35">
      <c r="A25" s="74" t="s">
        <v>190</v>
      </c>
      <c r="B25" s="34">
        <f t="shared" ref="B25:G25" si="3">+B14-B24</f>
        <v>-343964</v>
      </c>
      <c r="C25" s="34">
        <f t="shared" si="3"/>
        <v>0</v>
      </c>
      <c r="D25" s="34">
        <f t="shared" si="3"/>
        <v>0</v>
      </c>
      <c r="E25" s="34">
        <f t="shared" si="3"/>
        <v>0</v>
      </c>
      <c r="F25" s="34">
        <f t="shared" si="3"/>
        <v>0</v>
      </c>
      <c r="G25" s="34">
        <f t="shared" si="3"/>
        <v>-343964</v>
      </c>
      <c r="H25" s="20"/>
      <c r="I25" s="146" t="str">
        <f>IF(G25-'Govt Funds Inc Stmt Exh 4'!D25=0,"Yes",G25-'Govt Funds Inc Stmt Exh 4'!D25)</f>
        <v>Yes</v>
      </c>
      <c r="J25" s="322" t="str">
        <f t="shared" si="0"/>
        <v xml:space="preserve"> </v>
      </c>
      <c r="K25" s="20"/>
      <c r="L25" s="20"/>
      <c r="M25" s="20"/>
      <c r="N25" s="20"/>
      <c r="O25" s="20"/>
      <c r="P25" s="20"/>
      <c r="Q25" s="20"/>
      <c r="R25" s="20"/>
      <c r="S25" s="20"/>
    </row>
    <row r="26" spans="1:19" ht="21" customHeight="1" x14ac:dyDescent="0.25">
      <c r="A26" s="28" t="s">
        <v>235</v>
      </c>
      <c r="B26" s="33"/>
      <c r="C26" s="33"/>
      <c r="D26" s="33"/>
      <c r="E26" s="33"/>
      <c r="F26" s="33"/>
      <c r="G26" s="33"/>
      <c r="H26" s="20"/>
      <c r="I26" s="146"/>
      <c r="J26" s="322"/>
      <c r="K26" s="20"/>
      <c r="L26" s="20"/>
      <c r="M26" s="20"/>
      <c r="N26" s="20"/>
      <c r="O26" s="20"/>
      <c r="P26" s="20"/>
      <c r="Q26" s="20"/>
      <c r="R26" s="20"/>
      <c r="S26" s="20"/>
    </row>
    <row r="27" spans="1:19" ht="15.75" hidden="1" customHeight="1" x14ac:dyDescent="0.2">
      <c r="A27" s="70" t="s">
        <v>83</v>
      </c>
      <c r="B27" s="32">
        <f>'Govt Funds Inc Stmt Exh 4'!N27</f>
        <v>0</v>
      </c>
      <c r="C27" s="32">
        <f>'Govt Funds Inc Stmt Exh 4'!Q26</f>
        <v>0</v>
      </c>
      <c r="D27" s="32">
        <f>'Govt Funds Inc Stmt Exh 4'!T27</f>
        <v>0</v>
      </c>
      <c r="E27" s="32">
        <f>'Govt Funds Inc Stmt Exh 4'!W27</f>
        <v>0</v>
      </c>
      <c r="F27" s="32">
        <v>0</v>
      </c>
      <c r="G27" s="33">
        <f>SUM(B27:F27)</f>
        <v>0</v>
      </c>
      <c r="H27" s="20"/>
      <c r="I27" s="146" t="str">
        <f>IF(G27-'Govt Funds Inc Stmt Exh 4'!D27=0,"Yes",G27-'Govt Funds Inc Stmt Exh 4'!D27)</f>
        <v>Yes</v>
      </c>
      <c r="J27" s="322" t="str">
        <f t="shared" si="0"/>
        <v>Hide Row?</v>
      </c>
      <c r="K27" s="20"/>
      <c r="L27" s="20"/>
      <c r="M27" s="20"/>
      <c r="N27" s="20"/>
      <c r="O27" s="20"/>
      <c r="P27" s="20"/>
      <c r="Q27" s="20"/>
      <c r="R27" s="20"/>
      <c r="S27" s="20"/>
    </row>
    <row r="28" spans="1:19" ht="15.75" hidden="1" customHeight="1" x14ac:dyDescent="0.2">
      <c r="A28" s="70" t="s">
        <v>84</v>
      </c>
      <c r="B28" s="32">
        <f>'Govt Funds Inc Stmt Exh 4'!N28</f>
        <v>0</v>
      </c>
      <c r="C28" s="32">
        <f>'Govt Funds Inc Stmt Exh 4'!Q27</f>
        <v>0</v>
      </c>
      <c r="D28" s="32">
        <f>'Govt Funds Inc Stmt Exh 4'!T28</f>
        <v>0</v>
      </c>
      <c r="E28" s="32">
        <f>'Govt Funds Inc Stmt Exh 4'!W28</f>
        <v>0</v>
      </c>
      <c r="F28" s="32">
        <v>0</v>
      </c>
      <c r="G28" s="31">
        <f>SUM(B28:F28)</f>
        <v>0</v>
      </c>
      <c r="H28" s="20"/>
      <c r="I28" s="146" t="str">
        <f>IF(G28-'Govt Funds Inc Stmt Exh 4'!D28=0,"Yes",G28-'Govt Funds Inc Stmt Exh 4'!D28)</f>
        <v>Yes</v>
      </c>
      <c r="J28" s="322" t="str">
        <f t="shared" si="0"/>
        <v>Hide Row?</v>
      </c>
      <c r="K28" s="20"/>
      <c r="L28" s="20"/>
      <c r="M28" s="20"/>
      <c r="N28" s="20"/>
      <c r="O28" s="20"/>
      <c r="P28" s="20"/>
      <c r="Q28" s="20"/>
      <c r="R28" s="20"/>
      <c r="S28" s="20"/>
    </row>
    <row r="29" spans="1:19" ht="15.75" customHeight="1" x14ac:dyDescent="0.2">
      <c r="A29" s="48" t="s">
        <v>148</v>
      </c>
      <c r="B29" s="32">
        <f>'Govt Funds Inc Stmt Exh 4'!N29</f>
        <v>39000</v>
      </c>
      <c r="C29" s="32">
        <f>'Govt Funds Inc Stmt Exh 4'!Q28</f>
        <v>0</v>
      </c>
      <c r="D29" s="32">
        <f>'Govt Funds Inc Stmt Exh 4'!T29</f>
        <v>0</v>
      </c>
      <c r="E29" s="32">
        <f>'Govt Funds Inc Stmt Exh 4'!W29</f>
        <v>0</v>
      </c>
      <c r="F29" s="32">
        <v>0</v>
      </c>
      <c r="G29" s="33">
        <f>SUM(B29:F29)</f>
        <v>39000</v>
      </c>
      <c r="H29" s="20"/>
      <c r="I29" s="146" t="str">
        <f>IF(G29-'Govt Funds Inc Stmt Exh 4'!D29=0,"Yes",G29-'Govt Funds Inc Stmt Exh 4'!D29)</f>
        <v>Yes</v>
      </c>
      <c r="J29" s="322" t="str">
        <f t="shared" si="0"/>
        <v xml:space="preserve"> </v>
      </c>
      <c r="K29" s="20"/>
      <c r="L29" s="20"/>
      <c r="M29" s="20"/>
      <c r="N29" s="20"/>
      <c r="O29" s="20"/>
      <c r="P29" s="20"/>
      <c r="Q29" s="20"/>
      <c r="R29" s="20"/>
      <c r="S29" s="20"/>
    </row>
    <row r="30" spans="1:19" ht="17.25" customHeight="1" x14ac:dyDescent="0.35">
      <c r="A30" s="54" t="s">
        <v>124</v>
      </c>
      <c r="B30" s="35">
        <f>'Govt Funds Inc Stmt Exh 4'!N30</f>
        <v>253500</v>
      </c>
      <c r="C30" s="35">
        <f>'Govt Funds Inc Stmt Exh 4'!Q29</f>
        <v>0</v>
      </c>
      <c r="D30" s="35">
        <f>'Govt Funds Inc Stmt Exh 4'!T30</f>
        <v>0</v>
      </c>
      <c r="E30" s="35">
        <f>'Govt Funds Inc Stmt Exh 4'!W30</f>
        <v>0</v>
      </c>
      <c r="F30" s="35">
        <v>0</v>
      </c>
      <c r="G30" s="34">
        <f>SUM(B30:F30)</f>
        <v>253500</v>
      </c>
      <c r="H30" s="20"/>
      <c r="I30" s="146" t="str">
        <f>IF(G30-'Govt Funds Inc Stmt Exh 4'!D30=0,"Yes",G30-'Govt Funds Inc Stmt Exh 4'!D30)</f>
        <v>Yes</v>
      </c>
      <c r="J30" s="322" t="str">
        <f t="shared" si="0"/>
        <v xml:space="preserve"> </v>
      </c>
      <c r="K30" s="20"/>
      <c r="L30" s="20"/>
      <c r="M30" s="20"/>
      <c r="N30" s="20"/>
      <c r="O30" s="20"/>
      <c r="P30" s="20"/>
      <c r="Q30" s="20"/>
      <c r="R30" s="20"/>
      <c r="S30" s="20"/>
    </row>
    <row r="31" spans="1:19" ht="20.100000000000001" customHeight="1" x14ac:dyDescent="0.35">
      <c r="A31" s="70" t="s">
        <v>222</v>
      </c>
      <c r="B31" s="34">
        <f t="shared" ref="B31:G31" si="4">SUM(B26:B30)</f>
        <v>292500</v>
      </c>
      <c r="C31" s="34">
        <f t="shared" si="4"/>
        <v>0</v>
      </c>
      <c r="D31" s="34">
        <f t="shared" si="4"/>
        <v>0</v>
      </c>
      <c r="E31" s="34">
        <f t="shared" si="4"/>
        <v>0</v>
      </c>
      <c r="F31" s="34">
        <f t="shared" si="4"/>
        <v>0</v>
      </c>
      <c r="G31" s="34">
        <f t="shared" si="4"/>
        <v>292500</v>
      </c>
      <c r="H31" s="20"/>
      <c r="I31" s="146" t="str">
        <f>IF(G31-'Govt Funds Inc Stmt Exh 4'!D31=0,"Yes",G31-'Govt Funds Inc Stmt Exh 4'!D31)</f>
        <v>Yes</v>
      </c>
      <c r="J31" s="322" t="str">
        <f t="shared" si="0"/>
        <v xml:space="preserve"> </v>
      </c>
      <c r="K31" s="20"/>
      <c r="L31" s="20"/>
      <c r="M31" s="20"/>
      <c r="N31" s="20"/>
      <c r="O31" s="20"/>
      <c r="P31" s="20"/>
      <c r="Q31" s="20"/>
      <c r="R31" s="20"/>
      <c r="S31" s="20"/>
    </row>
    <row r="32" spans="1:19" ht="21.95" customHeight="1" x14ac:dyDescent="0.2">
      <c r="A32" s="234" t="s">
        <v>195</v>
      </c>
      <c r="B32" s="76">
        <f t="shared" ref="B32:G32" si="5">+B25+B31</f>
        <v>-51464</v>
      </c>
      <c r="C32" s="76">
        <f t="shared" si="5"/>
        <v>0</v>
      </c>
      <c r="D32" s="76">
        <f t="shared" si="5"/>
        <v>0</v>
      </c>
      <c r="E32" s="76">
        <f t="shared" si="5"/>
        <v>0</v>
      </c>
      <c r="F32" s="76">
        <f t="shared" si="5"/>
        <v>0</v>
      </c>
      <c r="G32" s="76">
        <f t="shared" si="5"/>
        <v>-51464</v>
      </c>
      <c r="H32" s="20"/>
      <c r="I32" s="146" t="str">
        <f>IF(G32-'Govt Funds Inc Stmt Exh 4'!D32=0,"Yes",G32-'Govt Funds Inc Stmt Exh 4'!D32)</f>
        <v>Yes</v>
      </c>
      <c r="J32" s="322" t="str">
        <f t="shared" si="0"/>
        <v xml:space="preserve"> </v>
      </c>
      <c r="K32" s="20"/>
      <c r="L32" s="20"/>
      <c r="M32" s="20"/>
      <c r="N32" s="20"/>
      <c r="O32" s="20"/>
      <c r="P32" s="20"/>
      <c r="Q32" s="20"/>
      <c r="R32" s="20"/>
      <c r="S32" s="20"/>
    </row>
    <row r="33" spans="1:19" ht="20.100000000000001" customHeight="1" x14ac:dyDescent="0.35">
      <c r="A33" s="77" t="s">
        <v>191</v>
      </c>
      <c r="B33" s="35">
        <f>'Govt Funds Inc Stmt Exh 4'!N33</f>
        <v>178238</v>
      </c>
      <c r="C33" s="35">
        <f>'Govt Funds Inc Stmt Exh 4'!Q32</f>
        <v>0</v>
      </c>
      <c r="D33" s="35">
        <f>'Govt Funds Inc Stmt Exh 4'!T33</f>
        <v>0</v>
      </c>
      <c r="E33" s="35">
        <f>'Govt Funds Inc Stmt Exh 4'!W33</f>
        <v>0</v>
      </c>
      <c r="F33" s="35">
        <v>0</v>
      </c>
      <c r="G33" s="34">
        <f>SUM(B33:F33)</f>
        <v>178238</v>
      </c>
      <c r="H33" s="20"/>
      <c r="I33" s="146" t="str">
        <f>IF(G33-'Govt Funds Inc Stmt Exh 4'!D33=0,"Yes",G33-'Govt Funds Inc Stmt Exh 4'!D33)</f>
        <v>Yes</v>
      </c>
      <c r="J33" s="322" t="str">
        <f t="shared" si="0"/>
        <v xml:space="preserve"> </v>
      </c>
      <c r="K33" s="20"/>
      <c r="L33" s="20"/>
      <c r="M33" s="20"/>
      <c r="N33" s="20"/>
      <c r="O33" s="20"/>
      <c r="P33" s="20"/>
      <c r="Q33" s="20"/>
      <c r="R33" s="20"/>
      <c r="S33" s="20"/>
    </row>
    <row r="34" spans="1:19" ht="21.95" customHeight="1" x14ac:dyDescent="0.35">
      <c r="A34" s="20" t="s">
        <v>194</v>
      </c>
      <c r="B34" s="37">
        <f t="shared" ref="B34:G34" si="6">+B32+B33</f>
        <v>126774</v>
      </c>
      <c r="C34" s="37">
        <f t="shared" si="6"/>
        <v>0</v>
      </c>
      <c r="D34" s="37">
        <f t="shared" si="6"/>
        <v>0</v>
      </c>
      <c r="E34" s="37">
        <f t="shared" si="6"/>
        <v>0</v>
      </c>
      <c r="F34" s="37">
        <f t="shared" si="6"/>
        <v>0</v>
      </c>
      <c r="G34" s="37">
        <f t="shared" si="6"/>
        <v>126774</v>
      </c>
      <c r="H34" s="20"/>
      <c r="I34" s="146" t="str">
        <f>IF(G34-'Govt Funds Inc Stmt Exh 4'!D34=0,"Yes",G34-'Govt Funds Inc Stmt Exh 4'!D34)</f>
        <v>Yes</v>
      </c>
      <c r="J34" s="322" t="str">
        <f t="shared" si="0"/>
        <v xml:space="preserve"> </v>
      </c>
      <c r="K34" s="20"/>
      <c r="L34" s="20"/>
      <c r="M34" s="20"/>
      <c r="N34" s="20"/>
      <c r="O34" s="20"/>
      <c r="P34" s="20"/>
      <c r="Q34" s="20"/>
      <c r="R34" s="20"/>
      <c r="S34" s="20"/>
    </row>
    <row r="35" spans="1:19" ht="15" x14ac:dyDescent="0.2">
      <c r="A35" s="20"/>
      <c r="B35" s="20"/>
      <c r="C35" s="20"/>
      <c r="D35" s="20"/>
      <c r="E35" s="20"/>
      <c r="F35" s="20"/>
      <c r="G35" s="20"/>
      <c r="H35" s="20"/>
      <c r="I35" s="20"/>
      <c r="J35" s="20"/>
      <c r="K35" s="20"/>
      <c r="L35" s="20"/>
      <c r="M35" s="20"/>
      <c r="N35" s="20"/>
      <c r="O35" s="20"/>
      <c r="P35" s="20"/>
      <c r="Q35" s="20"/>
      <c r="R35" s="20"/>
      <c r="S35" s="20"/>
    </row>
    <row r="36" spans="1:19" ht="15" x14ac:dyDescent="0.2">
      <c r="A36" s="20"/>
      <c r="B36" s="20"/>
      <c r="C36" s="20"/>
      <c r="D36" s="20"/>
      <c r="E36" s="20"/>
      <c r="F36" s="20"/>
      <c r="G36" s="20"/>
      <c r="H36" s="20"/>
      <c r="I36" s="20"/>
      <c r="J36" s="20"/>
      <c r="K36" s="20"/>
      <c r="L36" s="20"/>
      <c r="M36" s="20"/>
      <c r="N36" s="20"/>
      <c r="O36" s="20"/>
      <c r="P36" s="20"/>
      <c r="Q36" s="20"/>
      <c r="R36" s="20"/>
      <c r="S36" s="20"/>
    </row>
    <row r="37" spans="1:19" ht="15" x14ac:dyDescent="0.2">
      <c r="A37" s="78"/>
      <c r="B37" s="20"/>
      <c r="C37" s="20"/>
      <c r="D37" s="20"/>
      <c r="E37" s="20"/>
      <c r="F37" s="20"/>
      <c r="G37" s="20"/>
      <c r="H37" s="20"/>
      <c r="I37" s="20"/>
      <c r="J37" s="20"/>
      <c r="K37" s="20"/>
      <c r="L37" s="20"/>
      <c r="M37" s="20"/>
      <c r="N37" s="20"/>
      <c r="O37" s="20"/>
      <c r="P37" s="20"/>
      <c r="Q37" s="20"/>
      <c r="R37" s="20"/>
      <c r="S37" s="20"/>
    </row>
    <row r="38" spans="1:19" ht="15" x14ac:dyDescent="0.2">
      <c r="A38" s="20"/>
      <c r="B38" s="20"/>
      <c r="C38" s="20"/>
      <c r="D38" s="20"/>
      <c r="E38" s="20"/>
      <c r="F38" s="20"/>
      <c r="G38" s="20"/>
      <c r="H38" s="20"/>
      <c r="I38" s="20"/>
      <c r="J38" s="20"/>
      <c r="K38" s="20"/>
      <c r="L38" s="20"/>
      <c r="M38" s="20"/>
      <c r="N38" s="20"/>
      <c r="O38" s="20"/>
      <c r="P38" s="20"/>
      <c r="Q38" s="20"/>
      <c r="R38" s="20"/>
      <c r="S38" s="20"/>
    </row>
    <row r="39" spans="1:19" ht="15" x14ac:dyDescent="0.2">
      <c r="A39" s="20"/>
      <c r="B39" s="20"/>
      <c r="C39" s="20"/>
      <c r="D39" s="20"/>
      <c r="E39" s="20"/>
      <c r="F39" s="20"/>
      <c r="G39" s="20"/>
      <c r="H39" s="20"/>
      <c r="I39" s="20"/>
      <c r="J39" s="20"/>
      <c r="K39" s="20"/>
      <c r="L39" s="20"/>
      <c r="M39" s="20"/>
      <c r="N39" s="20"/>
      <c r="O39" s="20"/>
      <c r="P39" s="20"/>
      <c r="Q39" s="20"/>
      <c r="R39" s="20"/>
      <c r="S39" s="20"/>
    </row>
    <row r="40" spans="1:19" ht="15" x14ac:dyDescent="0.2">
      <c r="A40" s="20"/>
      <c r="B40" s="20"/>
      <c r="C40" s="20"/>
      <c r="D40" s="20"/>
      <c r="E40" s="20"/>
      <c r="F40" s="20"/>
      <c r="G40" s="20"/>
      <c r="H40" s="20"/>
      <c r="I40" s="20"/>
      <c r="J40" s="20"/>
      <c r="K40" s="20"/>
      <c r="L40" s="20"/>
      <c r="M40" s="20"/>
      <c r="N40" s="20"/>
      <c r="O40" s="20"/>
      <c r="P40" s="20"/>
      <c r="Q40" s="20"/>
      <c r="R40" s="20"/>
      <c r="S40" s="20"/>
    </row>
    <row r="41" spans="1:19" ht="15" x14ac:dyDescent="0.2">
      <c r="A41" s="20"/>
      <c r="B41" s="20"/>
      <c r="C41" s="20"/>
      <c r="D41" s="20"/>
      <c r="E41" s="20"/>
      <c r="F41" s="20"/>
      <c r="G41" s="20"/>
      <c r="H41" s="20"/>
      <c r="I41" s="20"/>
      <c r="J41" s="20"/>
      <c r="K41" s="20"/>
      <c r="L41" s="20"/>
      <c r="M41" s="20"/>
      <c r="N41" s="20"/>
      <c r="O41" s="20"/>
      <c r="P41" s="20"/>
      <c r="Q41" s="20"/>
      <c r="R41" s="20"/>
      <c r="S41" s="20"/>
    </row>
    <row r="42" spans="1:19" ht="15" x14ac:dyDescent="0.2">
      <c r="A42" s="20"/>
      <c r="B42" s="20"/>
      <c r="C42" s="20"/>
      <c r="D42" s="20"/>
      <c r="E42" s="20"/>
      <c r="F42" s="20"/>
      <c r="G42" s="20"/>
      <c r="H42" s="20"/>
      <c r="I42" s="20"/>
      <c r="J42" s="20"/>
      <c r="K42" s="20"/>
      <c r="L42" s="20"/>
      <c r="M42" s="20"/>
      <c r="N42" s="20"/>
      <c r="O42" s="20"/>
      <c r="P42" s="20"/>
      <c r="Q42" s="20"/>
      <c r="R42" s="20"/>
      <c r="S42" s="20"/>
    </row>
    <row r="43" spans="1:19" ht="15" x14ac:dyDescent="0.2">
      <c r="A43" s="20"/>
      <c r="B43" s="20"/>
      <c r="C43" s="20"/>
      <c r="D43" s="20"/>
      <c r="E43" s="20"/>
      <c r="F43" s="20"/>
      <c r="G43" s="20"/>
      <c r="H43" s="20"/>
      <c r="I43" s="20"/>
      <c r="J43" s="20"/>
      <c r="K43" s="20"/>
      <c r="L43" s="20"/>
      <c r="M43" s="20"/>
      <c r="N43" s="20"/>
      <c r="O43" s="20"/>
      <c r="P43" s="20"/>
      <c r="Q43" s="20"/>
      <c r="R43" s="20"/>
      <c r="S43" s="20"/>
    </row>
    <row r="44" spans="1:19" ht="15" x14ac:dyDescent="0.2">
      <c r="A44" s="20"/>
      <c r="B44" s="20"/>
      <c r="C44" s="20"/>
      <c r="D44" s="20"/>
      <c r="E44" s="20"/>
      <c r="F44" s="20"/>
      <c r="G44" s="20"/>
      <c r="H44" s="20"/>
      <c r="I44" s="20"/>
      <c r="J44" s="20"/>
      <c r="K44" s="20"/>
      <c r="L44" s="20"/>
      <c r="M44" s="20"/>
      <c r="N44" s="20"/>
      <c r="O44" s="20"/>
      <c r="P44" s="20"/>
      <c r="Q44" s="20"/>
      <c r="R44" s="20"/>
      <c r="S44" s="20"/>
    </row>
    <row r="45" spans="1:19" ht="15" x14ac:dyDescent="0.2">
      <c r="A45" s="20"/>
      <c r="B45" s="20"/>
      <c r="C45" s="20"/>
      <c r="D45" s="20"/>
      <c r="E45" s="20"/>
      <c r="F45" s="20"/>
      <c r="G45" s="20"/>
      <c r="H45" s="20"/>
      <c r="I45" s="20"/>
      <c r="J45" s="20"/>
      <c r="K45" s="20"/>
      <c r="L45" s="20"/>
      <c r="M45" s="20"/>
      <c r="N45" s="20"/>
      <c r="O45" s="20"/>
      <c r="P45" s="20"/>
      <c r="Q45" s="20"/>
      <c r="R45" s="20"/>
      <c r="S45" s="20"/>
    </row>
    <row r="46" spans="1:19" ht="15" x14ac:dyDescent="0.2">
      <c r="A46" s="20"/>
      <c r="B46" s="20"/>
      <c r="C46" s="20"/>
      <c r="D46" s="20"/>
      <c r="E46" s="20"/>
      <c r="F46" s="20"/>
      <c r="G46" s="20"/>
      <c r="H46" s="20"/>
      <c r="I46" s="20"/>
      <c r="J46" s="20"/>
      <c r="K46" s="20"/>
      <c r="L46" s="20"/>
      <c r="M46" s="20"/>
      <c r="N46" s="20"/>
      <c r="O46" s="20"/>
      <c r="P46" s="20"/>
      <c r="Q46" s="20"/>
      <c r="R46" s="20"/>
      <c r="S46" s="20"/>
    </row>
    <row r="47" spans="1:19" ht="15" x14ac:dyDescent="0.2">
      <c r="A47" s="20" t="s">
        <v>283</v>
      </c>
      <c r="B47" s="86" t="str">
        <f>IF(B34-'Erudio Cnty etc SRF Bal Sh - SI'!B30=0,"Yes",B34-'Erudio Cnty etc SRF Bal Sh - SI'!B30)</f>
        <v>Yes</v>
      </c>
      <c r="C47" s="86" t="str">
        <f>IF(C34-'Erudio Cnty etc SRF Bal Sh - SI'!C30=0,"Yes",C34-'Erudio Cnty etc SRF Bal Sh - SI'!C30)</f>
        <v>Yes</v>
      </c>
      <c r="D47" s="86" t="str">
        <f>IF(D34-'Erudio Cnty etc SRF Bal Sh - SI'!D30=0,"Yes",D34-'Erudio Cnty etc SRF Bal Sh - SI'!D30)</f>
        <v>Yes</v>
      </c>
      <c r="E47" s="86" t="str">
        <f>IF(E34-'Erudio Cnty etc SRF Bal Sh - SI'!E30=0,"Yes",E34-'Erudio Cnty etc SRF Bal Sh - SI'!E30)</f>
        <v>Yes</v>
      </c>
      <c r="F47" s="86" t="str">
        <f>IF(F34-'Erudio Cnty etc SRF Bal Sh - SI'!F30=0,"Yes",F34-'Erudio Cnty etc SRF Bal Sh - SI'!F30)</f>
        <v>Yes</v>
      </c>
      <c r="G47" s="86" t="str">
        <f>IF(G34-'Erudio Cnty etc SRF Bal Sh - SI'!G30=0,"Yes",G34-'Erudio Cnty etc SRF Bal Sh - SI'!G30)</f>
        <v>Yes</v>
      </c>
      <c r="H47" s="20"/>
      <c r="I47" s="20"/>
      <c r="J47" s="20"/>
      <c r="K47" s="20"/>
      <c r="L47" s="20"/>
      <c r="M47" s="20"/>
      <c r="N47" s="20"/>
      <c r="O47" s="20"/>
      <c r="P47" s="20"/>
      <c r="Q47" s="20"/>
      <c r="R47" s="20"/>
      <c r="S47" s="20"/>
    </row>
    <row r="48" spans="1:19" ht="15" x14ac:dyDescent="0.2">
      <c r="A48" s="20"/>
      <c r="B48" s="20"/>
      <c r="C48" s="20"/>
      <c r="D48" s="20"/>
      <c r="E48" s="20"/>
      <c r="F48" s="20"/>
      <c r="G48" s="20"/>
      <c r="H48" s="20"/>
      <c r="I48" s="20"/>
      <c r="J48" s="20"/>
      <c r="K48" s="20"/>
      <c r="L48" s="20"/>
      <c r="M48" s="20"/>
      <c r="N48" s="20"/>
      <c r="O48" s="20"/>
      <c r="P48" s="20"/>
      <c r="Q48" s="20"/>
      <c r="R48" s="20"/>
      <c r="S48" s="20"/>
    </row>
    <row r="49" spans="1:19" ht="15" x14ac:dyDescent="0.2">
      <c r="A49" s="20"/>
      <c r="B49" s="20"/>
      <c r="C49" s="20"/>
      <c r="D49" s="20"/>
      <c r="E49" s="20"/>
      <c r="F49" s="20"/>
      <c r="G49" s="20"/>
      <c r="H49" s="20"/>
      <c r="I49" s="20"/>
      <c r="J49" s="20"/>
      <c r="K49" s="20"/>
      <c r="L49" s="20"/>
      <c r="M49" s="20"/>
      <c r="N49" s="20"/>
      <c r="O49" s="20"/>
      <c r="P49" s="20"/>
      <c r="Q49" s="20"/>
      <c r="R49" s="20"/>
      <c r="S49" s="20"/>
    </row>
    <row r="50" spans="1:19" ht="15" x14ac:dyDescent="0.2">
      <c r="A50" s="20"/>
      <c r="B50" s="20"/>
      <c r="C50" s="20"/>
      <c r="D50" s="20"/>
      <c r="E50" s="20"/>
      <c r="F50" s="20"/>
      <c r="G50" s="20"/>
      <c r="H50" s="20"/>
      <c r="I50" s="20"/>
      <c r="J50" s="20"/>
      <c r="K50" s="20"/>
      <c r="L50" s="20"/>
      <c r="M50" s="20"/>
      <c r="N50" s="20"/>
      <c r="O50" s="20"/>
      <c r="P50" s="20"/>
      <c r="Q50" s="20"/>
      <c r="R50" s="20"/>
      <c r="S50" s="20"/>
    </row>
    <row r="51" spans="1:19" ht="15" x14ac:dyDescent="0.2">
      <c r="A51" s="20"/>
      <c r="B51" s="20"/>
      <c r="C51" s="20"/>
      <c r="D51" s="20"/>
      <c r="E51" s="20"/>
      <c r="F51" s="20"/>
      <c r="G51" s="20"/>
      <c r="H51" s="20"/>
      <c r="I51" s="20"/>
      <c r="J51" s="20"/>
      <c r="K51" s="20"/>
      <c r="L51" s="20"/>
      <c r="M51" s="20"/>
      <c r="N51" s="20"/>
      <c r="O51" s="20"/>
      <c r="P51" s="20"/>
      <c r="Q51" s="20"/>
      <c r="R51" s="20"/>
      <c r="S51" s="20"/>
    </row>
    <row r="52" spans="1:19" ht="15" x14ac:dyDescent="0.2">
      <c r="A52" s="20"/>
      <c r="B52" s="20"/>
      <c r="C52" s="20"/>
      <c r="D52" s="20"/>
      <c r="E52" s="20"/>
      <c r="F52" s="20"/>
      <c r="G52" s="20"/>
      <c r="H52" s="20"/>
      <c r="I52" s="20"/>
      <c r="J52" s="20"/>
      <c r="K52" s="20"/>
      <c r="L52" s="20"/>
      <c r="M52" s="20"/>
      <c r="N52" s="20"/>
      <c r="O52" s="20"/>
      <c r="P52" s="20"/>
      <c r="Q52" s="20"/>
      <c r="R52" s="20"/>
      <c r="S52" s="20"/>
    </row>
    <row r="53" spans="1:19" ht="15" x14ac:dyDescent="0.2">
      <c r="A53" s="20"/>
      <c r="B53" s="20"/>
      <c r="C53" s="20"/>
      <c r="D53" s="20"/>
      <c r="E53" s="20"/>
      <c r="F53" s="20"/>
      <c r="G53" s="20"/>
      <c r="H53" s="20"/>
      <c r="I53" s="20"/>
      <c r="J53" s="20"/>
      <c r="K53" s="20"/>
      <c r="L53" s="20"/>
      <c r="M53" s="20"/>
      <c r="N53" s="20"/>
      <c r="O53" s="20"/>
      <c r="P53" s="20"/>
      <c r="Q53" s="20"/>
      <c r="R53" s="20"/>
      <c r="S53" s="20"/>
    </row>
    <row r="54" spans="1:19" ht="15" x14ac:dyDescent="0.2">
      <c r="A54" s="20"/>
      <c r="B54" s="20"/>
      <c r="C54" s="20"/>
      <c r="D54" s="20"/>
      <c r="E54" s="20"/>
      <c r="F54" s="20"/>
      <c r="G54" s="20"/>
      <c r="H54" s="20"/>
      <c r="I54" s="20"/>
      <c r="J54" s="20"/>
      <c r="K54" s="20"/>
      <c r="L54" s="20"/>
      <c r="M54" s="20"/>
      <c r="N54" s="20"/>
      <c r="O54" s="20"/>
      <c r="P54" s="20"/>
      <c r="Q54" s="20"/>
      <c r="R54" s="20"/>
      <c r="S54" s="20"/>
    </row>
    <row r="55" spans="1:19" ht="15" x14ac:dyDescent="0.2">
      <c r="A55" s="20"/>
      <c r="B55" s="20"/>
      <c r="C55" s="20"/>
      <c r="D55" s="20"/>
      <c r="E55" s="20"/>
      <c r="F55" s="20"/>
      <c r="G55" s="20"/>
      <c r="H55" s="20"/>
      <c r="I55" s="20"/>
      <c r="J55" s="20"/>
      <c r="K55" s="20"/>
      <c r="L55" s="20"/>
      <c r="M55" s="20"/>
      <c r="N55" s="20"/>
      <c r="O55" s="20"/>
      <c r="P55" s="20"/>
      <c r="Q55" s="20"/>
      <c r="R55" s="20"/>
      <c r="S55" s="20"/>
    </row>
    <row r="56" spans="1:19" ht="15" x14ac:dyDescent="0.2">
      <c r="A56" s="20"/>
      <c r="B56" s="20"/>
      <c r="C56" s="20"/>
      <c r="D56" s="20"/>
      <c r="E56" s="20"/>
      <c r="F56" s="20"/>
      <c r="G56" s="20"/>
      <c r="H56" s="20"/>
      <c r="I56" s="20"/>
      <c r="J56" s="20"/>
      <c r="K56" s="20"/>
      <c r="L56" s="20"/>
      <c r="M56" s="20"/>
      <c r="N56" s="20"/>
      <c r="O56" s="20"/>
      <c r="P56" s="20"/>
      <c r="Q56" s="20"/>
      <c r="R56" s="20"/>
      <c r="S56" s="20"/>
    </row>
    <row r="57" spans="1:19" ht="15" x14ac:dyDescent="0.2">
      <c r="A57" s="20"/>
      <c r="B57" s="20"/>
      <c r="C57" s="20"/>
      <c r="D57" s="20"/>
      <c r="E57" s="20"/>
      <c r="F57" s="20"/>
      <c r="G57" s="20"/>
      <c r="H57" s="20"/>
      <c r="I57" s="20"/>
      <c r="J57" s="20"/>
      <c r="K57" s="20"/>
      <c r="L57" s="20"/>
      <c r="M57" s="20"/>
      <c r="N57" s="20"/>
      <c r="O57" s="20"/>
      <c r="P57" s="20"/>
      <c r="Q57" s="20"/>
      <c r="R57" s="20"/>
      <c r="S57" s="20"/>
    </row>
    <row r="58" spans="1:19" ht="15" x14ac:dyDescent="0.2">
      <c r="A58" s="20"/>
      <c r="B58" s="20"/>
      <c r="C58" s="20"/>
      <c r="D58" s="20"/>
      <c r="E58" s="20"/>
      <c r="F58" s="20"/>
      <c r="G58" s="20"/>
      <c r="H58" s="20"/>
      <c r="I58" s="20"/>
      <c r="J58" s="20"/>
      <c r="K58" s="20"/>
      <c r="L58" s="20"/>
      <c r="M58" s="20"/>
      <c r="N58" s="20"/>
      <c r="O58" s="20"/>
      <c r="P58" s="20"/>
      <c r="Q58" s="20"/>
      <c r="R58" s="20"/>
      <c r="S58" s="20"/>
    </row>
    <row r="59" spans="1:19" ht="15" x14ac:dyDescent="0.2">
      <c r="A59" s="20"/>
      <c r="B59" s="20"/>
      <c r="C59" s="20"/>
      <c r="D59" s="20"/>
      <c r="E59" s="20"/>
      <c r="F59" s="20"/>
      <c r="G59" s="20"/>
      <c r="H59" s="20"/>
      <c r="I59" s="20"/>
      <c r="J59" s="20"/>
      <c r="K59" s="20"/>
      <c r="L59" s="20"/>
      <c r="M59" s="20"/>
      <c r="N59" s="20"/>
      <c r="O59" s="20"/>
      <c r="P59" s="20"/>
      <c r="Q59" s="20"/>
      <c r="R59" s="20"/>
      <c r="S59" s="20"/>
    </row>
    <row r="60" spans="1:19" ht="15" x14ac:dyDescent="0.2">
      <c r="A60" s="20"/>
      <c r="B60" s="20"/>
      <c r="C60" s="20"/>
      <c r="D60" s="20"/>
      <c r="E60" s="20"/>
      <c r="F60" s="20"/>
      <c r="G60" s="20"/>
      <c r="H60" s="20"/>
      <c r="I60" s="20"/>
      <c r="J60" s="20"/>
      <c r="K60" s="20"/>
      <c r="L60" s="20"/>
      <c r="M60" s="20"/>
      <c r="N60" s="20"/>
      <c r="O60" s="20"/>
      <c r="P60" s="20"/>
      <c r="Q60" s="20"/>
      <c r="R60" s="20"/>
      <c r="S60" s="20"/>
    </row>
    <row r="61" spans="1:19" ht="15" x14ac:dyDescent="0.2">
      <c r="A61" s="20"/>
      <c r="B61" s="20"/>
      <c r="C61" s="20"/>
      <c r="D61" s="20"/>
      <c r="E61" s="20"/>
      <c r="F61" s="20"/>
      <c r="G61" s="20"/>
      <c r="H61" s="20"/>
      <c r="I61" s="20"/>
      <c r="J61" s="20"/>
      <c r="K61" s="20"/>
      <c r="L61" s="20"/>
      <c r="M61" s="20"/>
      <c r="N61" s="20"/>
      <c r="O61" s="20"/>
      <c r="P61" s="20"/>
      <c r="Q61" s="20"/>
      <c r="R61" s="20"/>
      <c r="S61" s="20"/>
    </row>
    <row r="62" spans="1:19" ht="15" x14ac:dyDescent="0.2">
      <c r="A62" s="20"/>
      <c r="B62" s="20"/>
      <c r="C62" s="20"/>
      <c r="D62" s="20"/>
      <c r="E62" s="20"/>
      <c r="F62" s="20"/>
      <c r="G62" s="20"/>
      <c r="H62" s="20"/>
      <c r="I62" s="20"/>
      <c r="J62" s="20"/>
      <c r="K62" s="20"/>
      <c r="L62" s="20"/>
      <c r="M62" s="20"/>
      <c r="N62" s="20"/>
      <c r="O62" s="20"/>
      <c r="P62" s="20"/>
      <c r="Q62" s="20"/>
      <c r="R62" s="20"/>
      <c r="S62" s="20"/>
    </row>
    <row r="63" spans="1:19" ht="15" x14ac:dyDescent="0.2">
      <c r="A63" s="20"/>
      <c r="B63" s="20"/>
      <c r="C63" s="20"/>
      <c r="D63" s="20"/>
      <c r="E63" s="20"/>
      <c r="F63" s="20"/>
      <c r="G63" s="20"/>
      <c r="H63" s="20"/>
      <c r="I63" s="20"/>
      <c r="J63" s="20"/>
      <c r="K63" s="20"/>
      <c r="L63" s="20"/>
      <c r="M63" s="20"/>
      <c r="N63" s="20"/>
      <c r="O63" s="20"/>
      <c r="P63" s="20"/>
      <c r="Q63" s="20"/>
      <c r="R63" s="20"/>
      <c r="S63" s="20"/>
    </row>
    <row r="64" spans="1:19" ht="15" x14ac:dyDescent="0.2">
      <c r="A64" s="20"/>
      <c r="B64" s="20"/>
      <c r="C64" s="20"/>
      <c r="D64" s="20"/>
      <c r="E64" s="20"/>
      <c r="F64" s="20"/>
      <c r="G64" s="20"/>
      <c r="H64" s="20"/>
      <c r="I64" s="20"/>
      <c r="J64" s="20"/>
      <c r="K64" s="20"/>
      <c r="L64" s="20"/>
      <c r="M64" s="20"/>
      <c r="N64" s="20"/>
      <c r="O64" s="20"/>
      <c r="P64" s="20"/>
      <c r="Q64" s="20"/>
      <c r="R64" s="20"/>
      <c r="S64" s="20"/>
    </row>
    <row r="65" spans="1:19" ht="15" x14ac:dyDescent="0.2">
      <c r="A65" s="20"/>
      <c r="B65" s="20"/>
      <c r="C65" s="20"/>
      <c r="D65" s="20"/>
      <c r="E65" s="20"/>
      <c r="F65" s="20"/>
      <c r="G65" s="20"/>
      <c r="H65" s="20"/>
      <c r="I65" s="20"/>
      <c r="J65" s="20"/>
      <c r="K65" s="20"/>
      <c r="L65" s="20"/>
      <c r="M65" s="20"/>
      <c r="N65" s="20"/>
      <c r="O65" s="20"/>
      <c r="P65" s="20"/>
      <c r="Q65" s="20"/>
      <c r="R65" s="20"/>
      <c r="S65" s="20"/>
    </row>
    <row r="66" spans="1:19" ht="15" x14ac:dyDescent="0.2">
      <c r="A66" s="20"/>
      <c r="B66" s="20"/>
      <c r="C66" s="20"/>
      <c r="D66" s="20"/>
      <c r="E66" s="20"/>
      <c r="F66" s="20"/>
      <c r="G66" s="20"/>
      <c r="H66" s="20"/>
      <c r="I66" s="20"/>
      <c r="J66" s="20"/>
      <c r="K66" s="20"/>
      <c r="L66" s="20"/>
      <c r="M66" s="20"/>
      <c r="N66" s="20"/>
      <c r="O66" s="20"/>
      <c r="P66" s="20"/>
      <c r="Q66" s="20"/>
      <c r="R66" s="20"/>
      <c r="S66" s="20"/>
    </row>
    <row r="67" spans="1:19" ht="15" x14ac:dyDescent="0.2">
      <c r="A67" s="20"/>
      <c r="B67" s="20"/>
      <c r="C67" s="20"/>
      <c r="D67" s="20"/>
      <c r="E67" s="20"/>
      <c r="F67" s="20"/>
      <c r="G67" s="20"/>
      <c r="H67" s="20"/>
      <c r="I67" s="20"/>
      <c r="J67" s="20"/>
      <c r="K67" s="20"/>
      <c r="L67" s="20"/>
      <c r="M67" s="20"/>
      <c r="N67" s="20"/>
      <c r="O67" s="20"/>
      <c r="P67" s="20"/>
      <c r="Q67" s="20"/>
      <c r="R67" s="20"/>
      <c r="S67" s="20"/>
    </row>
    <row r="68" spans="1:19" ht="15" x14ac:dyDescent="0.2">
      <c r="A68" s="20"/>
      <c r="B68" s="20"/>
      <c r="C68" s="20"/>
      <c r="D68" s="20"/>
      <c r="E68" s="20"/>
      <c r="F68" s="20"/>
      <c r="G68" s="20"/>
      <c r="H68" s="20"/>
      <c r="I68" s="20"/>
      <c r="J68" s="20"/>
      <c r="K68" s="20"/>
      <c r="L68" s="20"/>
      <c r="M68" s="20"/>
      <c r="N68" s="20"/>
      <c r="O68" s="20"/>
      <c r="P68" s="20"/>
      <c r="Q68" s="20"/>
      <c r="R68" s="20"/>
      <c r="S68" s="20"/>
    </row>
    <row r="69" spans="1:19" ht="15" x14ac:dyDescent="0.2">
      <c r="A69" s="20"/>
      <c r="B69" s="20"/>
      <c r="C69" s="20"/>
      <c r="D69" s="20"/>
      <c r="E69" s="20"/>
      <c r="F69" s="20"/>
      <c r="G69" s="20"/>
      <c r="H69" s="20"/>
      <c r="I69" s="20"/>
      <c r="J69" s="20"/>
      <c r="K69" s="20"/>
      <c r="L69" s="20"/>
      <c r="M69" s="20"/>
      <c r="N69" s="20"/>
      <c r="O69" s="20"/>
      <c r="P69" s="20"/>
      <c r="Q69" s="20"/>
      <c r="R69" s="20"/>
      <c r="S69" s="20"/>
    </row>
    <row r="70" spans="1:19" ht="15" x14ac:dyDescent="0.2">
      <c r="A70" s="20"/>
      <c r="B70" s="20"/>
      <c r="C70" s="20"/>
      <c r="D70" s="20"/>
      <c r="E70" s="20"/>
      <c r="F70" s="20"/>
      <c r="G70" s="20"/>
      <c r="H70" s="20"/>
      <c r="I70" s="20"/>
      <c r="J70" s="20"/>
      <c r="K70" s="20"/>
      <c r="L70" s="20"/>
      <c r="M70" s="20"/>
      <c r="N70" s="20"/>
      <c r="O70" s="20"/>
      <c r="P70" s="20"/>
      <c r="Q70" s="20"/>
      <c r="R70" s="20"/>
      <c r="S70" s="20"/>
    </row>
    <row r="71" spans="1:19" ht="15" x14ac:dyDescent="0.2">
      <c r="A71" s="20"/>
      <c r="B71" s="20"/>
      <c r="C71" s="20"/>
      <c r="D71" s="20"/>
      <c r="E71" s="20"/>
      <c r="F71" s="20"/>
      <c r="G71" s="20"/>
      <c r="H71" s="20"/>
      <c r="I71" s="20"/>
      <c r="J71" s="20"/>
      <c r="K71" s="20"/>
      <c r="L71" s="20"/>
      <c r="M71" s="20"/>
      <c r="N71" s="20"/>
      <c r="O71" s="20"/>
      <c r="P71" s="20"/>
      <c r="Q71" s="20"/>
      <c r="R71" s="20"/>
      <c r="S71" s="20"/>
    </row>
    <row r="72" spans="1:19" ht="15" x14ac:dyDescent="0.2">
      <c r="A72" s="20"/>
      <c r="B72" s="20"/>
      <c r="C72" s="20"/>
      <c r="D72" s="20"/>
      <c r="E72" s="20"/>
      <c r="F72" s="20"/>
      <c r="G72" s="20"/>
      <c r="H72" s="20"/>
      <c r="I72" s="20"/>
      <c r="J72" s="20"/>
      <c r="K72" s="20"/>
      <c r="L72" s="20"/>
      <c r="M72" s="20"/>
      <c r="N72" s="20"/>
      <c r="O72" s="20"/>
      <c r="P72" s="20"/>
      <c r="Q72" s="20"/>
      <c r="R72" s="20"/>
      <c r="S72" s="20"/>
    </row>
    <row r="73" spans="1:19" ht="15" x14ac:dyDescent="0.2">
      <c r="A73" s="20"/>
      <c r="B73" s="20"/>
      <c r="C73" s="20"/>
      <c r="D73" s="20"/>
      <c r="E73" s="20"/>
      <c r="F73" s="20"/>
      <c r="G73" s="20"/>
      <c r="H73" s="20"/>
      <c r="I73" s="20"/>
      <c r="J73" s="20"/>
      <c r="K73" s="20"/>
      <c r="L73" s="20"/>
      <c r="M73" s="20"/>
      <c r="N73" s="20"/>
      <c r="O73" s="20"/>
      <c r="P73" s="20"/>
      <c r="Q73" s="20"/>
      <c r="R73" s="20"/>
      <c r="S73" s="20"/>
    </row>
    <row r="74" spans="1:19" ht="15" x14ac:dyDescent="0.2">
      <c r="A74" s="20"/>
      <c r="B74" s="20"/>
      <c r="C74" s="20"/>
      <c r="D74" s="20"/>
      <c r="E74" s="20"/>
      <c r="F74" s="20"/>
      <c r="G74" s="20"/>
      <c r="H74" s="20"/>
      <c r="I74" s="20"/>
      <c r="J74" s="20"/>
      <c r="K74" s="20"/>
      <c r="L74" s="20"/>
      <c r="M74" s="20"/>
      <c r="N74" s="20"/>
      <c r="O74" s="20"/>
      <c r="P74" s="20"/>
      <c r="Q74" s="20"/>
      <c r="R74" s="20"/>
      <c r="S74" s="20"/>
    </row>
    <row r="75" spans="1:19" ht="15" x14ac:dyDescent="0.2">
      <c r="A75" s="20"/>
      <c r="B75" s="20"/>
      <c r="C75" s="20"/>
      <c r="D75" s="20"/>
      <c r="E75" s="20"/>
      <c r="F75" s="20"/>
      <c r="G75" s="20"/>
      <c r="H75" s="20"/>
      <c r="I75" s="20"/>
      <c r="J75" s="20"/>
      <c r="K75" s="20"/>
      <c r="L75" s="20"/>
      <c r="M75" s="20"/>
      <c r="N75" s="20"/>
      <c r="O75" s="20"/>
      <c r="P75" s="20"/>
      <c r="Q75" s="20"/>
      <c r="R75" s="20"/>
      <c r="S75" s="20"/>
    </row>
    <row r="76" spans="1:19" ht="15" x14ac:dyDescent="0.2">
      <c r="A76" s="20"/>
      <c r="B76" s="20"/>
      <c r="C76" s="20"/>
      <c r="D76" s="20"/>
      <c r="E76" s="20"/>
      <c r="F76" s="20"/>
      <c r="G76" s="20"/>
      <c r="H76" s="20"/>
      <c r="I76" s="20"/>
      <c r="J76" s="20"/>
      <c r="K76" s="20"/>
      <c r="L76" s="20"/>
      <c r="M76" s="20"/>
      <c r="N76" s="20"/>
      <c r="O76" s="20"/>
      <c r="P76" s="20"/>
      <c r="Q76" s="20"/>
      <c r="R76" s="20"/>
      <c r="S76" s="20"/>
    </row>
    <row r="77" spans="1:19" ht="15" x14ac:dyDescent="0.2">
      <c r="A77" s="20"/>
      <c r="B77" s="20"/>
      <c r="C77" s="20"/>
      <c r="D77" s="20"/>
      <c r="E77" s="20"/>
      <c r="F77" s="20"/>
      <c r="G77" s="20"/>
      <c r="H77" s="20"/>
      <c r="I77" s="20"/>
      <c r="J77" s="20"/>
      <c r="K77" s="20"/>
      <c r="L77" s="20"/>
      <c r="M77" s="20"/>
      <c r="N77" s="20"/>
      <c r="O77" s="20"/>
      <c r="P77" s="20"/>
      <c r="Q77" s="20"/>
      <c r="R77" s="20"/>
      <c r="S77" s="20"/>
    </row>
    <row r="78" spans="1:19" ht="15" x14ac:dyDescent="0.2">
      <c r="A78" s="20"/>
      <c r="B78" s="20"/>
      <c r="C78" s="20"/>
      <c r="D78" s="20"/>
      <c r="E78" s="20"/>
      <c r="F78" s="20"/>
      <c r="G78" s="20"/>
      <c r="H78" s="20"/>
      <c r="I78" s="20"/>
      <c r="J78" s="20"/>
      <c r="K78" s="20"/>
      <c r="L78" s="20"/>
      <c r="M78" s="20"/>
      <c r="N78" s="20"/>
      <c r="O78" s="20"/>
      <c r="P78" s="20"/>
      <c r="Q78" s="20"/>
      <c r="R78" s="20"/>
      <c r="S78" s="20"/>
    </row>
    <row r="79" spans="1:19" ht="15" x14ac:dyDescent="0.2">
      <c r="A79" s="20"/>
      <c r="B79" s="20"/>
      <c r="C79" s="20"/>
      <c r="D79" s="20"/>
      <c r="E79" s="20"/>
      <c r="F79" s="20"/>
      <c r="G79" s="20"/>
      <c r="H79" s="20"/>
      <c r="I79" s="20"/>
      <c r="J79" s="20"/>
      <c r="K79" s="20"/>
      <c r="L79" s="20"/>
      <c r="M79" s="20"/>
      <c r="N79" s="20"/>
      <c r="O79" s="20"/>
      <c r="P79" s="20"/>
      <c r="Q79" s="20"/>
      <c r="R79" s="20"/>
      <c r="S79" s="20"/>
    </row>
    <row r="80" spans="1:19" ht="15" x14ac:dyDescent="0.2">
      <c r="A80" s="20"/>
      <c r="B80" s="20"/>
      <c r="C80" s="20"/>
      <c r="D80" s="20"/>
      <c r="E80" s="20"/>
      <c r="F80" s="20"/>
      <c r="G80" s="20"/>
      <c r="H80" s="20"/>
      <c r="I80" s="20"/>
      <c r="J80" s="20"/>
      <c r="K80" s="20"/>
      <c r="L80" s="20"/>
      <c r="M80" s="20"/>
      <c r="N80" s="20"/>
      <c r="O80" s="20"/>
      <c r="P80" s="20"/>
      <c r="Q80" s="20"/>
      <c r="R80" s="20"/>
      <c r="S80" s="20"/>
    </row>
    <row r="81" spans="1:19" ht="15" x14ac:dyDescent="0.2">
      <c r="A81" s="20"/>
      <c r="B81" s="20"/>
      <c r="C81" s="20"/>
      <c r="D81" s="20"/>
      <c r="E81" s="20"/>
      <c r="F81" s="20"/>
      <c r="G81" s="20"/>
      <c r="H81" s="20"/>
      <c r="I81" s="20"/>
      <c r="J81" s="20"/>
      <c r="K81" s="20"/>
      <c r="L81" s="20"/>
      <c r="M81" s="20"/>
      <c r="N81" s="20"/>
      <c r="O81" s="20"/>
      <c r="P81" s="20"/>
      <c r="Q81" s="20"/>
      <c r="R81" s="20"/>
      <c r="S81" s="20"/>
    </row>
    <row r="82" spans="1:19" ht="15" x14ac:dyDescent="0.2">
      <c r="A82" s="20"/>
      <c r="B82" s="20"/>
      <c r="C82" s="20"/>
      <c r="D82" s="20"/>
      <c r="E82" s="20"/>
      <c r="F82" s="20"/>
      <c r="G82" s="20"/>
      <c r="H82" s="20"/>
      <c r="I82" s="20"/>
      <c r="J82" s="20"/>
      <c r="K82" s="20"/>
      <c r="L82" s="20"/>
      <c r="M82" s="20"/>
      <c r="N82" s="20"/>
      <c r="O82" s="20"/>
      <c r="P82" s="20"/>
      <c r="Q82" s="20"/>
      <c r="R82" s="20"/>
      <c r="S82" s="20"/>
    </row>
    <row r="83" spans="1:19" ht="15" x14ac:dyDescent="0.2">
      <c r="A83" s="20"/>
      <c r="B83" s="20"/>
      <c r="C83" s="20"/>
      <c r="D83" s="20"/>
      <c r="E83" s="20"/>
      <c r="F83" s="20"/>
      <c r="G83" s="20"/>
      <c r="H83" s="20"/>
      <c r="I83" s="20"/>
      <c r="J83" s="20"/>
      <c r="K83" s="20"/>
      <c r="L83" s="20"/>
      <c r="M83" s="20"/>
      <c r="N83" s="20"/>
      <c r="O83" s="20"/>
      <c r="P83" s="20"/>
      <c r="Q83" s="20"/>
      <c r="R83" s="20"/>
      <c r="S83" s="20"/>
    </row>
    <row r="84" spans="1:19" ht="15" x14ac:dyDescent="0.2">
      <c r="A84" s="20"/>
      <c r="B84" s="20"/>
      <c r="C84" s="20"/>
      <c r="D84" s="20"/>
      <c r="E84" s="20"/>
      <c r="F84" s="20"/>
      <c r="G84" s="20"/>
      <c r="H84" s="20"/>
      <c r="I84" s="20"/>
      <c r="J84" s="20"/>
      <c r="K84" s="20"/>
      <c r="L84" s="20"/>
      <c r="M84" s="20"/>
      <c r="N84" s="20"/>
      <c r="O84" s="20"/>
      <c r="P84" s="20"/>
      <c r="Q84" s="20"/>
      <c r="R84" s="20"/>
      <c r="S84" s="20"/>
    </row>
    <row r="85" spans="1:19" ht="15" x14ac:dyDescent="0.2">
      <c r="A85" s="20"/>
      <c r="B85" s="20"/>
      <c r="C85" s="20"/>
      <c r="D85" s="20"/>
      <c r="E85" s="20"/>
      <c r="F85" s="20"/>
      <c r="G85" s="20"/>
      <c r="H85" s="20"/>
      <c r="I85" s="20"/>
      <c r="J85" s="20"/>
      <c r="K85" s="20"/>
      <c r="L85" s="20"/>
      <c r="M85" s="20"/>
      <c r="N85" s="20"/>
      <c r="O85" s="20"/>
      <c r="P85" s="20"/>
      <c r="Q85" s="20"/>
      <c r="R85" s="20"/>
      <c r="S85" s="20"/>
    </row>
    <row r="86" spans="1:19" ht="15" x14ac:dyDescent="0.2">
      <c r="A86" s="20"/>
      <c r="B86" s="20"/>
      <c r="C86" s="20"/>
      <c r="D86" s="20"/>
      <c r="E86" s="20"/>
      <c r="F86" s="20"/>
      <c r="G86" s="20"/>
      <c r="H86" s="20"/>
      <c r="I86" s="20"/>
      <c r="J86" s="20"/>
      <c r="K86" s="20"/>
      <c r="L86" s="20"/>
      <c r="M86" s="20"/>
      <c r="N86" s="20"/>
      <c r="O86" s="20"/>
      <c r="P86" s="20"/>
      <c r="Q86" s="20"/>
      <c r="R86" s="20"/>
      <c r="S86" s="20"/>
    </row>
    <row r="87" spans="1:19" ht="15" x14ac:dyDescent="0.2">
      <c r="A87" s="20"/>
      <c r="B87" s="20"/>
      <c r="C87" s="20"/>
      <c r="D87" s="20"/>
      <c r="E87" s="20"/>
      <c r="F87" s="20"/>
      <c r="G87" s="20"/>
      <c r="H87" s="20"/>
      <c r="I87" s="20"/>
      <c r="J87" s="20"/>
      <c r="K87" s="20"/>
      <c r="L87" s="20"/>
      <c r="M87" s="20"/>
      <c r="N87" s="20"/>
      <c r="O87" s="20"/>
      <c r="P87" s="20"/>
      <c r="Q87" s="20"/>
      <c r="R87" s="20"/>
      <c r="S87" s="20"/>
    </row>
    <row r="88" spans="1:19" ht="15" x14ac:dyDescent="0.2">
      <c r="A88" s="20"/>
      <c r="B88" s="20"/>
      <c r="C88" s="20"/>
      <c r="D88" s="20"/>
      <c r="E88" s="20"/>
      <c r="F88" s="20"/>
      <c r="G88" s="20"/>
      <c r="H88" s="20"/>
      <c r="I88" s="20"/>
      <c r="J88" s="20"/>
      <c r="K88" s="20"/>
      <c r="L88" s="20"/>
      <c r="M88" s="20"/>
      <c r="N88" s="20"/>
      <c r="O88" s="20"/>
      <c r="P88" s="20"/>
      <c r="Q88" s="20"/>
      <c r="R88" s="20"/>
      <c r="S88" s="20"/>
    </row>
    <row r="89" spans="1:19" ht="15" x14ac:dyDescent="0.2">
      <c r="A89" s="20"/>
      <c r="B89" s="20"/>
      <c r="C89" s="20"/>
      <c r="D89" s="20"/>
      <c r="E89" s="20"/>
      <c r="F89" s="20"/>
      <c r="G89" s="20"/>
      <c r="H89" s="20"/>
      <c r="I89" s="20"/>
      <c r="J89" s="20"/>
      <c r="K89" s="20"/>
      <c r="L89" s="20"/>
      <c r="M89" s="20"/>
      <c r="N89" s="20"/>
      <c r="O89" s="20"/>
      <c r="P89" s="20"/>
      <c r="Q89" s="20"/>
      <c r="R89" s="20"/>
      <c r="S89" s="20"/>
    </row>
    <row r="90" spans="1:19" ht="15" x14ac:dyDescent="0.2">
      <c r="A90" s="20"/>
      <c r="B90" s="20"/>
      <c r="C90" s="20"/>
      <c r="D90" s="20"/>
      <c r="E90" s="20"/>
      <c r="F90" s="20"/>
      <c r="G90" s="20"/>
      <c r="H90" s="20"/>
      <c r="I90" s="20"/>
      <c r="J90" s="20"/>
      <c r="K90" s="20"/>
      <c r="L90" s="20"/>
      <c r="M90" s="20"/>
      <c r="N90" s="20"/>
      <c r="O90" s="20"/>
      <c r="P90" s="20"/>
      <c r="Q90" s="20"/>
      <c r="R90" s="20"/>
      <c r="S90" s="20"/>
    </row>
    <row r="91" spans="1:19" ht="15" x14ac:dyDescent="0.2">
      <c r="A91" s="20"/>
      <c r="B91" s="20"/>
      <c r="C91" s="20"/>
      <c r="D91" s="20"/>
      <c r="E91" s="20"/>
      <c r="F91" s="20"/>
      <c r="G91" s="20"/>
      <c r="H91" s="20"/>
      <c r="I91" s="20"/>
      <c r="J91" s="20"/>
      <c r="K91" s="20"/>
      <c r="L91" s="20"/>
      <c r="M91" s="20"/>
      <c r="N91" s="20"/>
      <c r="O91" s="20"/>
      <c r="P91" s="20"/>
      <c r="Q91" s="20"/>
      <c r="R91" s="20"/>
      <c r="S91" s="20"/>
    </row>
    <row r="92" spans="1:19" ht="15" x14ac:dyDescent="0.2">
      <c r="A92" s="20"/>
      <c r="B92" s="20"/>
      <c r="C92" s="20"/>
      <c r="D92" s="20"/>
      <c r="E92" s="20"/>
      <c r="F92" s="20"/>
      <c r="G92" s="20"/>
      <c r="H92" s="20"/>
      <c r="I92" s="20"/>
      <c r="J92" s="20"/>
      <c r="K92" s="20"/>
      <c r="L92" s="20"/>
      <c r="M92" s="20"/>
      <c r="N92" s="20"/>
      <c r="O92" s="20"/>
      <c r="P92" s="20"/>
      <c r="Q92" s="20"/>
      <c r="R92" s="20"/>
      <c r="S92" s="20"/>
    </row>
    <row r="93" spans="1:19" x14ac:dyDescent="0.2">
      <c r="A93" s="4"/>
      <c r="B93" s="4"/>
      <c r="C93" s="4"/>
      <c r="D93" s="4"/>
      <c r="E93" s="4"/>
      <c r="F93" s="4"/>
      <c r="G93" s="4"/>
      <c r="H93" s="4"/>
      <c r="I93" s="4"/>
      <c r="J93" s="4"/>
      <c r="K93" s="4"/>
      <c r="L93" s="4"/>
      <c r="M93" s="4"/>
      <c r="N93" s="4"/>
      <c r="O93" s="4"/>
      <c r="P93" s="4"/>
      <c r="Q93" s="4"/>
    </row>
    <row r="94" spans="1:19" x14ac:dyDescent="0.2">
      <c r="A94" s="4"/>
      <c r="B94" s="4"/>
      <c r="C94" s="4"/>
      <c r="D94" s="4"/>
      <c r="E94" s="4"/>
      <c r="F94" s="4"/>
      <c r="G94" s="4"/>
      <c r="H94" s="4"/>
      <c r="I94" s="4"/>
      <c r="J94" s="4"/>
      <c r="K94" s="4"/>
      <c r="L94" s="4"/>
      <c r="M94" s="4"/>
      <c r="N94" s="4"/>
      <c r="O94" s="4"/>
      <c r="P94" s="4"/>
      <c r="Q94" s="4"/>
    </row>
    <row r="95" spans="1:19" x14ac:dyDescent="0.2">
      <c r="A95" s="4"/>
      <c r="B95" s="4"/>
      <c r="C95" s="4"/>
      <c r="D95" s="4"/>
      <c r="E95" s="4"/>
      <c r="F95" s="4"/>
      <c r="G95" s="4"/>
      <c r="H95" s="4"/>
      <c r="I95" s="4"/>
      <c r="J95" s="4"/>
      <c r="K95" s="4"/>
      <c r="L95" s="4"/>
      <c r="M95" s="4"/>
      <c r="N95" s="4"/>
      <c r="O95" s="4"/>
      <c r="P95" s="4"/>
      <c r="Q95" s="4"/>
    </row>
    <row r="96" spans="1:19" x14ac:dyDescent="0.2">
      <c r="A96" s="4"/>
      <c r="B96" s="4"/>
      <c r="C96" s="4"/>
      <c r="D96" s="4"/>
      <c r="E96" s="4"/>
      <c r="F96" s="4"/>
      <c r="G96" s="4"/>
      <c r="H96" s="4"/>
      <c r="I96" s="4"/>
      <c r="J96" s="4"/>
      <c r="K96" s="4"/>
      <c r="L96" s="4"/>
      <c r="M96" s="4"/>
      <c r="N96" s="4"/>
      <c r="O96" s="4"/>
      <c r="P96" s="4"/>
      <c r="Q96" s="4"/>
    </row>
    <row r="97" spans="1:17" x14ac:dyDescent="0.2">
      <c r="A97" s="4"/>
      <c r="B97" s="4"/>
      <c r="C97" s="4"/>
      <c r="D97" s="4"/>
      <c r="E97" s="4"/>
      <c r="F97" s="4"/>
      <c r="G97" s="4"/>
      <c r="H97" s="4"/>
      <c r="I97" s="4"/>
      <c r="J97" s="4"/>
      <c r="K97" s="4"/>
      <c r="L97" s="4"/>
      <c r="M97" s="4"/>
      <c r="N97" s="4"/>
      <c r="O97" s="4"/>
      <c r="P97" s="4"/>
      <c r="Q97" s="4"/>
    </row>
    <row r="98" spans="1:17" x14ac:dyDescent="0.2">
      <c r="A98" s="4"/>
      <c r="B98" s="4"/>
      <c r="C98" s="4"/>
      <c r="D98" s="4"/>
      <c r="E98" s="4"/>
      <c r="F98" s="4"/>
      <c r="G98" s="4"/>
      <c r="H98" s="4"/>
      <c r="I98" s="4"/>
      <c r="J98" s="4"/>
      <c r="K98" s="4"/>
      <c r="L98" s="4"/>
      <c r="M98" s="4"/>
      <c r="N98" s="4"/>
      <c r="O98" s="4"/>
      <c r="P98" s="4"/>
      <c r="Q98" s="4"/>
    </row>
    <row r="99" spans="1:17" x14ac:dyDescent="0.2">
      <c r="A99" s="4"/>
      <c r="B99" s="4"/>
      <c r="C99" s="4"/>
      <c r="D99" s="4"/>
      <c r="E99" s="4"/>
      <c r="F99" s="4"/>
      <c r="G99" s="4"/>
      <c r="H99" s="4"/>
      <c r="I99" s="4"/>
      <c r="J99" s="4"/>
      <c r="K99" s="4"/>
      <c r="L99" s="4"/>
      <c r="M99" s="4"/>
      <c r="N99" s="4"/>
      <c r="O99" s="4"/>
      <c r="P99" s="4"/>
      <c r="Q99" s="4"/>
    </row>
    <row r="100" spans="1:17" x14ac:dyDescent="0.2">
      <c r="A100" s="4"/>
      <c r="B100" s="4"/>
      <c r="C100" s="4"/>
      <c r="D100" s="4"/>
      <c r="E100" s="4"/>
      <c r="F100" s="4"/>
      <c r="G100" s="4"/>
      <c r="H100" s="4"/>
      <c r="I100" s="4"/>
      <c r="J100" s="4"/>
      <c r="K100" s="4"/>
      <c r="L100" s="4"/>
      <c r="M100" s="4"/>
      <c r="N100" s="4"/>
      <c r="O100" s="4"/>
      <c r="P100" s="4"/>
      <c r="Q100" s="4"/>
    </row>
    <row r="101" spans="1:17" x14ac:dyDescent="0.2">
      <c r="A101" s="4"/>
      <c r="B101" s="4"/>
      <c r="C101" s="4"/>
      <c r="D101" s="4"/>
      <c r="E101" s="4"/>
      <c r="F101" s="4"/>
      <c r="G101" s="4"/>
      <c r="H101" s="4"/>
      <c r="I101" s="4"/>
      <c r="J101" s="4"/>
      <c r="K101" s="4"/>
      <c r="L101" s="4"/>
      <c r="M101" s="4"/>
      <c r="N101" s="4"/>
      <c r="O101" s="4"/>
      <c r="P101" s="4"/>
      <c r="Q101" s="4"/>
    </row>
  </sheetData>
  <mergeCells count="11">
    <mergeCell ref="I6:I7"/>
    <mergeCell ref="E6:E7"/>
    <mergeCell ref="F6:F7"/>
    <mergeCell ref="A1:G1"/>
    <mergeCell ref="A2:G2"/>
    <mergeCell ref="A3:G3"/>
    <mergeCell ref="A4:G4"/>
    <mergeCell ref="B6:B7"/>
    <mergeCell ref="B5:G5"/>
    <mergeCell ref="C6:C7"/>
    <mergeCell ref="D6:D7"/>
  </mergeCells>
  <conditionalFormatting sqref="B47:G47">
    <cfRule type="cellIs" dxfId="60" priority="2" stopIfTrue="1" operator="notEqual">
      <formula>"Yes"</formula>
    </cfRule>
  </conditionalFormatting>
  <conditionalFormatting sqref="I9:I14 I17:I25 I27:I34">
    <cfRule type="cellIs" dxfId="59" priority="1" stopIfTrue="1" operator="notEqual">
      <formula>"Yes"</formula>
    </cfRule>
  </conditionalFormatting>
  <pageMargins left="0.75" right="0.75" top="0.75" bottom="0.75" header="0.5" footer="0.5"/>
  <pageSetup scale="98" orientation="portrait" r:id="rId1"/>
  <headerFooter>
    <oddHeader>&amp;R&amp;12Statement 7</oddHeader>
    <oddFooter>&amp;L&amp;12Revised:  July 2020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I50"/>
  <sheetViews>
    <sheetView showGridLines="0" workbookViewId="0">
      <selection activeCell="A33" sqref="A33"/>
    </sheetView>
  </sheetViews>
  <sheetFormatPr defaultRowHeight="12.75" x14ac:dyDescent="0.2"/>
  <cols>
    <col min="1" max="1" width="43.7109375" customWidth="1"/>
    <col min="2" max="3" width="16.7109375" customWidth="1"/>
    <col min="4" max="4" width="16.7109375" hidden="1" customWidth="1"/>
    <col min="5" max="5" width="16.7109375" customWidth="1"/>
    <col min="8" max="9" width="14.7109375" customWidth="1"/>
  </cols>
  <sheetData>
    <row r="1" spans="1:9" ht="15.75" x14ac:dyDescent="0.25">
      <c r="A1" s="342" t="str">
        <f>'GW Net Position Exh 1'!A1</f>
        <v>Owl Charter, Inc.</v>
      </c>
      <c r="B1" s="342"/>
      <c r="C1" s="342"/>
      <c r="D1" s="342"/>
      <c r="E1" s="342"/>
    </row>
    <row r="2" spans="1:9" ht="15.75" x14ac:dyDescent="0.25">
      <c r="A2" s="383" t="s">
        <v>347</v>
      </c>
      <c r="B2" s="383"/>
      <c r="C2" s="383"/>
      <c r="D2" s="383"/>
      <c r="E2" s="383"/>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3'!D7</f>
        <v>Owl - Erudio</v>
      </c>
      <c r="C5" s="372"/>
      <c r="D5" s="372"/>
      <c r="E5" s="372"/>
      <c r="F5" s="66"/>
      <c r="G5" s="66"/>
    </row>
    <row r="6" spans="1:9" ht="17.25" x14ac:dyDescent="0.35">
      <c r="A6" s="20"/>
      <c r="B6" s="338" t="s">
        <v>350</v>
      </c>
      <c r="C6" s="338"/>
      <c r="D6" s="338"/>
      <c r="E6" s="338"/>
    </row>
    <row r="7" spans="1:9" ht="36" customHeight="1" x14ac:dyDescent="0.35">
      <c r="A7" s="20"/>
      <c r="B7" s="27" t="s">
        <v>351</v>
      </c>
      <c r="C7" s="26" t="s">
        <v>408</v>
      </c>
      <c r="D7" s="26" t="s">
        <v>225</v>
      </c>
      <c r="E7" s="26" t="s">
        <v>345</v>
      </c>
      <c r="H7" s="320" t="s">
        <v>401</v>
      </c>
      <c r="I7" s="325" t="s">
        <v>391</v>
      </c>
    </row>
    <row r="8" spans="1:9" ht="17.25" x14ac:dyDescent="0.35">
      <c r="A8" s="28" t="s">
        <v>227</v>
      </c>
      <c r="B8" s="20"/>
      <c r="C8" s="20"/>
      <c r="D8" s="20"/>
      <c r="E8" s="20"/>
      <c r="H8" s="27"/>
    </row>
    <row r="9" spans="1:9" ht="15" x14ac:dyDescent="0.2">
      <c r="A9" s="30" t="s">
        <v>326</v>
      </c>
      <c r="B9" s="20"/>
      <c r="C9" s="20"/>
      <c r="D9" s="20"/>
      <c r="E9" s="20"/>
      <c r="H9" s="30"/>
      <c r="I9" s="321"/>
    </row>
    <row r="10" spans="1:9" ht="15" x14ac:dyDescent="0.2">
      <c r="A10" s="36" t="s">
        <v>1</v>
      </c>
      <c r="B10" s="138">
        <f>'Enterprise Net Position Exh 6'!L12</f>
        <v>1237</v>
      </c>
      <c r="C10" s="138">
        <f>'Enterprise Net Position Exh 6'!O12</f>
        <v>1295</v>
      </c>
      <c r="D10" s="138">
        <v>0</v>
      </c>
      <c r="E10" s="29">
        <f>SUM(B10:D10)</f>
        <v>2532</v>
      </c>
      <c r="H10" s="146" t="str">
        <f>IF(E10-'Enterprise Net Position Exh 6'!C12=0,"Yes",E10-'Enterprise Net Position Exh 6'!C12)</f>
        <v>Yes</v>
      </c>
      <c r="I10" s="322" t="str">
        <f>IF(((ABS(B10)+ABS(C10)+ABS(D10)+ABS(E10))=0),"Hide Row?"," ")</f>
        <v xml:space="preserve"> </v>
      </c>
    </row>
    <row r="11" spans="1:9" ht="15" x14ac:dyDescent="0.2">
      <c r="A11" s="36" t="s">
        <v>46</v>
      </c>
      <c r="B11" s="139">
        <f>'Enterprise Net Position Exh 6'!L13</f>
        <v>4341</v>
      </c>
      <c r="C11" s="139">
        <f>'Enterprise Net Position Exh 6'!O13</f>
        <v>441</v>
      </c>
      <c r="D11" s="139">
        <v>0</v>
      </c>
      <c r="E11" s="47">
        <f>SUM(B11:D11)</f>
        <v>4782</v>
      </c>
      <c r="H11" s="146" t="str">
        <f>IF(E11-'Enterprise Net Position Exh 6'!C13=0,"Yes",E11-'Enterprise Net Position Exh 6'!C13)</f>
        <v>Yes</v>
      </c>
      <c r="I11" s="322" t="str">
        <f>IF(((ABS(B11)+ABS(C11)+ABS(D11)+ABS(E11))=0),"Hide Row?"," ")</f>
        <v xml:space="preserve"> </v>
      </c>
    </row>
    <row r="12" spans="1:9" ht="15" x14ac:dyDescent="0.2">
      <c r="A12" s="36" t="s">
        <v>88</v>
      </c>
      <c r="B12" s="139">
        <f>'Enterprise Net Position Exh 6'!L14</f>
        <v>1093</v>
      </c>
      <c r="C12" s="139">
        <f>'Enterprise Net Position Exh 6'!O14</f>
        <v>1700</v>
      </c>
      <c r="D12" s="139">
        <v>0</v>
      </c>
      <c r="E12" s="47">
        <f>SUM(B12:D12)</f>
        <v>2793</v>
      </c>
      <c r="H12" s="146" t="str">
        <f>IF(E12-'Enterprise Net Position Exh 6'!C14=0,"Yes",E12-'Enterprise Net Position Exh 6'!C14)</f>
        <v>Yes</v>
      </c>
      <c r="I12" s="322" t="str">
        <f t="shared" ref="I12:I35" si="0">IF(((ABS(B12)+ABS(C12)+ABS(D12)+ABS(E12))=0),"Hide Row?"," ")</f>
        <v xml:space="preserve"> </v>
      </c>
    </row>
    <row r="13" spans="1:9" ht="17.25" x14ac:dyDescent="0.35">
      <c r="A13" s="36" t="s">
        <v>2</v>
      </c>
      <c r="B13" s="140">
        <f>'Enterprise Net Position Exh 6'!L15</f>
        <v>553</v>
      </c>
      <c r="C13" s="140">
        <f>'Enterprise Net Position Exh 6'!O15</f>
        <v>126</v>
      </c>
      <c r="D13" s="140">
        <v>0</v>
      </c>
      <c r="E13" s="140">
        <f>SUM(B13:D13)</f>
        <v>679</v>
      </c>
      <c r="H13" s="146" t="str">
        <f>IF(E13-'Enterprise Net Position Exh 6'!C15=0,"Yes",E13-'Enterprise Net Position Exh 6'!C15)</f>
        <v>Yes</v>
      </c>
      <c r="I13" s="322" t="str">
        <f t="shared" si="0"/>
        <v xml:space="preserve"> </v>
      </c>
    </row>
    <row r="14" spans="1:9" ht="17.25" x14ac:dyDescent="0.35">
      <c r="A14" s="73" t="s">
        <v>21</v>
      </c>
      <c r="B14" s="34">
        <f>SUM(B10:B13)</f>
        <v>7224</v>
      </c>
      <c r="C14" s="34">
        <f>SUM(C10:C13)</f>
        <v>3562</v>
      </c>
      <c r="D14" s="34">
        <f>SUM(D10:D13)</f>
        <v>0</v>
      </c>
      <c r="E14" s="34">
        <f>SUM(E10:E13)</f>
        <v>10786</v>
      </c>
      <c r="H14" s="146" t="str">
        <f>IF(E14-'Enterprise Net Position Exh 6'!C16=0,"Yes",E14-'Enterprise Net Position Exh 6'!C16)</f>
        <v>Yes</v>
      </c>
      <c r="I14" s="322" t="str">
        <f t="shared" si="0"/>
        <v xml:space="preserve"> </v>
      </c>
    </row>
    <row r="15" spans="1:9" ht="20.100000000000001" customHeight="1" x14ac:dyDescent="0.2">
      <c r="A15" s="39" t="s">
        <v>327</v>
      </c>
      <c r="B15" s="71"/>
      <c r="C15" s="71"/>
      <c r="D15" s="71"/>
      <c r="E15" s="20"/>
      <c r="H15" s="20"/>
      <c r="I15" s="322"/>
    </row>
    <row r="16" spans="1:9" ht="15" x14ac:dyDescent="0.2">
      <c r="A16" s="70" t="s">
        <v>199</v>
      </c>
      <c r="B16" s="71"/>
      <c r="C16" s="71"/>
      <c r="D16" s="71"/>
      <c r="E16" s="20"/>
      <c r="H16" s="20"/>
      <c r="I16" s="322"/>
    </row>
    <row r="17" spans="1:9" ht="15" x14ac:dyDescent="0.2">
      <c r="A17" s="73" t="s">
        <v>200</v>
      </c>
      <c r="B17" s="139">
        <f>'Enterprise Net Position Exh 6'!L19</f>
        <v>7621</v>
      </c>
      <c r="C17" s="139">
        <f>'Enterprise Net Position Exh 6'!O19</f>
        <v>424</v>
      </c>
      <c r="D17" s="139">
        <v>0</v>
      </c>
      <c r="E17" s="47">
        <f>SUM(B17:D17)</f>
        <v>8045</v>
      </c>
      <c r="H17" s="146" t="str">
        <f>IF(E17-'Enterprise Net Position Exh 6'!C19=0,"Yes",E17-'Enterprise Net Position Exh 6'!C19)</f>
        <v>Yes</v>
      </c>
      <c r="I17" s="322" t="str">
        <f t="shared" si="0"/>
        <v xml:space="preserve"> </v>
      </c>
    </row>
    <row r="18" spans="1:9" ht="15" x14ac:dyDescent="0.2">
      <c r="A18" s="73" t="s">
        <v>150</v>
      </c>
      <c r="B18" s="139">
        <f>'Enterprise Net Position Exh 6'!L20</f>
        <v>1364</v>
      </c>
      <c r="C18" s="139">
        <f>'Enterprise Net Position Exh 6'!O20</f>
        <v>0</v>
      </c>
      <c r="D18" s="139">
        <f>'Enterprise Net Position Exh 6'!O20</f>
        <v>0</v>
      </c>
      <c r="E18" s="47">
        <f>SUM(B18:D18)</f>
        <v>1364</v>
      </c>
      <c r="H18" s="146" t="str">
        <f>IF(E18-'Enterprise Net Position Exh 6'!C20=0,"Yes",E18-'Enterprise Net Position Exh 6'!C20)</f>
        <v>Yes</v>
      </c>
      <c r="I18" s="322" t="str">
        <f t="shared" si="0"/>
        <v xml:space="preserve"> </v>
      </c>
    </row>
    <row r="19" spans="1:9" ht="17.25" x14ac:dyDescent="0.35">
      <c r="A19" s="73" t="s">
        <v>201</v>
      </c>
      <c r="B19" s="140">
        <f>'Enterprise Net Position Exh 6'!L21</f>
        <v>3704</v>
      </c>
      <c r="C19" s="140">
        <f>'Enterprise Net Position Exh 6'!O21</f>
        <v>106</v>
      </c>
      <c r="D19" s="140">
        <v>0</v>
      </c>
      <c r="E19" s="140">
        <f>SUM(B19:D19)</f>
        <v>3810</v>
      </c>
      <c r="H19" s="146" t="str">
        <f>IF(E19-'Enterprise Net Position Exh 6'!C21=0,"Yes",E19-'Enterprise Net Position Exh 6'!C21)</f>
        <v>Yes</v>
      </c>
      <c r="I19" s="322" t="str">
        <f t="shared" si="0"/>
        <v xml:space="preserve"> </v>
      </c>
    </row>
    <row r="20" spans="1:9" ht="17.25" x14ac:dyDescent="0.35">
      <c r="A20" s="100" t="s">
        <v>22</v>
      </c>
      <c r="B20" s="34">
        <f>SUM(B17:B19)</f>
        <v>12689</v>
      </c>
      <c r="C20" s="34">
        <f>SUM(C17:C19)</f>
        <v>530</v>
      </c>
      <c r="D20" s="34">
        <f>SUM(D17:D19)</f>
        <v>0</v>
      </c>
      <c r="E20" s="34">
        <f>SUM(E17:E19)</f>
        <v>13219</v>
      </c>
      <c r="H20" s="146" t="str">
        <f>IF(E20-'Enterprise Net Position Exh 6'!C22=0,"Yes",E20-'Enterprise Net Position Exh 6'!C22)</f>
        <v>Yes</v>
      </c>
      <c r="I20" s="322" t="str">
        <f t="shared" si="0"/>
        <v xml:space="preserve"> </v>
      </c>
    </row>
    <row r="21" spans="1:9" ht="17.25" x14ac:dyDescent="0.35">
      <c r="A21" s="69" t="s">
        <v>3</v>
      </c>
      <c r="B21" s="101">
        <f>+B20+B14</f>
        <v>19913</v>
      </c>
      <c r="C21" s="101">
        <f>+C20+C14</f>
        <v>4092</v>
      </c>
      <c r="D21" s="101">
        <f>+D20+D14</f>
        <v>0</v>
      </c>
      <c r="E21" s="101">
        <f>+E20+E14</f>
        <v>24005</v>
      </c>
      <c r="H21" s="146" t="str">
        <f>IF(E21-'Enterprise Net Position Exh 6'!C23=0,"Yes",E21-'Enterprise Net Position Exh 6'!C23)</f>
        <v>Yes</v>
      </c>
      <c r="I21" s="322" t="str">
        <f t="shared" si="0"/>
        <v xml:space="preserve"> </v>
      </c>
    </row>
    <row r="22" spans="1:9" ht="21.95" customHeight="1" x14ac:dyDescent="0.25">
      <c r="A22" s="28" t="s">
        <v>228</v>
      </c>
      <c r="B22" s="33"/>
      <c r="C22" s="33"/>
      <c r="D22" s="33"/>
      <c r="E22" s="20"/>
      <c r="H22" s="20"/>
      <c r="I22" s="322"/>
    </row>
    <row r="23" spans="1:9" ht="15" x14ac:dyDescent="0.2">
      <c r="A23" s="20" t="s">
        <v>328</v>
      </c>
      <c r="B23" s="33"/>
      <c r="C23" s="33"/>
      <c r="D23" s="33"/>
      <c r="E23" s="20"/>
      <c r="H23" s="20"/>
      <c r="I23" s="322"/>
    </row>
    <row r="24" spans="1:9" ht="15" x14ac:dyDescent="0.2">
      <c r="A24" s="36" t="s">
        <v>89</v>
      </c>
      <c r="B24" s="139">
        <f>'Enterprise Net Position Exh 6'!L26</f>
        <v>2103</v>
      </c>
      <c r="C24" s="139">
        <f>'Enterprise Net Position Exh 6'!O26</f>
        <v>454</v>
      </c>
      <c r="D24" s="139">
        <v>0</v>
      </c>
      <c r="E24" s="139">
        <f>SUM(B24:D24)</f>
        <v>2557</v>
      </c>
      <c r="H24" s="146" t="str">
        <f>IF(E24-'Enterprise Net Position Exh 6'!C26=0,"Yes",E24-'Enterprise Net Position Exh 6'!C26)</f>
        <v>Yes</v>
      </c>
      <c r="I24" s="322" t="str">
        <f t="shared" si="0"/>
        <v xml:space="preserve"> </v>
      </c>
    </row>
    <row r="25" spans="1:9" ht="15" hidden="1" x14ac:dyDescent="0.2">
      <c r="A25" s="70" t="s">
        <v>9</v>
      </c>
      <c r="B25" s="139">
        <f>'Enterprise Net Position Exh 6'!L27</f>
        <v>0</v>
      </c>
      <c r="C25" s="139">
        <f>'Enterprise Net Position Exh 6'!O27</f>
        <v>0</v>
      </c>
      <c r="D25" s="71">
        <v>0</v>
      </c>
      <c r="E25" s="139">
        <f>SUM(B25:D25)</f>
        <v>0</v>
      </c>
      <c r="H25" s="146" t="str">
        <f>IF(E25-'Enterprise Net Position Exh 6'!C27=0,"Yes",E25-'Enterprise Net Position Exh 6'!C27)</f>
        <v>Yes</v>
      </c>
      <c r="I25" s="322" t="str">
        <f t="shared" si="0"/>
        <v>Hide Row?</v>
      </c>
    </row>
    <row r="26" spans="1:9" ht="17.25" x14ac:dyDescent="0.35">
      <c r="A26" s="40" t="s">
        <v>379</v>
      </c>
      <c r="B26" s="140">
        <f>'Enterprise Net Position Exh 6'!L28</f>
        <v>151</v>
      </c>
      <c r="C26" s="140">
        <f>'Enterprise Net Position Exh 6'!O28</f>
        <v>0</v>
      </c>
      <c r="D26" s="34">
        <v>0</v>
      </c>
      <c r="E26" s="140">
        <f>SUM(B26:D26)</f>
        <v>151</v>
      </c>
      <c r="H26" s="146" t="str">
        <f>IF(E26-'Enterprise Net Position Exh 6'!C28=0,"Yes",E26-'Enterprise Net Position Exh 6'!C28)</f>
        <v>Yes</v>
      </c>
      <c r="I26" s="322" t="str">
        <f t="shared" si="0"/>
        <v xml:space="preserve"> </v>
      </c>
    </row>
    <row r="27" spans="1:9" ht="17.25" x14ac:dyDescent="0.35">
      <c r="A27" s="73" t="s">
        <v>24</v>
      </c>
      <c r="B27" s="34">
        <f>SUM(B24:B26)</f>
        <v>2254</v>
      </c>
      <c r="C27" s="34">
        <f>SUM(C24:C26)</f>
        <v>454</v>
      </c>
      <c r="D27" s="34">
        <f>SUM(D24:D26)</f>
        <v>0</v>
      </c>
      <c r="E27" s="34">
        <f>SUM(E24:E26)</f>
        <v>2708</v>
      </c>
      <c r="H27" s="146" t="str">
        <f>IF(E27-'Enterprise Net Position Exh 6'!C29=0,"Yes",E27-'Enterprise Net Position Exh 6'!C29)</f>
        <v>Yes</v>
      </c>
      <c r="I27" s="322" t="str">
        <f t="shared" si="0"/>
        <v xml:space="preserve"> </v>
      </c>
    </row>
    <row r="28" spans="1:9" ht="20.100000000000001" customHeight="1" x14ac:dyDescent="0.2">
      <c r="A28" s="30" t="s">
        <v>329</v>
      </c>
      <c r="B28" s="46"/>
      <c r="C28" s="46"/>
      <c r="D28" s="46"/>
      <c r="E28" s="20"/>
      <c r="H28" s="20"/>
      <c r="I28" s="322"/>
    </row>
    <row r="29" spans="1:9" ht="17.25" x14ac:dyDescent="0.35">
      <c r="A29" s="40" t="s">
        <v>77</v>
      </c>
      <c r="B29" s="140">
        <f>'Enterprise Net Position Exh 6'!L31</f>
        <v>490</v>
      </c>
      <c r="C29" s="140">
        <f>'Enterprise Net Position Exh 6'!O31</f>
        <v>0</v>
      </c>
      <c r="D29" s="140">
        <f>'Enterprise Net Position Exh 6'!O31</f>
        <v>0</v>
      </c>
      <c r="E29" s="140">
        <f>SUM(B29:D29)</f>
        <v>490</v>
      </c>
      <c r="H29" s="146" t="str">
        <f>IF(E29-'Enterprise Net Position Exh 6'!C31=0,"Yes",E29-'Enterprise Net Position Exh 6'!C31)</f>
        <v>Yes</v>
      </c>
      <c r="I29" s="322" t="str">
        <f t="shared" si="0"/>
        <v xml:space="preserve"> </v>
      </c>
    </row>
    <row r="30" spans="1:9" ht="17.25" x14ac:dyDescent="0.35">
      <c r="A30" s="73" t="s">
        <v>147</v>
      </c>
      <c r="B30" s="34">
        <f>+B29</f>
        <v>490</v>
      </c>
      <c r="C30" s="34">
        <f>+C29</f>
        <v>0</v>
      </c>
      <c r="D30" s="34">
        <f>+D29</f>
        <v>0</v>
      </c>
      <c r="E30" s="34">
        <f>+E29</f>
        <v>490</v>
      </c>
      <c r="H30" s="146" t="str">
        <f>IF(E30-'Enterprise Net Position Exh 6'!C32=0,"Yes",E30-'Enterprise Net Position Exh 6'!C32)</f>
        <v>Yes</v>
      </c>
      <c r="I30" s="322" t="str">
        <f t="shared" si="0"/>
        <v xml:space="preserve"> </v>
      </c>
    </row>
    <row r="31" spans="1:9" ht="17.25" x14ac:dyDescent="0.35">
      <c r="A31" s="103" t="s">
        <v>4</v>
      </c>
      <c r="B31" s="34">
        <f>+B27+B30</f>
        <v>2744</v>
      </c>
      <c r="C31" s="34">
        <f>+C30+C27</f>
        <v>454</v>
      </c>
      <c r="D31" s="34">
        <f>+D30+D27</f>
        <v>0</v>
      </c>
      <c r="E31" s="34">
        <f>+E30+E27</f>
        <v>3198</v>
      </c>
      <c r="H31" s="146" t="str">
        <f>IF(E31-'Enterprise Net Position Exh 6'!C33=0,"Yes",E31-'Enterprise Net Position Exh 6'!C33)</f>
        <v>Yes</v>
      </c>
      <c r="I31" s="322" t="str">
        <f t="shared" si="0"/>
        <v xml:space="preserve"> </v>
      </c>
    </row>
    <row r="32" spans="1:9" ht="21.95" customHeight="1" x14ac:dyDescent="0.25">
      <c r="A32" s="42" t="s">
        <v>232</v>
      </c>
      <c r="B32" s="33"/>
      <c r="C32" s="33"/>
      <c r="D32" s="33"/>
      <c r="E32" s="20"/>
      <c r="H32" s="20"/>
      <c r="I32" s="322"/>
    </row>
    <row r="33" spans="1:9" ht="15" x14ac:dyDescent="0.2">
      <c r="A33" s="48" t="s">
        <v>166</v>
      </c>
      <c r="B33" s="139">
        <f>'Enterprise Net Position Exh 6'!L35</f>
        <v>12689</v>
      </c>
      <c r="C33" s="139">
        <f>'Enterprise Net Position Exh 6'!O35</f>
        <v>530</v>
      </c>
      <c r="D33" s="139">
        <v>0</v>
      </c>
      <c r="E33" s="47">
        <f>SUM(B33:D33)</f>
        <v>13219</v>
      </c>
      <c r="H33" s="146" t="str">
        <f>IF(E33-'Enterprise Net Position Exh 6'!C35=0,"Yes",E33-'Enterprise Net Position Exh 6'!C35)</f>
        <v>Yes</v>
      </c>
      <c r="I33" s="322" t="str">
        <f t="shared" si="0"/>
        <v xml:space="preserve"> </v>
      </c>
    </row>
    <row r="34" spans="1:9" ht="17.25" x14ac:dyDescent="0.35">
      <c r="A34" s="70" t="s">
        <v>163</v>
      </c>
      <c r="B34" s="140">
        <f>'Enterprise Net Position Exh 6'!L36</f>
        <v>4480</v>
      </c>
      <c r="C34" s="140">
        <f>'Enterprise Net Position Exh 6'!O36</f>
        <v>3108</v>
      </c>
      <c r="D34" s="140">
        <v>0</v>
      </c>
      <c r="E34" s="140">
        <f>SUM(B34:D34)</f>
        <v>7588</v>
      </c>
      <c r="H34" s="146" t="str">
        <f>IF(E34-'Enterprise Net Position Exh 6'!C36=0,"Yes",E34-'Enterprise Net Position Exh 6'!C36)</f>
        <v>Yes</v>
      </c>
      <c r="I34" s="322" t="str">
        <f t="shared" si="0"/>
        <v xml:space="preserve"> </v>
      </c>
    </row>
    <row r="35" spans="1:9" ht="17.25" x14ac:dyDescent="0.35">
      <c r="A35" s="64" t="s">
        <v>167</v>
      </c>
      <c r="B35" s="37">
        <f>SUM(B33:B34)</f>
        <v>17169</v>
      </c>
      <c r="C35" s="37">
        <f>SUM(C33:C34)</f>
        <v>3638</v>
      </c>
      <c r="D35" s="37">
        <f>SUM(D33:D34)</f>
        <v>0</v>
      </c>
      <c r="E35" s="37">
        <f>SUM(E33:E34)</f>
        <v>20807</v>
      </c>
      <c r="H35" s="146" t="str">
        <f>IF(E35-'Enterprise Net Position Exh 6'!C37=0,"Yes",E35-'Enterprise Net Position Exh 6'!C37)</f>
        <v>Yes</v>
      </c>
      <c r="I35" s="322" t="str">
        <f t="shared" si="0"/>
        <v xml:space="preserve"> </v>
      </c>
    </row>
    <row r="36" spans="1:9" ht="15" x14ac:dyDescent="0.2">
      <c r="A36" s="39"/>
      <c r="B36" s="20"/>
      <c r="C36" s="20"/>
      <c r="D36" s="20"/>
      <c r="E36" s="20"/>
    </row>
    <row r="37" spans="1:9" ht="15" x14ac:dyDescent="0.2">
      <c r="A37" s="20"/>
      <c r="B37" s="20"/>
      <c r="C37" s="20"/>
      <c r="D37" s="20"/>
      <c r="E37" s="20"/>
    </row>
    <row r="38" spans="1:9" ht="15" x14ac:dyDescent="0.2">
      <c r="A38" s="20"/>
      <c r="B38" s="20"/>
      <c r="C38" s="20"/>
      <c r="D38" s="20"/>
      <c r="E38" s="20"/>
    </row>
    <row r="39" spans="1:9" ht="15" x14ac:dyDescent="0.2">
      <c r="A39" s="78"/>
      <c r="B39" s="20"/>
      <c r="C39" s="20"/>
      <c r="D39" s="20"/>
      <c r="E39" s="20"/>
    </row>
    <row r="40" spans="1:9" ht="15" x14ac:dyDescent="0.2">
      <c r="A40" s="20"/>
      <c r="B40" s="20"/>
      <c r="C40" s="20"/>
      <c r="D40" s="20"/>
      <c r="E40" s="20"/>
    </row>
    <row r="41" spans="1:9" ht="15" x14ac:dyDescent="0.2">
      <c r="A41" s="20"/>
      <c r="B41" s="20"/>
      <c r="C41" s="20"/>
      <c r="D41" s="20"/>
      <c r="E41" s="20"/>
    </row>
    <row r="42" spans="1:9" ht="15" x14ac:dyDescent="0.2">
      <c r="A42" s="20"/>
      <c r="B42" s="20"/>
      <c r="C42" s="20"/>
      <c r="D42" s="20"/>
      <c r="E42" s="20"/>
    </row>
    <row r="43" spans="1:9" ht="15" x14ac:dyDescent="0.2">
      <c r="A43" s="20"/>
      <c r="B43" s="20"/>
      <c r="C43" s="20"/>
      <c r="D43" s="20"/>
      <c r="E43" s="20"/>
    </row>
    <row r="44" spans="1:9" ht="15" x14ac:dyDescent="0.2">
      <c r="A44" s="20"/>
      <c r="B44" s="20"/>
      <c r="C44" s="20"/>
      <c r="D44" s="20"/>
      <c r="E44" s="20"/>
    </row>
    <row r="45" spans="1:9" ht="30" x14ac:dyDescent="0.2">
      <c r="A45" s="104" t="s">
        <v>186</v>
      </c>
      <c r="B45" s="316" t="str">
        <f>IF(B21-(B31+B35)=0,"Yes",B21-(B31+B35))</f>
        <v>Yes</v>
      </c>
      <c r="C45" s="316" t="str">
        <f>IF(C21-(C31+C35)=0,"Yes",C21-(C31+C35))</f>
        <v>Yes</v>
      </c>
      <c r="D45" s="316" t="str">
        <f>IF(D21-(D31+D35)=0,"Yes",D21-(D31+D35))</f>
        <v>Yes</v>
      </c>
      <c r="E45" s="316" t="str">
        <f>IF(E21-(E31+E35)=0,"Yes",E21-(E31+E35))</f>
        <v>Yes</v>
      </c>
    </row>
    <row r="46" spans="1:9" ht="30" x14ac:dyDescent="0.2">
      <c r="A46" s="240" t="s">
        <v>207</v>
      </c>
      <c r="B46" s="316" t="str">
        <f>IF(B35-'Erudio Enterprise Inc Stmt - SI'!B32=0,"Yes",B35-'Erudio Enterprise Inc Stmt - SI'!B32)</f>
        <v>Yes</v>
      </c>
      <c r="C46" s="316" t="str">
        <f>IF(C35-'Erudio Enterprise Inc Stmt - SI'!C32=0,"Yes",C35-'Erudio Enterprise Inc Stmt - SI'!C32)</f>
        <v>Yes</v>
      </c>
      <c r="D46" s="316" t="str">
        <f>IF(D35-'Erudio Enterprise Inc Stmt - SI'!D32=0,"Yes",D35-'Erudio Enterprise Inc Stmt - SI'!D32)</f>
        <v>Yes</v>
      </c>
      <c r="E46" s="316" t="str">
        <f>IF(E35-'Erudio Enterprise Inc Stmt - SI'!E32=0,"Yes",E35-'Erudio Enterprise Inc Stmt - SI'!E32)</f>
        <v>Yes</v>
      </c>
    </row>
    <row r="47" spans="1:9" ht="15" x14ac:dyDescent="0.2">
      <c r="A47" s="36" t="s">
        <v>339</v>
      </c>
      <c r="B47" s="63"/>
      <c r="C47" s="63"/>
      <c r="D47" s="63"/>
      <c r="E47" s="86" t="str">
        <f>IF(E35-'Enterprise Net Position Exh 6'!C37=0,"Yes",E35-'Enterprise Net Position Exh 6'!C37)</f>
        <v>Yes</v>
      </c>
    </row>
    <row r="48" spans="1:9" ht="30" x14ac:dyDescent="0.2">
      <c r="A48" s="70" t="s">
        <v>384</v>
      </c>
      <c r="B48" s="315" t="str">
        <f>IF(B20-B33=0,"Yes",B20-B33)</f>
        <v>Yes</v>
      </c>
      <c r="C48" s="315" t="str">
        <f>IF(C20-C33=0,"Yes",C20-C33)</f>
        <v>Yes</v>
      </c>
      <c r="D48" s="315" t="str">
        <f>IF(D20-D33=0,"Yes",D20-D33)</f>
        <v>Yes</v>
      </c>
      <c r="E48" s="315" t="str">
        <f>IF(E20-E33=0,"Yes",E20-E33)</f>
        <v>Yes</v>
      </c>
    </row>
    <row r="49" spans="1:5" ht="15" x14ac:dyDescent="0.2">
      <c r="A49" s="20"/>
      <c r="B49" s="20"/>
      <c r="C49" s="20"/>
      <c r="D49" s="20"/>
      <c r="E49" s="20"/>
    </row>
    <row r="50" spans="1:5" ht="15" x14ac:dyDescent="0.2">
      <c r="A50" s="20"/>
      <c r="B50" s="20"/>
      <c r="C50" s="20"/>
      <c r="D50" s="20"/>
      <c r="E50" s="20"/>
    </row>
  </sheetData>
  <mergeCells count="6">
    <mergeCell ref="B6:E6"/>
    <mergeCell ref="A1:E1"/>
    <mergeCell ref="A2:E2"/>
    <mergeCell ref="A3:E3"/>
    <mergeCell ref="A4:E4"/>
    <mergeCell ref="B5:E5"/>
  </mergeCells>
  <conditionalFormatting sqref="B45">
    <cfRule type="cellIs" dxfId="58" priority="6" stopIfTrue="1" operator="notEqual">
      <formula>"Yes"</formula>
    </cfRule>
  </conditionalFormatting>
  <conditionalFormatting sqref="C45:E45">
    <cfRule type="cellIs" dxfId="57" priority="5" stopIfTrue="1" operator="notEqual">
      <formula>"Yes"</formula>
    </cfRule>
  </conditionalFormatting>
  <conditionalFormatting sqref="E47 B46:E46">
    <cfRule type="cellIs" dxfId="56" priority="4" stopIfTrue="1" operator="notEqual">
      <formula>"Yes"</formula>
    </cfRule>
  </conditionalFormatting>
  <conditionalFormatting sqref="B48:E48">
    <cfRule type="cellIs" dxfId="55" priority="3" stopIfTrue="1" operator="notEqual">
      <formula>"Yes"</formula>
    </cfRule>
  </conditionalFormatting>
  <conditionalFormatting sqref="H10">
    <cfRule type="cellIs" dxfId="54" priority="2" stopIfTrue="1" operator="notEqual">
      <formula>"Yes"</formula>
    </cfRule>
  </conditionalFormatting>
  <conditionalFormatting sqref="H11:H14 H17:H21 H24:H27 H29:H31 H33:H35">
    <cfRule type="cellIs" dxfId="53" priority="1" stopIfTrue="1" operator="notEqual">
      <formula>"Yes"</formula>
    </cfRule>
  </conditionalFormatting>
  <pageMargins left="0.75" right="0.75" top="0.75" bottom="0.75" header="0.3" footer="0.3"/>
  <pageSetup scale="97" orientation="portrait" r:id="rId1"/>
  <headerFooter>
    <oddHeader>&amp;R&amp;12Statement 8</oddHeader>
    <oddFooter>&amp;L&amp;12Revised:  July 2020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43.7109375" customWidth="1"/>
    <col min="2" max="3" width="16.7109375" customWidth="1"/>
    <col min="4" max="4" width="16.7109375" hidden="1" customWidth="1"/>
    <col min="5" max="5" width="16.7109375" customWidth="1"/>
    <col min="8" max="9" width="14.7109375" customWidth="1"/>
  </cols>
  <sheetData>
    <row r="1" spans="1:9" ht="15.75" x14ac:dyDescent="0.25">
      <c r="A1" s="342" t="str">
        <f>'GW Net Position Exh 1'!A1</f>
        <v>Owl Charter, Inc.</v>
      </c>
      <c r="B1" s="342"/>
      <c r="C1" s="342"/>
      <c r="D1" s="342"/>
      <c r="E1" s="342"/>
    </row>
    <row r="2" spans="1:9" ht="15.75" x14ac:dyDescent="0.25">
      <c r="A2" s="383" t="s">
        <v>349</v>
      </c>
      <c r="B2" s="383"/>
      <c r="C2" s="383"/>
      <c r="D2" s="383"/>
      <c r="E2" s="383"/>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3'!D7</f>
        <v>Owl - Erudio</v>
      </c>
      <c r="C5" s="372"/>
      <c r="D5" s="372"/>
      <c r="E5" s="372"/>
    </row>
    <row r="6" spans="1:9" ht="17.25" customHeight="1" x14ac:dyDescent="0.35">
      <c r="A6" s="20"/>
      <c r="B6" s="338" t="s">
        <v>350</v>
      </c>
      <c r="C6" s="338"/>
      <c r="D6" s="338"/>
      <c r="E6" s="338"/>
    </row>
    <row r="7" spans="1:9" ht="36" customHeight="1" x14ac:dyDescent="0.35">
      <c r="A7" s="20"/>
      <c r="B7" s="27" t="s">
        <v>351</v>
      </c>
      <c r="C7" s="26" t="s">
        <v>408</v>
      </c>
      <c r="D7" s="26" t="s">
        <v>225</v>
      </c>
      <c r="E7" s="26" t="s">
        <v>345</v>
      </c>
      <c r="H7" s="320" t="s">
        <v>402</v>
      </c>
      <c r="I7" s="325" t="s">
        <v>391</v>
      </c>
    </row>
    <row r="8" spans="1:9" ht="17.25" x14ac:dyDescent="0.35">
      <c r="A8" s="28" t="s">
        <v>259</v>
      </c>
      <c r="H8" s="27"/>
    </row>
    <row r="9" spans="1:9" ht="15" x14ac:dyDescent="0.2">
      <c r="A9" s="40" t="s">
        <v>102</v>
      </c>
      <c r="B9" s="138">
        <f>'Enterprise Income Stmt Exh 7'!K11</f>
        <v>19587</v>
      </c>
      <c r="C9" s="138">
        <f>'Enterprise Income Stmt Exh 7'!N11</f>
        <v>0</v>
      </c>
      <c r="D9" s="138">
        <v>0</v>
      </c>
      <c r="E9" s="29">
        <f>SUM(B9:D9)</f>
        <v>19587</v>
      </c>
      <c r="H9" s="146" t="str">
        <f>IF(E9-'Enterprise Income Stmt Exh 7'!C11=0,"Yes",E9-'Enterprise Income Stmt Exh 7'!C11)</f>
        <v>Yes</v>
      </c>
      <c r="I9" s="322" t="str">
        <f>IF(((ABS(B9)+ABS(C9)+ABS(D9)+ABS(E9))=0),"Hide Row?"," ")</f>
        <v xml:space="preserve"> </v>
      </c>
    </row>
    <row r="10" spans="1:9" ht="17.25" x14ac:dyDescent="0.35">
      <c r="A10" s="36" t="s">
        <v>412</v>
      </c>
      <c r="B10" s="140">
        <f>'Enterprise Income Stmt Exh 7'!K12</f>
        <v>0</v>
      </c>
      <c r="C10" s="140">
        <f>'Enterprise Income Stmt Exh 7'!N12</f>
        <v>11252</v>
      </c>
      <c r="D10" s="98">
        <v>0</v>
      </c>
      <c r="E10" s="98">
        <f>SUM(B10:D10)</f>
        <v>11252</v>
      </c>
      <c r="H10" s="146" t="str">
        <f>IF(E10-'Enterprise Income Stmt Exh 7'!C12=0,"Yes",E10-'Enterprise Income Stmt Exh 7'!C12)</f>
        <v>Yes</v>
      </c>
      <c r="I10" s="322" t="str">
        <f t="shared" ref="I10:I32" si="0">IF(((ABS(B10)+ABS(C10)+ABS(D10)+ABS(E10))=0),"Hide Row?"," ")</f>
        <v xml:space="preserve"> </v>
      </c>
    </row>
    <row r="11" spans="1:9" ht="15" x14ac:dyDescent="0.2">
      <c r="A11" s="73" t="s">
        <v>25</v>
      </c>
      <c r="B11" s="71">
        <f>SUM(B9:B10)</f>
        <v>19587</v>
      </c>
      <c r="C11" s="71">
        <f>SUM(C9:C10)</f>
        <v>11252</v>
      </c>
      <c r="D11" s="71">
        <f>SUM(D9:D10)</f>
        <v>0</v>
      </c>
      <c r="E11" s="71">
        <f>SUM(E9:E10)</f>
        <v>30839</v>
      </c>
      <c r="H11" s="146" t="str">
        <f>IF(E11-'Enterprise Income Stmt Exh 7'!C13=0,"Yes",E11-'Enterprise Income Stmt Exh 7'!C13)</f>
        <v>Yes</v>
      </c>
      <c r="I11" s="322" t="str">
        <f t="shared" si="0"/>
        <v xml:space="preserve"> </v>
      </c>
    </row>
    <row r="12" spans="1:9" ht="21.95" customHeight="1" x14ac:dyDescent="0.25">
      <c r="A12" s="28" t="s">
        <v>260</v>
      </c>
      <c r="I12" s="322"/>
    </row>
    <row r="13" spans="1:9" ht="15" x14ac:dyDescent="0.2">
      <c r="A13" s="36" t="s">
        <v>330</v>
      </c>
      <c r="I13" s="322"/>
    </row>
    <row r="14" spans="1:9" ht="15" x14ac:dyDescent="0.2">
      <c r="A14" s="73" t="s">
        <v>103</v>
      </c>
      <c r="B14" s="139">
        <f>'Enterprise Income Stmt Exh 7'!K17</f>
        <v>17901</v>
      </c>
      <c r="C14" s="139">
        <f>'Enterprise Income Stmt Exh 7'!N17</f>
        <v>0</v>
      </c>
      <c r="D14" s="47">
        <v>0</v>
      </c>
      <c r="E14" s="47">
        <f t="shared" ref="E14:E20" si="1">SUM(B14:D14)</f>
        <v>17901</v>
      </c>
      <c r="H14" s="146" t="str">
        <f>IF(E14-'Enterprise Income Stmt Exh 7'!C17=0,"Yes",E14-'Enterprise Income Stmt Exh 7'!C17)</f>
        <v>Yes</v>
      </c>
      <c r="I14" s="322" t="str">
        <f t="shared" si="0"/>
        <v xml:space="preserve"> </v>
      </c>
    </row>
    <row r="15" spans="1:9" ht="15" hidden="1" x14ac:dyDescent="0.2">
      <c r="A15" s="73" t="s">
        <v>104</v>
      </c>
      <c r="B15" s="139">
        <f>'Enterprise Income Stmt Exh 7'!K18</f>
        <v>0</v>
      </c>
      <c r="C15" s="139">
        <f>'Enterprise Income Stmt Exh 7'!N18</f>
        <v>0</v>
      </c>
      <c r="D15" s="47">
        <v>0</v>
      </c>
      <c r="E15" s="47">
        <f t="shared" si="1"/>
        <v>0</v>
      </c>
      <c r="H15" s="146">
        <f>IF(E15-'Enterprise Income Stmt Exh 7'!C17=0,"Yes",E15-'Enterprise Income Stmt Exh 7'!C17)</f>
        <v>-17901</v>
      </c>
      <c r="I15" s="322" t="str">
        <f t="shared" si="0"/>
        <v>Hide Row?</v>
      </c>
    </row>
    <row r="16" spans="1:9" ht="15" x14ac:dyDescent="0.2">
      <c r="A16" s="36" t="s">
        <v>105</v>
      </c>
      <c r="B16" s="139">
        <f>'Enterprise Income Stmt Exh 7'!K19</f>
        <v>4625</v>
      </c>
      <c r="C16" s="139">
        <f>'Enterprise Income Stmt Exh 7'!N19</f>
        <v>7315</v>
      </c>
      <c r="D16" s="47">
        <v>0</v>
      </c>
      <c r="E16" s="47">
        <f t="shared" si="1"/>
        <v>11940</v>
      </c>
      <c r="H16" s="146" t="str">
        <f>IF(E16-'Enterprise Income Stmt Exh 7'!C19=0,"Yes",E16-'Enterprise Income Stmt Exh 7'!C19)</f>
        <v>Yes</v>
      </c>
      <c r="I16" s="322" t="str">
        <f t="shared" si="0"/>
        <v xml:space="preserve"> </v>
      </c>
    </row>
    <row r="17" spans="1:9" ht="15" x14ac:dyDescent="0.2">
      <c r="A17" s="36" t="s">
        <v>106</v>
      </c>
      <c r="B17" s="139">
        <f>'Enterprise Income Stmt Exh 7'!K20</f>
        <v>44</v>
      </c>
      <c r="C17" s="139">
        <f>'Enterprise Income Stmt Exh 7'!N20</f>
        <v>88</v>
      </c>
      <c r="D17" s="47">
        <v>0</v>
      </c>
      <c r="E17" s="47">
        <f t="shared" si="1"/>
        <v>132</v>
      </c>
      <c r="H17" s="146" t="str">
        <f>IF(E17-'Enterprise Income Stmt Exh 7'!C20=0,"Yes",E17-'Enterprise Income Stmt Exh 7'!C20)</f>
        <v>Yes</v>
      </c>
      <c r="I17" s="322" t="str">
        <f t="shared" si="0"/>
        <v xml:space="preserve"> </v>
      </c>
    </row>
    <row r="18" spans="1:9" ht="15" x14ac:dyDescent="0.2">
      <c r="A18" s="36" t="s">
        <v>107</v>
      </c>
      <c r="B18" s="139">
        <f>'Enterprise Income Stmt Exh 7'!K21</f>
        <v>60</v>
      </c>
      <c r="C18" s="139">
        <f>'Enterprise Income Stmt Exh 7'!N21</f>
        <v>315</v>
      </c>
      <c r="D18" s="47">
        <v>0</v>
      </c>
      <c r="E18" s="47">
        <f t="shared" si="1"/>
        <v>375</v>
      </c>
      <c r="H18" s="146" t="str">
        <f>IF(E18-'Enterprise Income Stmt Exh 7'!C21=0,"Yes",E18-'Enterprise Income Stmt Exh 7'!C21)</f>
        <v>Yes</v>
      </c>
      <c r="I18" s="322" t="str">
        <f t="shared" si="0"/>
        <v xml:space="preserve"> </v>
      </c>
    </row>
    <row r="19" spans="1:9" ht="15" x14ac:dyDescent="0.2">
      <c r="A19" s="36" t="s">
        <v>26</v>
      </c>
      <c r="B19" s="139">
        <f>'Enterprise Income Stmt Exh 7'!K22</f>
        <v>372</v>
      </c>
      <c r="C19" s="139">
        <f>'Enterprise Income Stmt Exh 7'!N22</f>
        <v>410</v>
      </c>
      <c r="D19" s="47">
        <v>0</v>
      </c>
      <c r="E19" s="47">
        <f t="shared" si="1"/>
        <v>782</v>
      </c>
      <c r="H19" s="146" t="str">
        <f>IF(E19-'Enterprise Income Stmt Exh 7'!C22=0,"Yes",E19-'Enterprise Income Stmt Exh 7'!C22)</f>
        <v>Yes</v>
      </c>
      <c r="I19" s="322" t="str">
        <f t="shared" si="0"/>
        <v xml:space="preserve"> </v>
      </c>
    </row>
    <row r="20" spans="1:9" ht="15" x14ac:dyDescent="0.2">
      <c r="A20" s="36" t="s">
        <v>50</v>
      </c>
      <c r="B20" s="139">
        <f>'Enterprise Income Stmt Exh 7'!K23</f>
        <v>5448</v>
      </c>
      <c r="C20" s="139">
        <f>'Enterprise Income Stmt Exh 7'!N23</f>
        <v>667</v>
      </c>
      <c r="D20" s="47">
        <v>0</v>
      </c>
      <c r="E20" s="47">
        <f t="shared" si="1"/>
        <v>6115</v>
      </c>
      <c r="H20" s="146" t="str">
        <f>IF(E20-'Enterprise Income Stmt Exh 7'!C23=0,"Yes",E20-'Enterprise Income Stmt Exh 7'!C23)</f>
        <v>Yes</v>
      </c>
      <c r="I20" s="322" t="str">
        <f t="shared" si="0"/>
        <v xml:space="preserve"> </v>
      </c>
    </row>
    <row r="21" spans="1:9" ht="17.25" x14ac:dyDescent="0.35">
      <c r="A21" s="36" t="s">
        <v>91</v>
      </c>
      <c r="B21" s="140">
        <f>'Enterprise Income Stmt Exh 7'!K24</f>
        <v>32</v>
      </c>
      <c r="C21" s="140">
        <f>'Enterprise Income Stmt Exh 7'!N24</f>
        <v>0</v>
      </c>
      <c r="D21" s="98">
        <v>0</v>
      </c>
      <c r="E21" s="98">
        <f>SUM(B21:D21)</f>
        <v>32</v>
      </c>
      <c r="H21" s="146" t="str">
        <f>IF(E21-'Enterprise Income Stmt Exh 7'!C24=0,"Yes",E21-'Enterprise Income Stmt Exh 7'!C24)</f>
        <v>Yes</v>
      </c>
      <c r="I21" s="322" t="str">
        <f t="shared" si="0"/>
        <v xml:space="preserve"> </v>
      </c>
    </row>
    <row r="22" spans="1:9" ht="17.25" x14ac:dyDescent="0.35">
      <c r="A22" s="73" t="s">
        <v>61</v>
      </c>
      <c r="B22" s="34">
        <f>SUM(B14:B21)</f>
        <v>28482</v>
      </c>
      <c r="C22" s="34">
        <f>SUM(C14:C21)</f>
        <v>8795</v>
      </c>
      <c r="D22" s="34">
        <f>SUM(D14:D21)</f>
        <v>0</v>
      </c>
      <c r="E22" s="34">
        <f>SUM(E14:E21)</f>
        <v>37277</v>
      </c>
      <c r="H22" s="146" t="str">
        <f>IF(E22-'Enterprise Income Stmt Exh 7'!C25=0,"Yes",E22-'Enterprise Income Stmt Exh 7'!C25)</f>
        <v>Yes</v>
      </c>
      <c r="I22" s="322" t="str">
        <f t="shared" si="0"/>
        <v xml:space="preserve"> </v>
      </c>
    </row>
    <row r="23" spans="1:9" ht="20.100000000000001" customHeight="1" x14ac:dyDescent="0.35">
      <c r="A23" s="103" t="s">
        <v>27</v>
      </c>
      <c r="B23" s="34">
        <f>+B11-B22</f>
        <v>-8895</v>
      </c>
      <c r="C23" s="34">
        <f>+C11-C22</f>
        <v>2457</v>
      </c>
      <c r="D23" s="34">
        <f>+D11-D22</f>
        <v>0</v>
      </c>
      <c r="E23" s="34">
        <f>+E11-E22</f>
        <v>-6438</v>
      </c>
      <c r="H23" s="146" t="str">
        <f>IF(E23-'Enterprise Income Stmt Exh 7'!C26=0,"Yes",E23-'Enterprise Income Stmt Exh 7'!C26)</f>
        <v>Yes</v>
      </c>
      <c r="I23" s="322" t="str">
        <f t="shared" si="0"/>
        <v xml:space="preserve"> </v>
      </c>
    </row>
    <row r="24" spans="1:9" ht="21.95" customHeight="1" x14ac:dyDescent="0.25">
      <c r="A24" s="28" t="s">
        <v>261</v>
      </c>
    </row>
    <row r="25" spans="1:9" ht="17.25" x14ac:dyDescent="0.35">
      <c r="A25" s="70" t="s">
        <v>108</v>
      </c>
      <c r="B25" s="140">
        <f>'Enterprise Income Stmt Exh 7'!K29</f>
        <v>18077</v>
      </c>
      <c r="C25" s="140">
        <f>'Enterprise Income Stmt Exh 7'!N29</f>
        <v>0</v>
      </c>
      <c r="D25" s="98">
        <v>0</v>
      </c>
      <c r="E25" s="98">
        <f>SUM(B25:D25)</f>
        <v>18077</v>
      </c>
      <c r="H25" s="146" t="str">
        <f>IF(E25-'Enterprise Income Stmt Exh 7'!C29=0,"Yes",E25-'Enterprise Income Stmt Exh 7'!C29)</f>
        <v>Yes</v>
      </c>
      <c r="I25" s="322" t="str">
        <f t="shared" si="0"/>
        <v xml:space="preserve"> </v>
      </c>
    </row>
    <row r="26" spans="1:9" ht="20.100000000000001" customHeight="1" x14ac:dyDescent="0.35">
      <c r="A26" s="69" t="s">
        <v>28</v>
      </c>
      <c r="B26" s="34">
        <f>SUM(B25:B25)</f>
        <v>18077</v>
      </c>
      <c r="C26" s="34">
        <f>SUM(C25:C25)</f>
        <v>0</v>
      </c>
      <c r="D26" s="34">
        <f>SUM(D25:D25)</f>
        <v>0</v>
      </c>
      <c r="E26" s="34">
        <f>SUM(E25:E25)</f>
        <v>18077</v>
      </c>
      <c r="H26" s="146" t="str">
        <f>IF(E26-'Enterprise Income Stmt Exh 7'!C29=0,"Yes",E26-'Enterprise Income Stmt Exh 7'!C29)</f>
        <v>Yes</v>
      </c>
      <c r="I26" s="322" t="str">
        <f t="shared" si="0"/>
        <v xml:space="preserve"> </v>
      </c>
    </row>
    <row r="27" spans="1:9" ht="30" x14ac:dyDescent="0.2">
      <c r="A27" s="175" t="s">
        <v>29</v>
      </c>
      <c r="B27" s="76">
        <f>+B23+B26</f>
        <v>9182</v>
      </c>
      <c r="C27" s="76">
        <f>+C23+C26</f>
        <v>2457</v>
      </c>
      <c r="D27" s="76">
        <f>+D23+D26</f>
        <v>0</v>
      </c>
      <c r="E27" s="76">
        <f>+E23+E26</f>
        <v>11639</v>
      </c>
      <c r="H27" s="147" t="str">
        <f>IF(E27-'Enterprise Income Stmt Exh 7'!C31=0,"Yes",E27-'Enterprise Income Stmt Exh 7'!C31)</f>
        <v>Yes</v>
      </c>
      <c r="I27" s="322" t="str">
        <f t="shared" si="0"/>
        <v xml:space="preserve"> </v>
      </c>
    </row>
    <row r="28" spans="1:9" ht="17.25" x14ac:dyDescent="0.35">
      <c r="A28" s="54" t="s">
        <v>135</v>
      </c>
      <c r="B28" s="140">
        <f>'Enterprise Income Stmt Exh 7'!K32</f>
        <v>0</v>
      </c>
      <c r="C28" s="140">
        <f>'Enterprise Income Stmt Exh 7'!N32</f>
        <v>570</v>
      </c>
      <c r="D28" s="98">
        <v>0</v>
      </c>
      <c r="E28" s="98">
        <f>SUM(B28:D28)</f>
        <v>570</v>
      </c>
      <c r="H28" s="147" t="str">
        <f>IF(E28-'Enterprise Income Stmt Exh 7'!C32=0,"Yes",E28-'Enterprise Income Stmt Exh 7'!C32)</f>
        <v>Yes</v>
      </c>
      <c r="I28" s="322" t="str">
        <f t="shared" si="0"/>
        <v xml:space="preserve"> </v>
      </c>
    </row>
    <row r="29" spans="1:9" ht="17.25" hidden="1" x14ac:dyDescent="0.35">
      <c r="A29" s="279" t="s">
        <v>83</v>
      </c>
      <c r="B29" s="140">
        <f>'Enterprise Income Stmt Exh 7'!K33</f>
        <v>0</v>
      </c>
      <c r="C29" s="140">
        <f>'Enterprise Income Stmt Exh 7'!N33</f>
        <v>0</v>
      </c>
      <c r="D29" s="98">
        <v>0</v>
      </c>
      <c r="E29" s="98">
        <f>SUM(B29:D29)</f>
        <v>0</v>
      </c>
      <c r="H29" s="147" t="str">
        <f>IF(E29-'Enterprise Income Stmt Exh 7'!C33=0,"Yes",E29-'Enterprise Income Stmt Exh 7'!C33)</f>
        <v>Yes</v>
      </c>
      <c r="I29" s="322" t="str">
        <f t="shared" si="0"/>
        <v>Hide Row?</v>
      </c>
    </row>
    <row r="30" spans="1:9" ht="21.95" customHeight="1" x14ac:dyDescent="0.2">
      <c r="A30" s="109" t="s">
        <v>170</v>
      </c>
      <c r="B30" s="110">
        <f>SUM(B27:B29)</f>
        <v>9182</v>
      </c>
      <c r="C30" s="110">
        <f>SUM(C27:C29)</f>
        <v>3027</v>
      </c>
      <c r="D30" s="110">
        <f>SUM(D27:D29)</f>
        <v>0</v>
      </c>
      <c r="E30" s="110">
        <f>SUM(E27:E29)</f>
        <v>12209</v>
      </c>
      <c r="H30" s="147" t="str">
        <f>IF(E30-'Enterprise Income Stmt Exh 7'!C34=0,"Yes",E30-'Enterprise Income Stmt Exh 7'!C34)</f>
        <v>Yes</v>
      </c>
      <c r="I30" s="322" t="str">
        <f t="shared" si="0"/>
        <v xml:space="preserve"> </v>
      </c>
    </row>
    <row r="31" spans="1:9" ht="20.100000000000001" customHeight="1" x14ac:dyDescent="0.35">
      <c r="A31" s="56" t="s">
        <v>209</v>
      </c>
      <c r="B31" s="140">
        <f>'Enterprise Income Stmt Exh 7'!K35</f>
        <v>7987</v>
      </c>
      <c r="C31" s="140">
        <f>'Enterprise Income Stmt Exh 7'!N35</f>
        <v>611</v>
      </c>
      <c r="D31" s="98">
        <v>0</v>
      </c>
      <c r="E31" s="98">
        <f>SUM(B31:D31)</f>
        <v>8598</v>
      </c>
      <c r="H31" s="147" t="str">
        <f>IF(E31-'Enterprise Income Stmt Exh 7'!C35=0,"Yes",E31-'Enterprise Income Stmt Exh 7'!C35)</f>
        <v>Yes</v>
      </c>
      <c r="I31" s="322" t="str">
        <f t="shared" si="0"/>
        <v xml:space="preserve"> </v>
      </c>
    </row>
    <row r="32" spans="1:9" ht="17.25" x14ac:dyDescent="0.35">
      <c r="A32" s="30" t="s">
        <v>210</v>
      </c>
      <c r="B32" s="37">
        <f>+B30+B31</f>
        <v>17169</v>
      </c>
      <c r="C32" s="37">
        <f>+C30+C31</f>
        <v>3638</v>
      </c>
      <c r="D32" s="37">
        <f>+D30+D31</f>
        <v>0</v>
      </c>
      <c r="E32" s="37">
        <f>+E30+E31</f>
        <v>20807</v>
      </c>
      <c r="H32" s="147" t="str">
        <f>IF(E32-'Enterprise Income Stmt Exh 7'!C36=0,"Yes",E32-'Enterprise Income Stmt Exh 7'!C36)</f>
        <v>Yes</v>
      </c>
      <c r="I32" s="322" t="str">
        <f t="shared" si="0"/>
        <v xml:space="preserve"> </v>
      </c>
    </row>
    <row r="33" spans="1:5" ht="15" x14ac:dyDescent="0.2">
      <c r="A33" s="20"/>
      <c r="B33" s="20"/>
      <c r="C33" s="20"/>
      <c r="D33" s="20"/>
      <c r="E33" s="20"/>
    </row>
    <row r="34" spans="1:5" ht="15" x14ac:dyDescent="0.2">
      <c r="A34" s="20"/>
      <c r="B34" s="20"/>
      <c r="C34" s="20"/>
      <c r="D34" s="20"/>
      <c r="E34" s="20"/>
    </row>
    <row r="35" spans="1:5" ht="15" x14ac:dyDescent="0.2">
      <c r="A35" s="78"/>
      <c r="B35" s="20"/>
      <c r="C35" s="20"/>
      <c r="D35" s="20"/>
      <c r="E35" s="20"/>
    </row>
    <row r="36" spans="1:5" ht="15" x14ac:dyDescent="0.2">
      <c r="A36" s="20"/>
      <c r="B36" s="20"/>
      <c r="C36" s="20"/>
      <c r="D36" s="20"/>
      <c r="E36" s="20"/>
    </row>
    <row r="37" spans="1:5" ht="15" x14ac:dyDescent="0.2">
      <c r="A37" s="20"/>
      <c r="B37" s="20"/>
      <c r="C37" s="20"/>
      <c r="D37" s="20"/>
      <c r="E37" s="20"/>
    </row>
    <row r="38" spans="1:5" ht="15" x14ac:dyDescent="0.2">
      <c r="A38" s="20"/>
      <c r="B38" s="20"/>
      <c r="C38" s="20"/>
      <c r="D38" s="20"/>
      <c r="E38" s="20"/>
    </row>
    <row r="39" spans="1:5" ht="15" x14ac:dyDescent="0.2">
      <c r="A39" s="20"/>
      <c r="B39" s="20"/>
      <c r="C39" s="20"/>
      <c r="D39" s="20"/>
      <c r="E39" s="20"/>
    </row>
    <row r="40" spans="1:5" ht="15" x14ac:dyDescent="0.2">
      <c r="A40" s="20"/>
      <c r="B40" s="20"/>
      <c r="C40" s="20"/>
      <c r="D40" s="20"/>
      <c r="E40" s="20"/>
    </row>
    <row r="41" spans="1:5" ht="15" x14ac:dyDescent="0.2">
      <c r="A41" s="20"/>
      <c r="B41" s="20"/>
      <c r="C41" s="20"/>
      <c r="D41" s="20"/>
      <c r="E41" s="20"/>
    </row>
    <row r="42" spans="1:5" ht="15" x14ac:dyDescent="0.2">
      <c r="A42" s="20"/>
      <c r="B42" s="20"/>
      <c r="C42" s="20"/>
      <c r="D42" s="20"/>
      <c r="E42" s="20"/>
    </row>
    <row r="43" spans="1:5" ht="45" x14ac:dyDescent="0.2">
      <c r="A43" s="240" t="s">
        <v>208</v>
      </c>
      <c r="B43" s="68" t="str">
        <f>IF(B32-'Erudio Enterprise Net Pos - SI'!B35=0,"Yes",B32-'Erudio Enterprise Net Pos - SI'!B35)</f>
        <v>Yes</v>
      </c>
      <c r="C43" s="68" t="str">
        <f>IF(C32-'Erudio Enterprise Net Pos - SI'!C35=0,"Yes",C32-'Erudio Enterprise Net Pos - SI'!C35)</f>
        <v>Yes</v>
      </c>
      <c r="D43" s="68" t="str">
        <f>IF(D32-'Erudio Enterprise Net Pos - SI'!D35=0,"Yes",D32-'Erudio Enterprise Net Pos - SI'!D35)</f>
        <v>Yes</v>
      </c>
      <c r="E43" s="68" t="str">
        <f>IF(E32-'Erudio Enterprise Net Pos - SI'!E35=0,"Yes",E32-'Erudio Enterprise Net Pos - SI'!E35)</f>
        <v>Yes</v>
      </c>
    </row>
    <row r="44" spans="1:5" ht="30" x14ac:dyDescent="0.2">
      <c r="A44" s="240" t="s">
        <v>340</v>
      </c>
      <c r="E44" s="68" t="str">
        <f>IF(E30-'Enterprise Income Stmt Exh 7'!C34=0,"Yes",E30-'Enterprise Income Stmt Exh 7'!C34)</f>
        <v>Yes</v>
      </c>
    </row>
    <row r="45" spans="1:5" ht="15" x14ac:dyDescent="0.2">
      <c r="A45" s="20"/>
    </row>
  </sheetData>
  <mergeCells count="6">
    <mergeCell ref="B6:E6"/>
    <mergeCell ref="A1:E1"/>
    <mergeCell ref="A2:E2"/>
    <mergeCell ref="A3:E3"/>
    <mergeCell ref="A4:E4"/>
    <mergeCell ref="B5:E5"/>
  </mergeCells>
  <conditionalFormatting sqref="B43:E43">
    <cfRule type="cellIs" dxfId="52" priority="5" stopIfTrue="1" operator="notEqual">
      <formula>"Yes"</formula>
    </cfRule>
  </conditionalFormatting>
  <conditionalFormatting sqref="E44">
    <cfRule type="cellIs" dxfId="51" priority="4" stopIfTrue="1" operator="notEqual">
      <formula>"Yes"</formula>
    </cfRule>
  </conditionalFormatting>
  <conditionalFormatting sqref="H10:H11 H14:H23 H25:H32">
    <cfRule type="cellIs" dxfId="50" priority="1" stopIfTrue="1" operator="notEqual">
      <formula>"Yes"</formula>
    </cfRule>
  </conditionalFormatting>
  <conditionalFormatting sqref="H9">
    <cfRule type="cellIs" dxfId="49" priority="2" stopIfTrue="1" operator="notEqual">
      <formula>"Yes"</formula>
    </cfRule>
  </conditionalFormatting>
  <pageMargins left="0.75" right="0.75" top="0.75" bottom="0.75" header="0.3" footer="0.3"/>
  <pageSetup scale="97" orientation="portrait" r:id="rId1"/>
  <headerFooter>
    <oddHeader>&amp;R&amp;12Statement 9</oddHeader>
    <oddFooter>&amp;L&amp;12Revised:  July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Q100"/>
  <sheetViews>
    <sheetView showGridLines="0" zoomScaleNormal="100" zoomScaleSheetLayoutView="70" workbookViewId="0">
      <selection activeCell="A5" sqref="A5"/>
    </sheetView>
  </sheetViews>
  <sheetFormatPr defaultColWidth="8.85546875" defaultRowHeight="12.75" x14ac:dyDescent="0.2"/>
  <cols>
    <col min="1" max="1" width="43.7109375" style="7" customWidth="1"/>
    <col min="2" max="4" width="16.7109375" style="7" customWidth="1"/>
    <col min="5" max="5" width="9.42578125" style="7" bestFit="1" customWidth="1"/>
    <col min="6" max="6" width="12.7109375" style="7" customWidth="1"/>
    <col min="7" max="16384" width="8.85546875" style="7"/>
  </cols>
  <sheetData>
    <row r="1" spans="1:17" ht="15.75" customHeight="1" x14ac:dyDescent="0.25">
      <c r="A1" s="341" t="s">
        <v>223</v>
      </c>
      <c r="B1" s="341"/>
      <c r="C1" s="341"/>
      <c r="D1" s="341"/>
      <c r="E1" s="341"/>
      <c r="F1" s="30"/>
      <c r="G1" s="30"/>
      <c r="H1" s="30"/>
      <c r="I1" s="354" t="s">
        <v>392</v>
      </c>
      <c r="J1" s="355"/>
      <c r="K1" s="355"/>
      <c r="L1" s="355"/>
      <c r="M1" s="355"/>
      <c r="N1" s="355"/>
      <c r="O1" s="356"/>
      <c r="P1" s="10"/>
      <c r="Q1" s="10"/>
    </row>
    <row r="2" spans="1:17" ht="15.75" x14ac:dyDescent="0.25">
      <c r="A2" s="341" t="s">
        <v>165</v>
      </c>
      <c r="B2" s="341"/>
      <c r="C2" s="341"/>
      <c r="D2" s="341"/>
      <c r="E2" s="341"/>
      <c r="F2" s="30"/>
      <c r="G2" s="30"/>
      <c r="H2" s="30"/>
      <c r="I2" s="357"/>
      <c r="J2" s="358"/>
      <c r="K2" s="358"/>
      <c r="L2" s="358"/>
      <c r="M2" s="358"/>
      <c r="N2" s="358"/>
      <c r="O2" s="359"/>
      <c r="P2" s="10"/>
      <c r="Q2" s="10"/>
    </row>
    <row r="3" spans="1:17" ht="16.5" thickBot="1" x14ac:dyDescent="0.3">
      <c r="A3" s="353" t="s">
        <v>404</v>
      </c>
      <c r="B3" s="341"/>
      <c r="C3" s="341"/>
      <c r="D3" s="341"/>
      <c r="E3" s="341"/>
      <c r="F3" s="30"/>
      <c r="G3" s="30"/>
      <c r="H3" s="30"/>
      <c r="I3" s="360"/>
      <c r="J3" s="361"/>
      <c r="K3" s="361"/>
      <c r="L3" s="361"/>
      <c r="M3" s="361"/>
      <c r="N3" s="361"/>
      <c r="O3" s="362"/>
      <c r="P3" s="10"/>
      <c r="Q3" s="10"/>
    </row>
    <row r="4" spans="1:17" ht="42" customHeight="1" x14ac:dyDescent="0.35">
      <c r="A4" s="42"/>
      <c r="B4" s="27" t="s">
        <v>69</v>
      </c>
      <c r="C4" s="27" t="s">
        <v>70</v>
      </c>
      <c r="D4" s="27" t="s">
        <v>0</v>
      </c>
      <c r="E4" s="30"/>
      <c r="F4" s="329" t="s">
        <v>391</v>
      </c>
      <c r="G4" s="30"/>
      <c r="H4" s="30"/>
      <c r="I4" s="30"/>
      <c r="J4" s="30"/>
      <c r="K4" s="30"/>
      <c r="L4" s="30"/>
      <c r="M4" s="30"/>
      <c r="N4" s="30"/>
      <c r="O4" s="30"/>
      <c r="P4" s="10"/>
      <c r="Q4" s="10"/>
    </row>
    <row r="5" spans="1:17" ht="15.75" x14ac:dyDescent="0.25">
      <c r="A5" s="42" t="s">
        <v>227</v>
      </c>
      <c r="B5" s="42"/>
      <c r="C5" s="42"/>
      <c r="D5" s="42"/>
      <c r="E5" s="30"/>
      <c r="F5" s="321"/>
      <c r="G5" s="30"/>
      <c r="H5" s="30"/>
      <c r="I5" s="30"/>
      <c r="J5" s="30"/>
      <c r="K5" s="30"/>
      <c r="L5" s="30"/>
      <c r="M5" s="30"/>
      <c r="N5" s="30"/>
      <c r="O5" s="30"/>
      <c r="P5" s="10"/>
      <c r="Q5" s="10"/>
    </row>
    <row r="6" spans="1:17" ht="15.75" x14ac:dyDescent="0.25">
      <c r="A6" s="57" t="s">
        <v>326</v>
      </c>
      <c r="B6" s="42"/>
      <c r="C6" s="42"/>
      <c r="D6" s="42"/>
      <c r="E6" s="30"/>
      <c r="F6" s="322"/>
      <c r="G6" s="30"/>
      <c r="H6" s="30"/>
      <c r="I6" s="30"/>
      <c r="J6" s="30"/>
      <c r="K6" s="30"/>
      <c r="L6" s="30"/>
      <c r="M6" s="30"/>
      <c r="N6" s="30"/>
      <c r="O6" s="30"/>
      <c r="P6" s="10"/>
      <c r="Q6" s="10"/>
    </row>
    <row r="7" spans="1:17" ht="15.75" customHeight="1" x14ac:dyDescent="0.25">
      <c r="A7" s="48" t="s">
        <v>1</v>
      </c>
      <c r="B7" s="38">
        <f>1685609</f>
        <v>1685609</v>
      </c>
      <c r="C7" s="38">
        <v>5387</v>
      </c>
      <c r="D7" s="38">
        <f t="shared" ref="D7:D12" si="0">SUM(B7:C7)</f>
        <v>1690996</v>
      </c>
      <c r="E7" s="30"/>
      <c r="F7" s="322" t="str">
        <f>IF(((ABS(B7)+ABS(C7)+ABS(D7))=0),"Hide Row?"," ")</f>
        <v xml:space="preserve"> </v>
      </c>
      <c r="G7" s="30"/>
      <c r="H7" s="30"/>
      <c r="I7" s="30"/>
      <c r="J7" s="30"/>
      <c r="K7" s="30"/>
      <c r="L7" s="30"/>
      <c r="M7" s="30"/>
      <c r="N7" s="30"/>
      <c r="O7" s="30"/>
      <c r="P7" s="10"/>
      <c r="Q7" s="10"/>
    </row>
    <row r="8" spans="1:17" ht="15.75" x14ac:dyDescent="0.25">
      <c r="A8" s="48" t="s">
        <v>46</v>
      </c>
      <c r="B8" s="31">
        <v>75754</v>
      </c>
      <c r="C8" s="31">
        <v>11832</v>
      </c>
      <c r="D8" s="31">
        <f t="shared" si="0"/>
        <v>87586</v>
      </c>
      <c r="E8" s="30"/>
      <c r="F8" s="322" t="str">
        <f t="shared" ref="F8:F38" si="1">IF(((ABS(B8)+ABS(C8)+ABS(D8))=0),"Hide Row?"," ")</f>
        <v xml:space="preserve"> </v>
      </c>
      <c r="G8" s="30"/>
      <c r="H8" s="30"/>
      <c r="I8" s="30"/>
      <c r="J8" s="30"/>
      <c r="K8" s="30"/>
      <c r="L8" s="30"/>
      <c r="M8" s="30"/>
      <c r="N8" s="30"/>
      <c r="O8" s="30"/>
      <c r="P8" s="10"/>
      <c r="Q8" s="10"/>
    </row>
    <row r="9" spans="1:17" ht="15.75" x14ac:dyDescent="0.25">
      <c r="A9" s="48" t="s">
        <v>203</v>
      </c>
      <c r="B9" s="31">
        <v>0</v>
      </c>
      <c r="C9" s="31">
        <v>5340</v>
      </c>
      <c r="D9" s="31">
        <f t="shared" si="0"/>
        <v>5340</v>
      </c>
      <c r="E9" s="30"/>
      <c r="F9" s="322" t="str">
        <f t="shared" si="1"/>
        <v xml:space="preserve"> </v>
      </c>
      <c r="G9" s="30"/>
      <c r="H9" s="30"/>
      <c r="I9" s="30"/>
      <c r="J9" s="30"/>
      <c r="K9" s="30"/>
      <c r="L9" s="30"/>
      <c r="M9" s="30"/>
      <c r="N9" s="30"/>
      <c r="O9" s="30"/>
      <c r="P9" s="10"/>
      <c r="Q9" s="10"/>
    </row>
    <row r="10" spans="1:17" ht="15.75" hidden="1" x14ac:dyDescent="0.25">
      <c r="A10" s="48" t="s">
        <v>168</v>
      </c>
      <c r="B10" s="31">
        <v>0</v>
      </c>
      <c r="C10" s="31">
        <v>0</v>
      </c>
      <c r="D10" s="31">
        <f t="shared" si="0"/>
        <v>0</v>
      </c>
      <c r="E10" s="30"/>
      <c r="F10" s="322" t="str">
        <f t="shared" si="1"/>
        <v>Hide Row?</v>
      </c>
      <c r="G10" s="30"/>
      <c r="H10" s="30"/>
      <c r="I10" s="30"/>
      <c r="J10" s="30"/>
      <c r="K10" s="30"/>
      <c r="L10" s="30"/>
      <c r="M10" s="30"/>
      <c r="N10" s="30"/>
      <c r="O10" s="30"/>
      <c r="P10" s="10"/>
      <c r="Q10" s="10"/>
    </row>
    <row r="11" spans="1:17" ht="15.75" x14ac:dyDescent="0.25">
      <c r="A11" s="48" t="s">
        <v>2</v>
      </c>
      <c r="B11" s="31">
        <v>825</v>
      </c>
      <c r="C11" s="31">
        <v>1619</v>
      </c>
      <c r="D11" s="31">
        <f t="shared" si="0"/>
        <v>2444</v>
      </c>
      <c r="E11" s="30"/>
      <c r="F11" s="322" t="str">
        <f t="shared" si="1"/>
        <v xml:space="preserve"> </v>
      </c>
      <c r="G11" s="30"/>
      <c r="H11" s="30"/>
      <c r="I11" s="30"/>
      <c r="J11" s="30"/>
      <c r="K11" s="30"/>
      <c r="L11" s="30"/>
      <c r="M11" s="30"/>
      <c r="N11" s="30"/>
      <c r="O11" s="30"/>
      <c r="P11" s="10"/>
      <c r="Q11" s="10"/>
    </row>
    <row r="12" spans="1:17" ht="17.25" x14ac:dyDescent="0.35">
      <c r="A12" s="48" t="s">
        <v>129</v>
      </c>
      <c r="B12" s="107">
        <v>10849</v>
      </c>
      <c r="C12" s="107">
        <v>0</v>
      </c>
      <c r="D12" s="107">
        <f t="shared" si="0"/>
        <v>10849</v>
      </c>
      <c r="E12" s="30"/>
      <c r="F12" s="322" t="str">
        <f t="shared" si="1"/>
        <v xml:space="preserve"> </v>
      </c>
      <c r="G12" s="30"/>
      <c r="H12" s="30"/>
      <c r="I12" s="30"/>
      <c r="J12" s="30"/>
      <c r="K12" s="30"/>
      <c r="L12" s="30"/>
      <c r="M12" s="30"/>
      <c r="N12" s="30"/>
      <c r="O12" s="30"/>
      <c r="P12" s="10"/>
      <c r="Q12" s="10"/>
    </row>
    <row r="13" spans="1:17" ht="17.25" x14ac:dyDescent="0.35">
      <c r="A13" s="44" t="s">
        <v>21</v>
      </c>
      <c r="B13" s="107">
        <f>SUM(B7:B12)</f>
        <v>1773037</v>
      </c>
      <c r="C13" s="107">
        <f>SUM(C7:C12)</f>
        <v>24178</v>
      </c>
      <c r="D13" s="107">
        <f>SUM(D7:D12)</f>
        <v>1797215</v>
      </c>
      <c r="E13" s="30"/>
      <c r="F13" s="322" t="str">
        <f t="shared" si="1"/>
        <v xml:space="preserve"> </v>
      </c>
      <c r="G13" s="30"/>
      <c r="H13" s="30"/>
      <c r="I13" s="30"/>
      <c r="J13" s="30"/>
      <c r="K13" s="30"/>
      <c r="L13" s="30"/>
      <c r="M13" s="30"/>
      <c r="N13" s="30"/>
      <c r="O13" s="30"/>
      <c r="P13" s="10"/>
      <c r="Q13" s="10"/>
    </row>
    <row r="14" spans="1:17" ht="15.75" x14ac:dyDescent="0.25">
      <c r="A14" s="57" t="s">
        <v>380</v>
      </c>
      <c r="B14" s="31"/>
      <c r="C14" s="31"/>
      <c r="D14" s="31"/>
      <c r="E14" s="30"/>
      <c r="F14" s="322"/>
      <c r="G14" s="30"/>
      <c r="H14" s="30" t="s">
        <v>49</v>
      </c>
      <c r="I14" s="30"/>
      <c r="J14" s="30"/>
      <c r="K14" s="30"/>
      <c r="L14" s="30"/>
      <c r="M14" s="30"/>
      <c r="N14" s="30"/>
      <c r="O14" s="30"/>
      <c r="P14" s="10"/>
      <c r="Q14" s="10"/>
    </row>
    <row r="15" spans="1:17" ht="15.75" x14ac:dyDescent="0.25">
      <c r="A15" s="48" t="s">
        <v>182</v>
      </c>
      <c r="B15" s="31">
        <v>2825813</v>
      </c>
      <c r="C15" s="31">
        <v>0</v>
      </c>
      <c r="D15" s="31">
        <f>SUM(B15:C15)</f>
        <v>2825813</v>
      </c>
      <c r="E15" s="30"/>
      <c r="F15" s="322" t="str">
        <f t="shared" si="1"/>
        <v xml:space="preserve"> </v>
      </c>
      <c r="G15" s="30"/>
      <c r="H15" s="30"/>
      <c r="I15" s="30"/>
      <c r="J15" s="30"/>
      <c r="K15" s="30"/>
      <c r="L15" s="30"/>
      <c r="M15" s="30"/>
      <c r="N15" s="30"/>
      <c r="O15" s="30"/>
      <c r="P15" s="10"/>
      <c r="Q15" s="10"/>
    </row>
    <row r="16" spans="1:17" ht="17.25" x14ac:dyDescent="0.35">
      <c r="A16" s="40" t="s">
        <v>75</v>
      </c>
      <c r="B16" s="41">
        <v>6230915</v>
      </c>
      <c r="C16" s="41">
        <v>33541</v>
      </c>
      <c r="D16" s="41">
        <f>SUM(B16:C16)</f>
        <v>6264456</v>
      </c>
      <c r="E16" s="30"/>
      <c r="F16" s="322" t="str">
        <f t="shared" si="1"/>
        <v xml:space="preserve"> </v>
      </c>
      <c r="G16" s="30"/>
      <c r="H16" s="30"/>
      <c r="I16" s="30"/>
      <c r="J16" s="30"/>
      <c r="K16" s="30"/>
      <c r="L16" s="30"/>
      <c r="M16" s="30"/>
      <c r="N16" s="30"/>
      <c r="O16" s="30"/>
      <c r="P16" s="10"/>
      <c r="Q16" s="10"/>
    </row>
    <row r="17" spans="1:17" ht="17.25" x14ac:dyDescent="0.35">
      <c r="A17" s="44" t="s">
        <v>76</v>
      </c>
      <c r="B17" s="41">
        <f>B15+B16</f>
        <v>9056728</v>
      </c>
      <c r="C17" s="41">
        <f>C15+C16</f>
        <v>33541</v>
      </c>
      <c r="D17" s="41">
        <f>D15+D16</f>
        <v>9090269</v>
      </c>
      <c r="E17" s="30"/>
      <c r="F17" s="322" t="str">
        <f t="shared" si="1"/>
        <v xml:space="preserve"> </v>
      </c>
      <c r="G17" s="30"/>
      <c r="H17" s="30"/>
      <c r="I17" s="30"/>
      <c r="J17" s="30"/>
      <c r="K17" s="30"/>
      <c r="L17" s="30"/>
      <c r="M17" s="30"/>
      <c r="N17" s="30"/>
      <c r="O17" s="30"/>
      <c r="P17" s="10"/>
      <c r="Q17" s="10"/>
    </row>
    <row r="18" spans="1:17" ht="20.100000000000001" customHeight="1" x14ac:dyDescent="0.35">
      <c r="A18" s="45" t="s">
        <v>3</v>
      </c>
      <c r="B18" s="41">
        <f>B13+B17</f>
        <v>10829765</v>
      </c>
      <c r="C18" s="41">
        <f>C13+C17</f>
        <v>57719</v>
      </c>
      <c r="D18" s="41">
        <f>D13+D17</f>
        <v>10887484</v>
      </c>
      <c r="E18" s="30"/>
      <c r="F18" s="322" t="str">
        <f t="shared" si="1"/>
        <v xml:space="preserve"> </v>
      </c>
      <c r="G18" s="30"/>
      <c r="H18" s="30"/>
      <c r="I18" s="30"/>
      <c r="J18" s="30"/>
      <c r="K18" s="30"/>
      <c r="L18" s="30"/>
      <c r="M18" s="30"/>
      <c r="N18" s="30"/>
      <c r="O18" s="30"/>
      <c r="P18" s="10"/>
      <c r="Q18" s="10"/>
    </row>
    <row r="19" spans="1:17" ht="5.0999999999999996" customHeight="1" x14ac:dyDescent="0.25">
      <c r="A19" s="30"/>
      <c r="B19" s="30"/>
      <c r="C19" s="30"/>
      <c r="D19" s="30"/>
      <c r="E19" s="30"/>
      <c r="F19" s="322"/>
      <c r="G19" s="30"/>
      <c r="H19" s="30"/>
      <c r="I19" s="30"/>
      <c r="J19" s="30"/>
      <c r="K19" s="30"/>
      <c r="L19" s="30"/>
      <c r="M19" s="30"/>
      <c r="N19" s="30"/>
      <c r="O19" s="30"/>
      <c r="P19" s="10"/>
      <c r="Q19" s="10"/>
    </row>
    <row r="20" spans="1:17" ht="15.75" x14ac:dyDescent="0.25">
      <c r="A20" s="42" t="s">
        <v>228</v>
      </c>
      <c r="B20" s="30"/>
      <c r="C20" s="30"/>
      <c r="D20" s="30"/>
      <c r="E20" s="30"/>
      <c r="F20" s="322"/>
      <c r="G20" s="30"/>
      <c r="H20" s="30"/>
      <c r="I20" s="30"/>
      <c r="J20" s="30"/>
      <c r="K20" s="30"/>
      <c r="L20" s="30"/>
      <c r="M20" s="30"/>
      <c r="N20" s="30"/>
      <c r="O20" s="30"/>
      <c r="P20" s="10"/>
      <c r="Q20" s="10"/>
    </row>
    <row r="21" spans="1:17" ht="15.75" x14ac:dyDescent="0.25">
      <c r="A21" s="57" t="s">
        <v>328</v>
      </c>
      <c r="B21" s="30"/>
      <c r="C21" s="30"/>
      <c r="D21" s="30"/>
      <c r="E21" s="30"/>
      <c r="F21" s="322"/>
      <c r="G21" s="30"/>
      <c r="H21" s="30"/>
      <c r="I21" s="30"/>
      <c r="J21" s="30"/>
      <c r="K21" s="30"/>
      <c r="L21" s="30"/>
      <c r="M21" s="30"/>
      <c r="N21" s="30"/>
      <c r="O21" s="30"/>
      <c r="P21" s="10"/>
      <c r="Q21" s="10"/>
    </row>
    <row r="22" spans="1:17" ht="15.75" customHeight="1" x14ac:dyDescent="0.25">
      <c r="A22" s="48" t="s">
        <v>89</v>
      </c>
      <c r="B22" s="31">
        <f>576201-780</f>
        <v>575421</v>
      </c>
      <c r="C22" s="31">
        <v>5413</v>
      </c>
      <c r="D22" s="31">
        <f t="shared" ref="D22:D27" si="2">+B22+C22</f>
        <v>580834</v>
      </c>
      <c r="E22" s="30"/>
      <c r="F22" s="322" t="str">
        <f t="shared" si="1"/>
        <v xml:space="preserve"> </v>
      </c>
      <c r="G22" s="30"/>
      <c r="H22" s="30"/>
      <c r="I22" s="30"/>
      <c r="J22" s="30"/>
      <c r="K22" s="30"/>
      <c r="L22" s="30"/>
      <c r="M22" s="30"/>
      <c r="N22" s="30"/>
      <c r="O22" s="30"/>
      <c r="P22" s="10"/>
      <c r="Q22" s="10"/>
    </row>
    <row r="23" spans="1:17" ht="15.75" customHeight="1" x14ac:dyDescent="0.25">
      <c r="A23" s="48" t="s">
        <v>90</v>
      </c>
      <c r="B23" s="31">
        <v>448344</v>
      </c>
      <c r="C23" s="31">
        <v>700</v>
      </c>
      <c r="D23" s="31">
        <f t="shared" si="2"/>
        <v>449044</v>
      </c>
      <c r="E23" s="30"/>
      <c r="F23" s="322" t="str">
        <f t="shared" si="1"/>
        <v xml:space="preserve"> </v>
      </c>
      <c r="G23" s="30"/>
      <c r="H23" s="30"/>
      <c r="I23" s="30"/>
      <c r="J23" s="30"/>
      <c r="K23" s="30"/>
      <c r="L23" s="30"/>
      <c r="M23" s="30"/>
      <c r="N23" s="30"/>
      <c r="O23" s="30"/>
      <c r="P23" s="10"/>
      <c r="Q23" s="10"/>
    </row>
    <row r="24" spans="1:17" ht="15.75" hidden="1" x14ac:dyDescent="0.25">
      <c r="A24" s="40" t="s">
        <v>130</v>
      </c>
      <c r="B24" s="31">
        <v>0</v>
      </c>
      <c r="C24" s="31">
        <v>0</v>
      </c>
      <c r="D24" s="31">
        <f t="shared" si="2"/>
        <v>0</v>
      </c>
      <c r="E24" s="30"/>
      <c r="F24" s="322" t="str">
        <f t="shared" si="1"/>
        <v>Hide Row?</v>
      </c>
      <c r="G24" s="30"/>
      <c r="H24" s="30"/>
      <c r="I24" s="30"/>
      <c r="J24" s="30"/>
      <c r="K24" s="30"/>
      <c r="L24" s="30"/>
      <c r="M24" s="30"/>
      <c r="N24" s="30"/>
      <c r="O24" s="30"/>
      <c r="P24" s="10"/>
      <c r="Q24" s="10"/>
    </row>
    <row r="25" spans="1:17" ht="15.75" hidden="1" x14ac:dyDescent="0.25">
      <c r="A25" s="40" t="s">
        <v>183</v>
      </c>
      <c r="B25" s="31">
        <v>0</v>
      </c>
      <c r="C25" s="31">
        <v>0</v>
      </c>
      <c r="D25" s="31">
        <f t="shared" si="2"/>
        <v>0</v>
      </c>
      <c r="E25" s="30"/>
      <c r="F25" s="322" t="str">
        <f t="shared" si="1"/>
        <v>Hide Row?</v>
      </c>
      <c r="G25" s="30"/>
      <c r="H25" s="30"/>
      <c r="I25" s="30"/>
      <c r="J25" s="30"/>
      <c r="K25" s="30"/>
      <c r="L25" s="30"/>
      <c r="M25" s="30"/>
      <c r="N25" s="30"/>
      <c r="O25" s="30"/>
      <c r="P25" s="10"/>
      <c r="Q25" s="10"/>
    </row>
    <row r="26" spans="1:17" ht="15.75" x14ac:dyDescent="0.25">
      <c r="A26" s="40" t="s">
        <v>80</v>
      </c>
      <c r="B26" s="31">
        <v>780</v>
      </c>
      <c r="C26" s="31">
        <v>0</v>
      </c>
      <c r="D26" s="31">
        <f t="shared" si="2"/>
        <v>780</v>
      </c>
      <c r="E26" s="30"/>
      <c r="F26" s="322" t="str">
        <f t="shared" si="1"/>
        <v xml:space="preserve"> </v>
      </c>
      <c r="G26" s="30"/>
      <c r="H26" s="30"/>
      <c r="I26" s="30"/>
      <c r="J26" s="30"/>
      <c r="K26" s="30"/>
      <c r="L26" s="30"/>
      <c r="M26" s="30"/>
      <c r="N26" s="30"/>
      <c r="O26" s="30"/>
      <c r="P26" s="10"/>
      <c r="Q26" s="10"/>
    </row>
    <row r="27" spans="1:17" ht="17.25" x14ac:dyDescent="0.35">
      <c r="A27" s="40" t="s">
        <v>379</v>
      </c>
      <c r="B27" s="107">
        <v>366820</v>
      </c>
      <c r="C27" s="107">
        <v>387</v>
      </c>
      <c r="D27" s="107">
        <f t="shared" si="2"/>
        <v>367207</v>
      </c>
      <c r="E27" s="30"/>
      <c r="F27" s="322" t="str">
        <f t="shared" si="1"/>
        <v xml:space="preserve"> </v>
      </c>
      <c r="G27" s="30"/>
      <c r="H27" s="30"/>
      <c r="I27" s="30"/>
      <c r="J27" s="30"/>
      <c r="K27" s="30"/>
      <c r="L27" s="30"/>
      <c r="M27" s="30"/>
      <c r="N27" s="30"/>
      <c r="O27" s="30"/>
      <c r="P27" s="10"/>
      <c r="Q27" s="10"/>
    </row>
    <row r="28" spans="1:17" ht="15.75" x14ac:dyDescent="0.25">
      <c r="A28" s="44" t="s">
        <v>24</v>
      </c>
      <c r="B28" s="31">
        <f>SUM(B20:B27)</f>
        <v>1391365</v>
      </c>
      <c r="C28" s="31">
        <f>SUM(C20:C27)</f>
        <v>6500</v>
      </c>
      <c r="D28" s="31">
        <f>SUM(D20:D27)</f>
        <v>1397865</v>
      </c>
      <c r="E28" s="30"/>
      <c r="F28" s="322" t="str">
        <f t="shared" si="1"/>
        <v xml:space="preserve"> </v>
      </c>
      <c r="G28" s="30"/>
      <c r="H28" s="30"/>
      <c r="I28" s="30"/>
      <c r="J28" s="30"/>
      <c r="K28" s="30"/>
      <c r="L28" s="30"/>
      <c r="M28" s="30"/>
      <c r="N28" s="30"/>
      <c r="O28" s="30"/>
      <c r="P28" s="10"/>
      <c r="Q28" s="10"/>
    </row>
    <row r="29" spans="1:17" ht="15.75" x14ac:dyDescent="0.25">
      <c r="A29" s="57" t="s">
        <v>329</v>
      </c>
      <c r="B29" s="31"/>
      <c r="C29" s="31"/>
      <c r="D29" s="31"/>
      <c r="E29" s="30"/>
      <c r="F29" s="322"/>
      <c r="G29" s="30"/>
      <c r="H29" s="30"/>
      <c r="I29" s="30"/>
      <c r="J29" s="30"/>
      <c r="K29" s="30"/>
      <c r="L29" s="30"/>
      <c r="M29" s="30"/>
      <c r="N29" s="30"/>
      <c r="O29" s="30"/>
      <c r="P29" s="10"/>
      <c r="Q29" s="10"/>
    </row>
    <row r="30" spans="1:17" ht="17.25" x14ac:dyDescent="0.35">
      <c r="A30" s="40" t="s">
        <v>77</v>
      </c>
      <c r="B30" s="41">
        <v>7824720</v>
      </c>
      <c r="C30" s="41">
        <v>1256</v>
      </c>
      <c r="D30" s="41">
        <f>+B30+C30</f>
        <v>7825976</v>
      </c>
      <c r="E30" s="30"/>
      <c r="F30" s="322" t="str">
        <f t="shared" si="1"/>
        <v xml:space="preserve"> </v>
      </c>
      <c r="G30" s="30"/>
      <c r="H30" s="30"/>
      <c r="I30" s="30"/>
      <c r="J30" s="30"/>
      <c r="K30" s="30"/>
      <c r="L30" s="30"/>
      <c r="M30" s="30"/>
      <c r="N30" s="30"/>
      <c r="O30" s="30"/>
      <c r="P30" s="10"/>
      <c r="Q30" s="10"/>
    </row>
    <row r="31" spans="1:17" ht="20.100000000000001" customHeight="1" x14ac:dyDescent="0.35">
      <c r="A31" s="45" t="s">
        <v>4</v>
      </c>
      <c r="B31" s="41">
        <f>SUM(B28:B30)</f>
        <v>9216085</v>
      </c>
      <c r="C31" s="41">
        <f>SUM(C28:C30)</f>
        <v>7756</v>
      </c>
      <c r="D31" s="41">
        <f>SUM(D28:D30)</f>
        <v>9223841</v>
      </c>
      <c r="E31" s="30"/>
      <c r="F31" s="322" t="str">
        <f t="shared" si="1"/>
        <v xml:space="preserve"> </v>
      </c>
      <c r="G31" s="30"/>
      <c r="H31" s="30"/>
      <c r="I31" s="30"/>
      <c r="J31" s="30"/>
      <c r="K31" s="30"/>
      <c r="L31" s="30"/>
      <c r="M31" s="30"/>
      <c r="N31" s="30"/>
      <c r="O31" s="30"/>
      <c r="P31" s="10"/>
      <c r="Q31" s="10"/>
    </row>
    <row r="32" spans="1:17" ht="5.0999999999999996" customHeight="1" x14ac:dyDescent="0.25">
      <c r="A32" s="44"/>
      <c r="B32" s="46"/>
      <c r="C32" s="46"/>
      <c r="D32" s="46"/>
      <c r="E32" s="30"/>
      <c r="F32" s="322"/>
      <c r="G32" s="30"/>
      <c r="H32" s="30"/>
      <c r="I32" s="30"/>
      <c r="J32" s="30"/>
      <c r="K32" s="30"/>
      <c r="L32" s="30"/>
      <c r="M32" s="30"/>
      <c r="N32" s="30"/>
      <c r="O32" s="30"/>
      <c r="P32" s="10"/>
      <c r="Q32" s="10"/>
    </row>
    <row r="33" spans="1:17" ht="20.100000000000001" customHeight="1" x14ac:dyDescent="0.35">
      <c r="A33" s="42" t="s">
        <v>229</v>
      </c>
      <c r="B33" s="41">
        <v>1500</v>
      </c>
      <c r="C33" s="41">
        <v>0</v>
      </c>
      <c r="D33" s="41">
        <f>SUM(B33:C33)</f>
        <v>1500</v>
      </c>
      <c r="E33" s="30"/>
      <c r="F33" s="322" t="str">
        <f t="shared" si="1"/>
        <v xml:space="preserve"> </v>
      </c>
      <c r="G33" s="30"/>
      <c r="H33" s="30"/>
      <c r="I33" s="30"/>
      <c r="J33" s="30"/>
      <c r="K33" s="30"/>
      <c r="L33" s="30"/>
      <c r="M33" s="30"/>
      <c r="N33" s="30"/>
      <c r="O33" s="30"/>
      <c r="P33" s="10"/>
      <c r="Q33" s="10"/>
    </row>
    <row r="34" spans="1:17" ht="5.0999999999999996" customHeight="1" x14ac:dyDescent="0.25">
      <c r="A34" s="44"/>
      <c r="B34" s="46"/>
      <c r="C34" s="46"/>
      <c r="D34" s="46"/>
      <c r="E34" s="30"/>
      <c r="F34" s="322"/>
      <c r="G34" s="30"/>
      <c r="H34" s="30"/>
      <c r="I34" s="30"/>
      <c r="J34" s="30"/>
      <c r="K34" s="30"/>
      <c r="L34" s="30"/>
      <c r="M34" s="30"/>
      <c r="N34" s="30"/>
      <c r="O34" s="30"/>
      <c r="P34" s="10"/>
      <c r="Q34" s="10"/>
    </row>
    <row r="35" spans="1:17" ht="15.75" x14ac:dyDescent="0.25">
      <c r="A35" s="42" t="s">
        <v>230</v>
      </c>
      <c r="B35" s="30"/>
      <c r="C35" s="30"/>
      <c r="D35" s="30"/>
      <c r="E35" s="30"/>
      <c r="F35" s="322"/>
      <c r="G35" s="30"/>
      <c r="H35" s="30"/>
      <c r="I35" s="30"/>
      <c r="J35" s="30"/>
      <c r="K35" s="30" t="s">
        <v>49</v>
      </c>
      <c r="L35" s="30"/>
      <c r="M35" s="30"/>
      <c r="N35" s="30"/>
      <c r="O35" s="30"/>
      <c r="P35" s="10"/>
      <c r="Q35" s="10"/>
    </row>
    <row r="36" spans="1:17" ht="15.75" x14ac:dyDescent="0.25">
      <c r="A36" s="48" t="s">
        <v>166</v>
      </c>
      <c r="B36" s="31">
        <f>+B17-B27-B30+37845</f>
        <v>903033</v>
      </c>
      <c r="C36" s="31">
        <f>33541</f>
        <v>33541</v>
      </c>
      <c r="D36" s="31">
        <f>+B36+C36</f>
        <v>936574</v>
      </c>
      <c r="E36" s="30"/>
      <c r="F36" s="322" t="str">
        <f t="shared" si="1"/>
        <v xml:space="preserve"> </v>
      </c>
      <c r="G36" s="30"/>
      <c r="H36" s="30"/>
      <c r="I36" s="30"/>
      <c r="J36" s="30"/>
      <c r="K36" s="30"/>
      <c r="L36" s="30"/>
      <c r="M36" s="30"/>
      <c r="N36" s="30"/>
      <c r="O36" s="30"/>
      <c r="P36" s="10"/>
      <c r="Q36" s="10"/>
    </row>
    <row r="37" spans="1:17" ht="17.25" x14ac:dyDescent="0.35">
      <c r="A37" s="40" t="s">
        <v>162</v>
      </c>
      <c r="B37" s="41">
        <f>1077831-368684</f>
        <v>709147</v>
      </c>
      <c r="C37" s="41">
        <f>18065-387-1256</f>
        <v>16422</v>
      </c>
      <c r="D37" s="41">
        <f>+B37+C37</f>
        <v>725569</v>
      </c>
      <c r="E37" s="30"/>
      <c r="F37" s="322" t="str">
        <f t="shared" si="1"/>
        <v xml:space="preserve"> </v>
      </c>
      <c r="G37" s="30"/>
      <c r="H37" s="30" t="s">
        <v>159</v>
      </c>
      <c r="I37" s="30"/>
      <c r="J37" s="30"/>
      <c r="K37" s="30"/>
      <c r="L37" s="30"/>
      <c r="M37" s="30"/>
      <c r="N37" s="30"/>
      <c r="O37" s="30"/>
      <c r="P37" s="10"/>
      <c r="Q37" s="10"/>
    </row>
    <row r="38" spans="1:17" ht="20.100000000000001" customHeight="1" x14ac:dyDescent="0.35">
      <c r="A38" s="45" t="s">
        <v>167</v>
      </c>
      <c r="B38" s="49">
        <f>SUM(B36:B37)</f>
        <v>1612180</v>
      </c>
      <c r="C38" s="49">
        <f>SUM(C36:C37)</f>
        <v>49963</v>
      </c>
      <c r="D38" s="49">
        <f>SUM(D36:D37)</f>
        <v>1662143</v>
      </c>
      <c r="E38" s="30"/>
      <c r="F38" s="322" t="str">
        <f t="shared" si="1"/>
        <v xml:space="preserve"> </v>
      </c>
      <c r="G38" s="30"/>
      <c r="H38" s="30"/>
      <c r="I38" s="30"/>
      <c r="J38" s="30"/>
      <c r="K38" s="30"/>
      <c r="L38" s="30"/>
      <c r="M38" s="30"/>
      <c r="N38" s="30"/>
      <c r="O38" s="30"/>
      <c r="P38" s="10"/>
      <c r="Q38" s="10"/>
    </row>
    <row r="39" spans="1:17" ht="16.5" thickBot="1" x14ac:dyDescent="0.3">
      <c r="A39" s="30"/>
      <c r="B39" s="30"/>
      <c r="C39" s="30"/>
      <c r="D39" s="30"/>
      <c r="E39" s="30"/>
      <c r="F39" s="322"/>
      <c r="G39" s="30"/>
      <c r="H39" s="30"/>
      <c r="I39" s="30"/>
      <c r="J39" s="30"/>
      <c r="K39" s="30"/>
      <c r="L39" s="30"/>
      <c r="M39" s="30"/>
      <c r="N39" s="30"/>
      <c r="O39" s="30"/>
      <c r="P39" s="10"/>
      <c r="Q39" s="10"/>
    </row>
    <row r="40" spans="1:17" ht="15.75" x14ac:dyDescent="0.25">
      <c r="A40" s="347" t="s">
        <v>286</v>
      </c>
      <c r="B40" s="348"/>
      <c r="C40" s="348"/>
      <c r="D40" s="349"/>
      <c r="E40" s="119"/>
      <c r="F40" s="30"/>
      <c r="G40" s="30"/>
      <c r="H40" s="30"/>
      <c r="I40" s="30"/>
      <c r="J40" s="30"/>
      <c r="K40" s="30"/>
      <c r="L40" s="30"/>
      <c r="M40" s="30"/>
      <c r="N40" s="30"/>
      <c r="O40" s="30"/>
      <c r="P40" s="10"/>
      <c r="Q40" s="10"/>
    </row>
    <row r="41" spans="1:17" ht="21" customHeight="1" thickBot="1" x14ac:dyDescent="0.3">
      <c r="A41" s="350"/>
      <c r="B41" s="351"/>
      <c r="C41" s="351"/>
      <c r="D41" s="352"/>
      <c r="E41" s="30"/>
      <c r="F41" s="30"/>
      <c r="G41" s="30"/>
      <c r="H41" s="30"/>
      <c r="I41" s="30"/>
      <c r="J41" s="30"/>
      <c r="K41" s="30"/>
      <c r="L41" s="30"/>
      <c r="M41" s="30"/>
      <c r="N41" s="30"/>
      <c r="O41" s="30"/>
      <c r="P41" s="10"/>
      <c r="Q41" s="10"/>
    </row>
    <row r="42" spans="1:17" ht="12.75" customHeight="1" x14ac:dyDescent="0.25">
      <c r="A42" s="120"/>
      <c r="B42" s="120"/>
      <c r="C42" s="120"/>
      <c r="D42" s="120"/>
      <c r="E42" s="120"/>
      <c r="F42" s="30"/>
      <c r="G42" s="30"/>
      <c r="H42" s="30"/>
      <c r="I42" s="30"/>
      <c r="J42" s="30"/>
      <c r="K42" s="30"/>
      <c r="L42" s="30"/>
      <c r="M42" s="30"/>
      <c r="N42" s="30"/>
      <c r="O42" s="30"/>
      <c r="P42" s="10"/>
      <c r="Q42" s="10"/>
    </row>
    <row r="43" spans="1:17" ht="15.75" x14ac:dyDescent="0.25">
      <c r="A43" s="120"/>
      <c r="B43" s="120"/>
      <c r="C43" s="120"/>
      <c r="D43" s="120"/>
      <c r="E43" s="120"/>
      <c r="F43" s="30"/>
      <c r="G43" s="30"/>
      <c r="H43" s="30"/>
      <c r="I43" s="30"/>
      <c r="J43" s="30"/>
      <c r="K43" s="30"/>
      <c r="L43" s="30"/>
      <c r="M43" s="30"/>
      <c r="N43" s="30"/>
      <c r="O43" s="30"/>
      <c r="P43" s="10"/>
      <c r="Q43" s="10"/>
    </row>
    <row r="44" spans="1:17" ht="15.75" x14ac:dyDescent="0.25">
      <c r="A44" s="78" t="s">
        <v>180</v>
      </c>
      <c r="B44" s="30"/>
      <c r="C44" s="30"/>
      <c r="D44" s="30"/>
      <c r="E44" s="30"/>
      <c r="F44" s="30"/>
      <c r="G44" s="30"/>
      <c r="H44" s="30"/>
      <c r="I44" s="30"/>
      <c r="J44" s="30"/>
      <c r="K44" s="30"/>
      <c r="L44" s="30"/>
      <c r="M44" s="30"/>
      <c r="N44" s="30"/>
      <c r="O44" s="30"/>
      <c r="P44" s="10"/>
      <c r="Q44" s="10"/>
    </row>
    <row r="45" spans="1:17" ht="15.75" x14ac:dyDescent="0.25">
      <c r="A45" s="30"/>
      <c r="B45" s="30"/>
      <c r="C45" s="30"/>
      <c r="D45" s="30"/>
      <c r="E45" s="30"/>
      <c r="F45" s="30"/>
      <c r="G45" s="30"/>
      <c r="H45" s="30"/>
      <c r="I45" s="30"/>
      <c r="J45" s="30"/>
      <c r="K45" s="30"/>
      <c r="L45" s="30"/>
      <c r="M45" s="30"/>
      <c r="N45" s="30"/>
      <c r="O45" s="30"/>
      <c r="P45" s="10"/>
      <c r="Q45" s="10"/>
    </row>
    <row r="46" spans="1:17" ht="15.75" x14ac:dyDescent="0.25">
      <c r="A46" s="30"/>
      <c r="B46" s="30"/>
      <c r="C46" s="30"/>
      <c r="D46" s="30"/>
      <c r="E46" s="30"/>
      <c r="F46" s="30"/>
      <c r="G46" s="30"/>
      <c r="H46" s="30"/>
      <c r="I46" s="30"/>
      <c r="J46" s="30"/>
      <c r="K46" s="30"/>
      <c r="L46" s="30"/>
      <c r="M46" s="30"/>
      <c r="N46" s="30"/>
      <c r="O46" s="30"/>
      <c r="P46" s="10"/>
      <c r="Q46" s="10"/>
    </row>
    <row r="47" spans="1:17" ht="15.75" x14ac:dyDescent="0.25">
      <c r="A47" s="30"/>
      <c r="B47" s="30"/>
      <c r="C47" s="30"/>
      <c r="D47" s="30"/>
      <c r="E47" s="30"/>
      <c r="F47" s="30"/>
      <c r="G47" s="30"/>
      <c r="H47" s="30"/>
      <c r="I47" s="30"/>
      <c r="J47" s="30"/>
      <c r="K47" s="30"/>
      <c r="L47" s="30"/>
      <c r="M47" s="30"/>
      <c r="N47" s="30"/>
      <c r="O47" s="30"/>
      <c r="P47" s="10"/>
      <c r="Q47" s="10"/>
    </row>
    <row r="48" spans="1:17" ht="15.75" x14ac:dyDescent="0.25">
      <c r="A48" s="30"/>
      <c r="B48" s="30"/>
      <c r="C48" s="30"/>
      <c r="D48" s="30"/>
      <c r="E48" s="30"/>
      <c r="F48" s="30"/>
      <c r="G48" s="30"/>
      <c r="H48" s="30"/>
      <c r="I48" s="30"/>
      <c r="J48" s="30"/>
      <c r="K48" s="30"/>
      <c r="L48" s="30"/>
      <c r="M48" s="30"/>
      <c r="N48" s="30"/>
      <c r="O48" s="30"/>
      <c r="P48" s="10"/>
      <c r="Q48" s="10"/>
    </row>
    <row r="49" spans="1:17" ht="36" customHeight="1" x14ac:dyDescent="0.25">
      <c r="A49" s="58" t="s">
        <v>184</v>
      </c>
      <c r="B49" s="121" t="str">
        <f>IF(+B18-B31-B33-B38=0,"Yes",+B18-B31-B33-B38)</f>
        <v>Yes</v>
      </c>
      <c r="C49" s="121" t="str">
        <f>IF(+C18-C31-C33-C38=0,"Yes",+C18-C31-C33-C38)</f>
        <v>Yes</v>
      </c>
      <c r="D49" s="121" t="str">
        <f>IF(+D18-D31-D33-D38=0,"Yes",+D18-D31-D33-D38)</f>
        <v>Yes</v>
      </c>
      <c r="E49" s="30"/>
      <c r="F49" s="30"/>
      <c r="G49" s="30"/>
      <c r="H49" s="30"/>
      <c r="I49" s="30"/>
      <c r="J49" s="30"/>
      <c r="K49" s="30"/>
      <c r="L49" s="30"/>
      <c r="M49" s="30"/>
      <c r="N49" s="30"/>
      <c r="O49" s="30"/>
      <c r="P49" s="10"/>
      <c r="Q49" s="10"/>
    </row>
    <row r="50" spans="1:17" ht="36" customHeight="1" x14ac:dyDescent="0.25">
      <c r="A50" s="58" t="s">
        <v>185</v>
      </c>
      <c r="B50" s="122" t="str">
        <f>IF(B38-'GW Stmt Activities Exh 2'!G29=0,"Yes",B38-'GW Stmt Activities Exh 2'!G29)</f>
        <v>Yes</v>
      </c>
      <c r="C50" s="122" t="str">
        <f>IF(C38-'GW Stmt Activities Exh 2'!H29=0,"Yes",C38-'GW Stmt Activities Exh 2'!H29)</f>
        <v>Yes</v>
      </c>
      <c r="D50" s="122" t="str">
        <f>IF(D38-'GW Stmt Activities Exh 2'!I29=0,"Yes",D38-'GW Stmt Activities Exh 2'!I29)</f>
        <v>Yes</v>
      </c>
      <c r="E50" s="30"/>
      <c r="F50" s="30"/>
      <c r="G50" s="30"/>
      <c r="H50" s="30"/>
      <c r="I50" s="30"/>
      <c r="J50" s="30"/>
      <c r="K50" s="30"/>
      <c r="L50" s="30"/>
      <c r="M50" s="30"/>
      <c r="N50" s="30"/>
      <c r="O50" s="30"/>
      <c r="P50" s="10"/>
      <c r="Q50" s="10"/>
    </row>
    <row r="51" spans="1:17" ht="30.75" x14ac:dyDescent="0.25">
      <c r="A51" s="64" t="s">
        <v>289</v>
      </c>
      <c r="B51" s="122" t="str">
        <f>IF(B7-'Govt Funds Bal Sh Exh 3'!G9=0,"Yes",B7-'Govt Funds Bal Sh Exh 3'!G9)</f>
        <v>Yes</v>
      </c>
      <c r="C51" s="122" t="str">
        <f>IF(C7-'Enterprise Net Position Exh 6'!F12=0,"Yes",C7-'Enterprise Net Position Exh 6'!F12)</f>
        <v>Yes</v>
      </c>
      <c r="D51" s="122" t="str">
        <f>IF(D7-'Govt Funds Bal Sh Exh 3'!G9-'Enterprise Net Position Exh 6'!F12=0,"Yes",D7-'Govt Funds Bal Sh Exh 3'!G9-'Enterprise Net Position Exh 6'!F12)</f>
        <v>Yes</v>
      </c>
      <c r="E51" s="30"/>
      <c r="F51" s="30"/>
      <c r="G51" s="30"/>
      <c r="H51" s="30"/>
      <c r="I51" s="30"/>
      <c r="J51" s="30"/>
      <c r="K51" s="30"/>
      <c r="L51" s="30"/>
      <c r="M51" s="30"/>
      <c r="N51" s="30"/>
      <c r="O51" s="30"/>
      <c r="P51" s="10"/>
      <c r="Q51" s="10"/>
    </row>
    <row r="52" spans="1:17" ht="15.75" x14ac:dyDescent="0.25">
      <c r="A52" s="44"/>
      <c r="B52" s="90"/>
      <c r="C52" s="90"/>
      <c r="D52" s="90"/>
      <c r="E52" s="30"/>
      <c r="F52" s="30"/>
      <c r="G52" s="30"/>
      <c r="H52" s="30"/>
      <c r="I52" s="30"/>
      <c r="J52" s="30"/>
      <c r="K52" s="30"/>
      <c r="L52" s="30"/>
      <c r="M52" s="30"/>
      <c r="N52" s="30"/>
      <c r="O52" s="30"/>
      <c r="P52" s="10"/>
      <c r="Q52" s="10"/>
    </row>
    <row r="53" spans="1:17" ht="15.75" x14ac:dyDescent="0.25">
      <c r="A53" s="30"/>
      <c r="B53" s="90"/>
      <c r="C53" s="30"/>
      <c r="D53" s="30"/>
      <c r="E53" s="30"/>
      <c r="F53" s="30"/>
      <c r="G53" s="30"/>
      <c r="H53" s="30"/>
      <c r="I53" s="30"/>
      <c r="J53" s="30"/>
      <c r="K53" s="30"/>
      <c r="L53" s="30"/>
      <c r="M53" s="30"/>
      <c r="N53" s="30"/>
      <c r="O53" s="30"/>
      <c r="P53" s="10"/>
      <c r="Q53" s="10"/>
    </row>
    <row r="54" spans="1:17" ht="15.75" x14ac:dyDescent="0.25">
      <c r="A54" s="30"/>
      <c r="B54" s="30"/>
      <c r="C54" s="30"/>
      <c r="D54" s="30"/>
      <c r="E54" s="30"/>
      <c r="F54" s="30"/>
      <c r="G54" s="30"/>
      <c r="H54" s="30"/>
      <c r="I54" s="30"/>
      <c r="J54" s="30"/>
      <c r="K54" s="30"/>
      <c r="L54" s="30"/>
      <c r="M54" s="30"/>
      <c r="N54" s="30"/>
      <c r="O54" s="30"/>
      <c r="P54" s="10"/>
      <c r="Q54" s="10"/>
    </row>
    <row r="55" spans="1:17" ht="15.75" x14ac:dyDescent="0.25">
      <c r="A55" s="30"/>
      <c r="B55" s="30"/>
      <c r="C55" s="30"/>
      <c r="D55" s="30"/>
      <c r="E55" s="30"/>
      <c r="F55" s="30"/>
      <c r="G55" s="30"/>
      <c r="H55" s="30"/>
      <c r="I55" s="30"/>
      <c r="J55" s="30"/>
      <c r="K55" s="30"/>
      <c r="L55" s="30"/>
      <c r="M55" s="30"/>
      <c r="N55" s="30"/>
      <c r="O55" s="30"/>
      <c r="P55" s="10"/>
      <c r="Q55" s="10"/>
    </row>
    <row r="56" spans="1:17" ht="15.75" x14ac:dyDescent="0.25">
      <c r="A56" s="30"/>
      <c r="B56" s="30"/>
      <c r="C56" s="30"/>
      <c r="D56" s="30"/>
      <c r="E56" s="30"/>
      <c r="F56" s="30"/>
      <c r="G56" s="30"/>
      <c r="H56" s="30"/>
      <c r="I56" s="30"/>
      <c r="J56" s="30"/>
      <c r="K56" s="30"/>
      <c r="L56" s="30"/>
      <c r="M56" s="30"/>
      <c r="N56" s="30"/>
      <c r="O56" s="30"/>
      <c r="P56" s="10"/>
      <c r="Q56" s="10"/>
    </row>
    <row r="57" spans="1:17" ht="15.75" x14ac:dyDescent="0.25">
      <c r="A57" s="30"/>
      <c r="B57" s="30"/>
      <c r="C57" s="30"/>
      <c r="D57" s="30"/>
      <c r="E57" s="30"/>
      <c r="F57" s="30"/>
      <c r="G57" s="30"/>
      <c r="H57" s="30"/>
      <c r="I57" s="30"/>
      <c r="J57" s="30"/>
      <c r="K57" s="30"/>
      <c r="L57" s="30"/>
      <c r="M57" s="30"/>
      <c r="N57" s="30"/>
      <c r="O57" s="30"/>
      <c r="P57" s="10"/>
      <c r="Q57" s="10"/>
    </row>
    <row r="58" spans="1:17" ht="15.75" x14ac:dyDescent="0.25">
      <c r="A58" s="30"/>
      <c r="B58" s="30"/>
      <c r="C58" s="30"/>
      <c r="D58" s="30"/>
      <c r="E58" s="30"/>
      <c r="F58" s="30"/>
      <c r="G58" s="30"/>
      <c r="H58" s="30"/>
      <c r="I58" s="30"/>
      <c r="J58" s="30"/>
      <c r="K58" s="30"/>
      <c r="L58" s="30"/>
      <c r="M58" s="30"/>
      <c r="N58" s="30"/>
      <c r="O58" s="30"/>
      <c r="P58" s="10"/>
      <c r="Q58" s="10"/>
    </row>
    <row r="59" spans="1:17" ht="13.5" customHeight="1" x14ac:dyDescent="0.25">
      <c r="A59" s="30"/>
      <c r="B59" s="30"/>
      <c r="C59" s="30"/>
      <c r="D59" s="30"/>
      <c r="E59" s="30"/>
      <c r="F59" s="30"/>
      <c r="G59" s="30"/>
      <c r="H59" s="30"/>
      <c r="I59" s="30"/>
      <c r="J59" s="30"/>
      <c r="K59" s="30"/>
      <c r="L59" s="30"/>
      <c r="M59" s="30"/>
      <c r="N59" s="30"/>
      <c r="O59" s="30"/>
      <c r="P59" s="10"/>
      <c r="Q59" s="10"/>
    </row>
    <row r="60" spans="1:17" ht="15.75" x14ac:dyDescent="0.25">
      <c r="A60" s="30"/>
      <c r="B60" s="30"/>
      <c r="C60" s="30"/>
      <c r="D60" s="30"/>
      <c r="E60" s="30"/>
      <c r="F60" s="30"/>
      <c r="G60" s="30"/>
      <c r="H60" s="30"/>
      <c r="I60" s="30"/>
      <c r="J60" s="30"/>
      <c r="K60" s="30"/>
      <c r="L60" s="30"/>
      <c r="M60" s="30"/>
      <c r="N60" s="30"/>
      <c r="O60" s="30"/>
      <c r="P60" s="10"/>
      <c r="Q60" s="10"/>
    </row>
    <row r="61" spans="1:17" ht="15.75" x14ac:dyDescent="0.25">
      <c r="A61" s="10"/>
      <c r="B61" s="10"/>
      <c r="C61" s="10"/>
      <c r="D61" s="10"/>
      <c r="E61" s="10"/>
      <c r="F61" s="10"/>
      <c r="G61" s="10"/>
      <c r="H61" s="10"/>
      <c r="I61" s="10"/>
      <c r="J61" s="10"/>
      <c r="K61" s="10"/>
      <c r="L61" s="10"/>
      <c r="M61" s="10"/>
      <c r="N61" s="10"/>
      <c r="O61" s="10"/>
      <c r="P61" s="10"/>
      <c r="Q61" s="10"/>
    </row>
    <row r="62" spans="1:17" ht="15.75" x14ac:dyDescent="0.25">
      <c r="A62" s="10"/>
      <c r="B62" s="10"/>
      <c r="C62" s="10"/>
      <c r="D62" s="10"/>
      <c r="E62" s="10"/>
      <c r="F62" s="10"/>
      <c r="G62" s="10"/>
      <c r="H62" s="10"/>
      <c r="I62" s="10"/>
      <c r="J62" s="10"/>
      <c r="K62" s="10"/>
      <c r="L62" s="10"/>
      <c r="M62" s="10"/>
      <c r="N62" s="10"/>
      <c r="O62" s="10"/>
      <c r="P62" s="10"/>
      <c r="Q62" s="10"/>
    </row>
    <row r="63" spans="1:17" ht="15.75" x14ac:dyDescent="0.25">
      <c r="A63" s="10"/>
      <c r="B63" s="10"/>
      <c r="C63" s="10"/>
      <c r="D63" s="10"/>
      <c r="E63" s="10"/>
      <c r="F63" s="10"/>
      <c r="G63" s="10"/>
      <c r="H63" s="10"/>
      <c r="I63" s="10"/>
      <c r="J63" s="10"/>
      <c r="K63" s="10"/>
      <c r="L63" s="10"/>
      <c r="M63" s="10"/>
      <c r="N63" s="10"/>
      <c r="O63" s="10"/>
      <c r="P63" s="10"/>
      <c r="Q63" s="10"/>
    </row>
    <row r="64" spans="1:17" ht="15.75" x14ac:dyDescent="0.25">
      <c r="A64" s="10"/>
      <c r="B64" s="10"/>
      <c r="C64" s="10"/>
      <c r="D64" s="10"/>
      <c r="E64" s="10"/>
      <c r="F64" s="10"/>
      <c r="G64" s="10"/>
      <c r="H64" s="10"/>
      <c r="I64" s="10"/>
      <c r="J64" s="10"/>
      <c r="K64" s="10"/>
      <c r="L64" s="10"/>
      <c r="M64" s="10"/>
      <c r="N64" s="10"/>
      <c r="O64" s="10"/>
      <c r="P64" s="10"/>
      <c r="Q64" s="10"/>
    </row>
    <row r="65" spans="1:17" ht="15.75" x14ac:dyDescent="0.25">
      <c r="A65" s="10"/>
      <c r="B65" s="10"/>
      <c r="C65" s="10"/>
      <c r="D65" s="10"/>
      <c r="E65" s="10"/>
      <c r="F65" s="10"/>
      <c r="G65" s="10"/>
      <c r="H65" s="10"/>
      <c r="I65" s="10"/>
      <c r="J65" s="10"/>
      <c r="K65" s="10"/>
      <c r="L65" s="10"/>
      <c r="M65" s="10"/>
      <c r="N65" s="10"/>
      <c r="O65" s="10"/>
      <c r="P65" s="10"/>
      <c r="Q65" s="10"/>
    </row>
    <row r="66" spans="1:17" ht="15.75" x14ac:dyDescent="0.25">
      <c r="A66" s="10"/>
      <c r="B66" s="10"/>
      <c r="C66" s="10"/>
      <c r="D66" s="10"/>
      <c r="E66" s="10"/>
      <c r="F66" s="10"/>
      <c r="G66" s="10"/>
      <c r="H66" s="10"/>
      <c r="I66" s="10"/>
      <c r="J66" s="10"/>
      <c r="K66" s="10"/>
      <c r="L66" s="10"/>
      <c r="M66" s="10"/>
      <c r="N66" s="10"/>
      <c r="O66" s="10"/>
      <c r="P66" s="10"/>
      <c r="Q66" s="10"/>
    </row>
    <row r="67" spans="1:17" ht="15.75" x14ac:dyDescent="0.25">
      <c r="A67" s="10"/>
      <c r="B67" s="10"/>
      <c r="C67" s="10"/>
      <c r="D67" s="10"/>
      <c r="E67" s="10"/>
      <c r="F67" s="10"/>
      <c r="G67" s="10"/>
      <c r="H67" s="10"/>
      <c r="I67" s="10"/>
      <c r="J67" s="10"/>
      <c r="K67" s="10"/>
      <c r="L67" s="10"/>
      <c r="M67" s="10"/>
      <c r="N67" s="10"/>
      <c r="O67" s="10"/>
      <c r="P67" s="10"/>
      <c r="Q67" s="10"/>
    </row>
    <row r="68" spans="1:17" ht="15.75" x14ac:dyDescent="0.25">
      <c r="A68" s="10"/>
      <c r="B68" s="10"/>
      <c r="C68" s="10"/>
      <c r="D68" s="10"/>
      <c r="E68" s="10"/>
      <c r="F68" s="10"/>
      <c r="G68" s="10"/>
      <c r="H68" s="10"/>
      <c r="I68" s="10"/>
      <c r="J68" s="10"/>
      <c r="K68" s="10"/>
      <c r="L68" s="10"/>
      <c r="M68" s="10"/>
      <c r="N68" s="10"/>
      <c r="O68" s="10"/>
      <c r="P68" s="10"/>
      <c r="Q68" s="10"/>
    </row>
    <row r="69" spans="1:17" ht="15.75" x14ac:dyDescent="0.25">
      <c r="A69" s="10"/>
      <c r="B69" s="10"/>
      <c r="C69" s="10"/>
      <c r="D69" s="10"/>
      <c r="E69" s="10"/>
      <c r="F69" s="10"/>
      <c r="G69" s="10"/>
      <c r="H69" s="10"/>
      <c r="I69" s="10"/>
      <c r="J69" s="10"/>
      <c r="K69" s="10"/>
      <c r="L69" s="10"/>
      <c r="M69" s="10"/>
      <c r="N69" s="10"/>
      <c r="O69" s="10"/>
      <c r="P69" s="10"/>
      <c r="Q69" s="10"/>
    </row>
    <row r="70" spans="1:17" ht="15.75" x14ac:dyDescent="0.25">
      <c r="A70" s="10"/>
      <c r="B70" s="10"/>
      <c r="C70" s="10"/>
      <c r="D70" s="10"/>
      <c r="E70" s="10"/>
      <c r="F70" s="10"/>
      <c r="G70" s="10"/>
      <c r="H70" s="10"/>
      <c r="I70" s="10"/>
      <c r="J70" s="10"/>
      <c r="K70" s="10"/>
      <c r="L70" s="10"/>
      <c r="M70" s="10"/>
      <c r="N70" s="10"/>
      <c r="O70" s="10"/>
      <c r="P70" s="10"/>
      <c r="Q70" s="10"/>
    </row>
    <row r="71" spans="1:17" ht="15.75" x14ac:dyDescent="0.25">
      <c r="A71" s="10"/>
      <c r="B71" s="10"/>
      <c r="C71" s="10"/>
      <c r="D71" s="10"/>
      <c r="E71" s="10"/>
      <c r="F71" s="10"/>
      <c r="G71" s="10"/>
      <c r="H71" s="10"/>
      <c r="I71" s="10"/>
      <c r="J71" s="10"/>
      <c r="K71" s="10"/>
      <c r="L71" s="10"/>
      <c r="M71" s="10"/>
      <c r="N71" s="10"/>
      <c r="O71" s="10"/>
      <c r="P71" s="10"/>
      <c r="Q71" s="10"/>
    </row>
    <row r="72" spans="1:17" ht="15.75" x14ac:dyDescent="0.25">
      <c r="A72" s="10"/>
      <c r="B72" s="10"/>
      <c r="C72" s="10"/>
      <c r="D72" s="10"/>
      <c r="E72" s="10"/>
      <c r="F72" s="10"/>
      <c r="G72" s="10"/>
      <c r="H72" s="10"/>
      <c r="I72" s="10"/>
      <c r="J72" s="10"/>
      <c r="K72" s="10"/>
      <c r="L72" s="10"/>
      <c r="M72" s="10"/>
      <c r="N72" s="10"/>
      <c r="O72" s="10"/>
      <c r="P72" s="10"/>
      <c r="Q72" s="10"/>
    </row>
    <row r="73" spans="1:17" ht="15.75" x14ac:dyDescent="0.25">
      <c r="A73" s="10"/>
      <c r="B73" s="10"/>
      <c r="C73" s="10"/>
      <c r="D73" s="10"/>
      <c r="E73" s="10"/>
      <c r="F73" s="10"/>
      <c r="G73" s="10"/>
      <c r="H73" s="10"/>
      <c r="I73" s="10"/>
      <c r="J73" s="10"/>
      <c r="K73" s="10"/>
      <c r="L73" s="10"/>
      <c r="M73" s="10"/>
      <c r="N73" s="10"/>
      <c r="O73" s="10"/>
      <c r="P73" s="10"/>
      <c r="Q73" s="10"/>
    </row>
    <row r="74" spans="1:17" ht="15.75" x14ac:dyDescent="0.25">
      <c r="A74" s="10"/>
      <c r="B74" s="10"/>
      <c r="C74" s="10"/>
      <c r="D74" s="10"/>
      <c r="E74" s="10"/>
      <c r="F74" s="10"/>
      <c r="G74" s="10"/>
      <c r="H74" s="10"/>
      <c r="I74" s="10"/>
      <c r="J74" s="10"/>
      <c r="K74" s="10"/>
      <c r="L74" s="10"/>
      <c r="M74" s="10"/>
      <c r="N74" s="10"/>
      <c r="O74" s="10"/>
      <c r="P74" s="10"/>
      <c r="Q74" s="10"/>
    </row>
    <row r="75" spans="1:17" ht="15.75" x14ac:dyDescent="0.25">
      <c r="A75" s="10"/>
      <c r="B75" s="10"/>
      <c r="C75" s="10"/>
      <c r="D75" s="10"/>
      <c r="E75" s="10"/>
      <c r="F75" s="10"/>
      <c r="G75" s="10"/>
      <c r="H75" s="10"/>
      <c r="I75" s="10"/>
      <c r="J75" s="10"/>
      <c r="K75" s="10"/>
      <c r="L75" s="10"/>
      <c r="M75" s="10"/>
      <c r="N75" s="10"/>
      <c r="O75" s="10"/>
      <c r="P75" s="10"/>
      <c r="Q75" s="10"/>
    </row>
    <row r="76" spans="1:17" ht="15.75" x14ac:dyDescent="0.25">
      <c r="A76" s="10"/>
      <c r="B76" s="10"/>
      <c r="C76" s="10"/>
      <c r="D76" s="10"/>
      <c r="E76" s="10"/>
      <c r="F76" s="10"/>
      <c r="G76" s="10"/>
      <c r="H76" s="10"/>
      <c r="I76" s="10"/>
      <c r="J76" s="10"/>
      <c r="K76" s="10"/>
      <c r="L76" s="10"/>
      <c r="M76" s="10"/>
      <c r="N76" s="10"/>
      <c r="O76" s="10"/>
      <c r="P76" s="10"/>
      <c r="Q76" s="10"/>
    </row>
    <row r="77" spans="1:17" ht="15.75" x14ac:dyDescent="0.25">
      <c r="A77" s="10"/>
      <c r="B77" s="10"/>
      <c r="C77" s="10"/>
      <c r="D77" s="10"/>
      <c r="E77" s="10"/>
      <c r="F77" s="10"/>
      <c r="G77" s="10"/>
      <c r="H77" s="10"/>
      <c r="I77" s="10"/>
      <c r="J77" s="10"/>
      <c r="K77" s="10"/>
      <c r="L77" s="10"/>
      <c r="M77" s="10"/>
      <c r="N77" s="10"/>
      <c r="O77" s="10"/>
      <c r="P77" s="10"/>
      <c r="Q77" s="10"/>
    </row>
    <row r="78" spans="1:17" ht="15.75" x14ac:dyDescent="0.25">
      <c r="A78" s="10"/>
      <c r="B78" s="10"/>
      <c r="C78" s="10"/>
      <c r="D78" s="10"/>
      <c r="E78" s="10"/>
      <c r="F78" s="10"/>
      <c r="G78" s="10"/>
      <c r="H78" s="10"/>
      <c r="I78" s="10"/>
      <c r="J78" s="10"/>
      <c r="K78" s="10"/>
      <c r="L78" s="10"/>
      <c r="M78" s="10"/>
      <c r="N78" s="10"/>
      <c r="O78" s="10"/>
      <c r="P78" s="10"/>
      <c r="Q78" s="10"/>
    </row>
    <row r="79" spans="1:17" ht="15.75" x14ac:dyDescent="0.25">
      <c r="A79" s="10"/>
      <c r="B79" s="10"/>
      <c r="C79" s="10"/>
      <c r="D79" s="10"/>
      <c r="E79" s="10"/>
      <c r="F79" s="10"/>
      <c r="G79" s="10"/>
      <c r="H79" s="10"/>
      <c r="I79" s="10"/>
      <c r="J79" s="10"/>
      <c r="K79" s="10"/>
      <c r="L79" s="10"/>
      <c r="M79" s="10"/>
      <c r="N79" s="10"/>
      <c r="O79" s="10"/>
      <c r="P79" s="10"/>
      <c r="Q79" s="10"/>
    </row>
    <row r="80" spans="1:17" ht="15.75" x14ac:dyDescent="0.25">
      <c r="A80" s="10"/>
      <c r="B80" s="10"/>
      <c r="C80" s="10"/>
      <c r="D80" s="10"/>
      <c r="E80" s="10"/>
      <c r="F80" s="10"/>
      <c r="G80" s="10"/>
      <c r="H80" s="10"/>
      <c r="I80" s="10"/>
      <c r="J80" s="10"/>
      <c r="K80" s="10"/>
      <c r="L80" s="10"/>
      <c r="M80" s="10"/>
      <c r="N80" s="10"/>
      <c r="O80" s="10"/>
      <c r="P80" s="10"/>
      <c r="Q80" s="10"/>
    </row>
    <row r="81" spans="1:17" ht="15.75" x14ac:dyDescent="0.25">
      <c r="A81" s="10"/>
      <c r="B81" s="10"/>
      <c r="C81" s="10"/>
      <c r="D81" s="10"/>
      <c r="E81" s="10"/>
      <c r="F81" s="10"/>
      <c r="G81" s="10"/>
      <c r="H81" s="10"/>
      <c r="I81" s="10"/>
      <c r="J81" s="10"/>
      <c r="K81" s="10"/>
      <c r="L81" s="10"/>
      <c r="M81" s="10"/>
      <c r="N81" s="10"/>
      <c r="O81" s="10"/>
      <c r="P81" s="10"/>
      <c r="Q81" s="10"/>
    </row>
    <row r="82" spans="1:17" ht="15.75" x14ac:dyDescent="0.25">
      <c r="A82" s="10"/>
      <c r="B82" s="10"/>
      <c r="C82" s="10"/>
      <c r="D82" s="10"/>
      <c r="E82" s="10"/>
      <c r="F82" s="10"/>
      <c r="G82" s="10"/>
      <c r="H82" s="10"/>
      <c r="I82" s="10"/>
      <c r="J82" s="10"/>
      <c r="K82" s="10"/>
      <c r="L82" s="10"/>
      <c r="M82" s="10"/>
      <c r="N82" s="10"/>
      <c r="O82" s="10"/>
      <c r="P82" s="10"/>
      <c r="Q82" s="10"/>
    </row>
    <row r="83" spans="1:17" ht="15.75" x14ac:dyDescent="0.25">
      <c r="A83" s="10"/>
      <c r="B83" s="10"/>
      <c r="C83" s="10"/>
      <c r="D83" s="10"/>
      <c r="E83" s="10"/>
      <c r="F83" s="10"/>
      <c r="G83" s="10"/>
      <c r="H83" s="10"/>
      <c r="I83" s="10"/>
      <c r="J83" s="10"/>
      <c r="K83" s="10"/>
      <c r="L83" s="10"/>
      <c r="M83" s="10"/>
      <c r="N83" s="10"/>
      <c r="O83" s="10"/>
      <c r="P83" s="10"/>
      <c r="Q83" s="10"/>
    </row>
    <row r="84" spans="1:17" ht="15.75" x14ac:dyDescent="0.25">
      <c r="A84" s="10"/>
      <c r="B84" s="10"/>
      <c r="C84" s="10"/>
      <c r="D84" s="10"/>
      <c r="E84" s="10"/>
      <c r="F84" s="10"/>
      <c r="G84" s="10"/>
      <c r="H84" s="10"/>
      <c r="I84" s="10"/>
      <c r="J84" s="10"/>
      <c r="K84" s="10"/>
      <c r="L84" s="10"/>
      <c r="M84" s="10"/>
      <c r="N84" s="10"/>
      <c r="O84" s="10"/>
      <c r="P84" s="10"/>
      <c r="Q84" s="10"/>
    </row>
    <row r="85" spans="1:17" ht="15.75" x14ac:dyDescent="0.25">
      <c r="A85" s="10"/>
      <c r="B85" s="10"/>
      <c r="C85" s="10"/>
      <c r="D85" s="10"/>
      <c r="E85" s="10"/>
      <c r="F85" s="10"/>
      <c r="G85" s="10"/>
      <c r="H85" s="10"/>
      <c r="I85" s="10"/>
      <c r="J85" s="10"/>
      <c r="K85" s="10"/>
      <c r="L85" s="10"/>
      <c r="M85" s="10"/>
      <c r="N85" s="10"/>
      <c r="O85" s="10"/>
      <c r="P85" s="10"/>
      <c r="Q85" s="10"/>
    </row>
    <row r="86" spans="1:17" ht="15.75" x14ac:dyDescent="0.25">
      <c r="A86" s="10"/>
      <c r="B86" s="10"/>
      <c r="C86" s="10"/>
      <c r="D86" s="10"/>
      <c r="E86" s="10"/>
      <c r="F86" s="10"/>
      <c r="G86" s="10"/>
      <c r="H86" s="10"/>
      <c r="I86" s="10"/>
      <c r="J86" s="10"/>
      <c r="K86" s="10"/>
      <c r="L86" s="10"/>
      <c r="M86" s="10"/>
      <c r="N86" s="10"/>
      <c r="O86" s="10"/>
      <c r="P86" s="10"/>
      <c r="Q86" s="10"/>
    </row>
    <row r="87" spans="1:17" ht="15.75" x14ac:dyDescent="0.25">
      <c r="A87" s="10"/>
      <c r="B87" s="10"/>
      <c r="C87" s="10"/>
      <c r="D87" s="10"/>
      <c r="E87" s="10"/>
      <c r="F87" s="10"/>
      <c r="G87" s="10"/>
      <c r="H87" s="10"/>
      <c r="I87" s="10"/>
      <c r="J87" s="10"/>
      <c r="K87" s="10"/>
      <c r="L87" s="10"/>
      <c r="M87" s="10"/>
      <c r="N87" s="10"/>
      <c r="O87" s="10"/>
      <c r="P87" s="10"/>
      <c r="Q87" s="10"/>
    </row>
    <row r="88" spans="1:17" ht="15.75" x14ac:dyDescent="0.25">
      <c r="A88" s="10"/>
      <c r="B88" s="10"/>
      <c r="C88" s="10"/>
      <c r="D88" s="10"/>
      <c r="E88" s="10"/>
      <c r="F88" s="10"/>
      <c r="G88" s="10"/>
      <c r="H88" s="10"/>
      <c r="I88" s="10"/>
      <c r="J88" s="10"/>
      <c r="K88" s="10"/>
      <c r="L88" s="10"/>
      <c r="M88" s="10"/>
      <c r="N88" s="10"/>
      <c r="O88" s="10"/>
      <c r="P88" s="10"/>
      <c r="Q88" s="10"/>
    </row>
    <row r="89" spans="1:17" ht="15.75" x14ac:dyDescent="0.25">
      <c r="A89" s="10"/>
      <c r="B89" s="10"/>
      <c r="C89" s="10"/>
      <c r="D89" s="10"/>
      <c r="E89" s="10"/>
      <c r="F89" s="10"/>
      <c r="G89" s="10"/>
      <c r="H89" s="10"/>
      <c r="I89" s="10"/>
      <c r="J89" s="10"/>
      <c r="K89" s="10"/>
      <c r="L89" s="10"/>
      <c r="M89" s="10"/>
      <c r="N89" s="10"/>
      <c r="O89" s="10"/>
      <c r="P89" s="10"/>
      <c r="Q89" s="10"/>
    </row>
    <row r="90" spans="1:17" ht="15.75" x14ac:dyDescent="0.25">
      <c r="A90" s="10"/>
      <c r="B90" s="10"/>
      <c r="C90" s="10"/>
      <c r="D90" s="10"/>
      <c r="E90" s="10"/>
      <c r="F90" s="10"/>
      <c r="G90" s="10"/>
      <c r="H90" s="10"/>
      <c r="I90" s="10"/>
      <c r="J90" s="10"/>
      <c r="K90" s="10"/>
      <c r="L90" s="10"/>
      <c r="M90" s="10"/>
      <c r="N90" s="10"/>
      <c r="O90" s="10"/>
      <c r="P90" s="10"/>
      <c r="Q90" s="10"/>
    </row>
    <row r="91" spans="1:17" ht="15.75" x14ac:dyDescent="0.25">
      <c r="A91" s="10"/>
      <c r="B91" s="10"/>
      <c r="C91" s="10"/>
      <c r="D91" s="10"/>
      <c r="E91" s="10"/>
      <c r="F91" s="10"/>
      <c r="G91" s="10"/>
      <c r="H91" s="10"/>
      <c r="I91" s="10"/>
      <c r="J91" s="10"/>
      <c r="K91" s="10"/>
      <c r="L91" s="10"/>
      <c r="M91" s="10"/>
      <c r="N91" s="10"/>
      <c r="O91" s="10"/>
      <c r="P91" s="10"/>
      <c r="Q91" s="10"/>
    </row>
    <row r="92" spans="1:17" ht="15.75" x14ac:dyDescent="0.25">
      <c r="A92" s="10"/>
      <c r="B92" s="10"/>
      <c r="C92" s="10"/>
      <c r="D92" s="10"/>
      <c r="E92" s="10"/>
      <c r="F92" s="10"/>
      <c r="G92" s="10"/>
      <c r="H92" s="10"/>
      <c r="I92" s="10"/>
      <c r="J92" s="10"/>
      <c r="K92" s="10"/>
      <c r="L92" s="10"/>
      <c r="M92" s="10"/>
      <c r="N92" s="10"/>
      <c r="O92" s="10"/>
      <c r="P92" s="10"/>
      <c r="Q92" s="10"/>
    </row>
    <row r="93" spans="1:17" ht="15.75" x14ac:dyDescent="0.25">
      <c r="A93" s="10"/>
      <c r="B93" s="10"/>
      <c r="C93" s="10"/>
      <c r="D93" s="10"/>
      <c r="E93" s="10"/>
      <c r="F93" s="10"/>
      <c r="G93" s="10"/>
      <c r="H93" s="10"/>
      <c r="I93" s="10"/>
      <c r="J93" s="10"/>
      <c r="K93" s="10"/>
      <c r="L93" s="10"/>
      <c r="M93" s="10"/>
      <c r="N93" s="10"/>
      <c r="O93" s="10"/>
      <c r="P93" s="10"/>
      <c r="Q93" s="10"/>
    </row>
    <row r="94" spans="1:17" ht="15.75" x14ac:dyDescent="0.25">
      <c r="A94" s="10"/>
      <c r="B94" s="10"/>
      <c r="C94" s="10"/>
      <c r="D94" s="10"/>
      <c r="E94" s="10"/>
      <c r="F94" s="10"/>
      <c r="G94" s="10"/>
      <c r="H94" s="10"/>
      <c r="I94" s="10"/>
      <c r="J94" s="10"/>
      <c r="K94" s="10"/>
      <c r="L94" s="10"/>
      <c r="M94" s="10"/>
      <c r="N94" s="10"/>
      <c r="O94" s="10"/>
      <c r="P94" s="10"/>
      <c r="Q94" s="10"/>
    </row>
    <row r="95" spans="1:17" ht="15.75" x14ac:dyDescent="0.25">
      <c r="A95" s="10"/>
      <c r="B95" s="10"/>
      <c r="C95" s="10"/>
      <c r="D95" s="10"/>
      <c r="E95" s="10"/>
      <c r="F95" s="10"/>
      <c r="G95" s="10"/>
      <c r="H95" s="10"/>
      <c r="I95" s="10"/>
      <c r="J95" s="10"/>
      <c r="K95" s="10"/>
      <c r="L95" s="10"/>
      <c r="M95" s="10"/>
      <c r="N95" s="10"/>
      <c r="O95" s="10"/>
      <c r="P95" s="10"/>
      <c r="Q95" s="10"/>
    </row>
    <row r="96" spans="1:17" ht="15.75" x14ac:dyDescent="0.25">
      <c r="A96" s="10"/>
      <c r="B96" s="10"/>
      <c r="C96" s="10"/>
      <c r="D96" s="10"/>
      <c r="E96" s="10"/>
      <c r="F96" s="10"/>
      <c r="G96" s="10"/>
      <c r="H96" s="10"/>
      <c r="I96" s="10"/>
      <c r="J96" s="10"/>
      <c r="K96" s="10"/>
      <c r="L96" s="10"/>
      <c r="M96" s="10"/>
      <c r="N96" s="10"/>
      <c r="O96" s="10"/>
      <c r="P96" s="10"/>
      <c r="Q96" s="10"/>
    </row>
    <row r="97" spans="1:17" ht="15.75" x14ac:dyDescent="0.25">
      <c r="A97" s="10"/>
      <c r="B97" s="10"/>
      <c r="C97" s="10"/>
      <c r="D97" s="10"/>
      <c r="E97" s="10"/>
      <c r="F97" s="10"/>
      <c r="G97" s="10"/>
      <c r="H97" s="10"/>
      <c r="I97" s="10"/>
      <c r="J97" s="10"/>
      <c r="K97" s="10"/>
      <c r="L97" s="10"/>
      <c r="M97" s="10"/>
      <c r="N97" s="10"/>
      <c r="O97" s="10"/>
      <c r="P97" s="10"/>
      <c r="Q97" s="10"/>
    </row>
    <row r="98" spans="1:17" ht="15.75" x14ac:dyDescent="0.25">
      <c r="A98" s="10"/>
      <c r="B98" s="10"/>
      <c r="C98" s="10"/>
      <c r="D98" s="10"/>
      <c r="E98" s="10"/>
      <c r="F98" s="10"/>
      <c r="G98" s="10"/>
      <c r="H98" s="10"/>
      <c r="I98" s="10"/>
      <c r="J98" s="10"/>
      <c r="K98" s="10"/>
      <c r="L98" s="10"/>
      <c r="M98" s="10"/>
      <c r="N98" s="10"/>
      <c r="O98" s="10"/>
      <c r="P98" s="10"/>
      <c r="Q98" s="10"/>
    </row>
    <row r="99" spans="1:17" ht="15.75" x14ac:dyDescent="0.25">
      <c r="A99" s="10"/>
      <c r="B99" s="10"/>
      <c r="C99" s="10"/>
      <c r="D99" s="10"/>
      <c r="E99" s="10"/>
      <c r="F99" s="10"/>
      <c r="G99" s="10"/>
      <c r="H99" s="10"/>
      <c r="I99" s="10"/>
      <c r="J99" s="10"/>
      <c r="K99" s="10"/>
      <c r="L99" s="10"/>
      <c r="M99" s="10"/>
      <c r="N99" s="10"/>
      <c r="O99" s="10"/>
      <c r="P99" s="10"/>
      <c r="Q99" s="10"/>
    </row>
    <row r="100" spans="1:17" ht="15.75" x14ac:dyDescent="0.25">
      <c r="A100" s="10"/>
      <c r="B100" s="10"/>
      <c r="C100" s="10"/>
      <c r="D100" s="10"/>
      <c r="E100" s="10"/>
      <c r="F100" s="10"/>
      <c r="G100" s="10"/>
      <c r="H100" s="10"/>
      <c r="I100" s="10"/>
      <c r="J100" s="10"/>
      <c r="K100" s="10"/>
      <c r="L100" s="10"/>
      <c r="M100" s="10"/>
      <c r="N100" s="10"/>
      <c r="O100" s="10"/>
      <c r="P100" s="10"/>
      <c r="Q100" s="10"/>
    </row>
  </sheetData>
  <mergeCells count="5">
    <mergeCell ref="A40:D41"/>
    <mergeCell ref="A1:E1"/>
    <mergeCell ref="A2:E2"/>
    <mergeCell ref="A3:E3"/>
    <mergeCell ref="I1:O3"/>
  </mergeCells>
  <phoneticPr fontId="0" type="noConversion"/>
  <conditionalFormatting sqref="B49:D51">
    <cfRule type="cellIs" dxfId="98" priority="1" stopIfTrue="1" operator="notEqual">
      <formula>"Yes"</formula>
    </cfRule>
  </conditionalFormatting>
  <pageMargins left="0.75" right="0.75" top="0.75" bottom="0.75" header="0.5" footer="0.5"/>
  <pageSetup scale="97" firstPageNumber="19" orientation="portrait" useFirstPageNumber="1" r:id="rId1"/>
  <headerFooter alignWithMargins="0">
    <oddHeader>&amp;R&amp;12Exhibit 1</oddHeader>
    <oddFooter>&amp;L&amp;12Revised:  July 2020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43.7109375" customWidth="1"/>
    <col min="2" max="3" width="16.7109375" customWidth="1"/>
    <col min="4" max="4" width="16.7109375" hidden="1" customWidth="1"/>
    <col min="5" max="6" width="16.7109375" customWidth="1"/>
    <col min="8" max="9" width="14.7109375" customWidth="1"/>
  </cols>
  <sheetData>
    <row r="1" spans="1:9" ht="15.75" x14ac:dyDescent="0.25">
      <c r="A1" s="342" t="str">
        <f>'GW Net Position Exh 1'!A1</f>
        <v>Owl Charter, Inc.</v>
      </c>
      <c r="B1" s="342"/>
      <c r="C1" s="342"/>
      <c r="D1" s="342"/>
      <c r="E1" s="342"/>
    </row>
    <row r="2" spans="1:9" ht="15.75" x14ac:dyDescent="0.25">
      <c r="A2" s="383" t="s">
        <v>352</v>
      </c>
      <c r="B2" s="383"/>
      <c r="C2" s="383"/>
      <c r="D2" s="383"/>
      <c r="E2" s="383"/>
      <c r="F2" s="21"/>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3'!D7</f>
        <v>Owl - Erudio</v>
      </c>
      <c r="C5" s="372"/>
      <c r="D5" s="372"/>
      <c r="E5" s="372"/>
    </row>
    <row r="6" spans="1:9" ht="17.25" customHeight="1" x14ac:dyDescent="0.35">
      <c r="A6" s="20"/>
      <c r="B6" s="338" t="s">
        <v>350</v>
      </c>
      <c r="C6" s="338"/>
      <c r="D6" s="338"/>
      <c r="E6" s="338"/>
    </row>
    <row r="7" spans="1:9" ht="36" customHeight="1" x14ac:dyDescent="0.35">
      <c r="A7" s="20"/>
      <c r="B7" s="27" t="s">
        <v>351</v>
      </c>
      <c r="C7" s="26" t="s">
        <v>408</v>
      </c>
      <c r="D7" s="26" t="s">
        <v>225</v>
      </c>
      <c r="E7" s="26" t="s">
        <v>345</v>
      </c>
      <c r="H7" s="320" t="s">
        <v>403</v>
      </c>
      <c r="I7" s="325" t="s">
        <v>391</v>
      </c>
    </row>
    <row r="8" spans="1:9" ht="17.25" x14ac:dyDescent="0.35">
      <c r="A8" s="113" t="s">
        <v>262</v>
      </c>
      <c r="H8" s="27"/>
    </row>
    <row r="9" spans="1:9" ht="15" x14ac:dyDescent="0.2">
      <c r="A9" s="104" t="s">
        <v>79</v>
      </c>
      <c r="B9" s="138">
        <f>'Enterprise Cash Flow Exh 8'!K11</f>
        <v>14511</v>
      </c>
      <c r="C9" s="138">
        <f>'Enterprise Cash Flow Exh 8'!N11</f>
        <v>9176</v>
      </c>
      <c r="D9" s="138">
        <v>0</v>
      </c>
      <c r="E9" s="29">
        <f>SUM(B9:D9)</f>
        <v>23687</v>
      </c>
      <c r="H9" s="146" t="str">
        <f>IF(E9-'Enterprise Cash Flow Exh 8'!C11=0,"Yes",E9-'Enterprise Cash Flow Exh 8'!C11)</f>
        <v>Yes</v>
      </c>
      <c r="I9" s="322" t="str">
        <f>IF(((ABS(B9)+ABS(C9)+ABS(D9)+ABS(E9))=0),"Hide Row?"," ")</f>
        <v xml:space="preserve"> </v>
      </c>
    </row>
    <row r="10" spans="1:9" ht="15" x14ac:dyDescent="0.2">
      <c r="A10" s="240" t="s">
        <v>55</v>
      </c>
      <c r="B10" s="139">
        <f>'Enterprise Cash Flow Exh 8'!K12</f>
        <v>-24551</v>
      </c>
      <c r="C10" s="139">
        <f>'Enterprise Cash Flow Exh 8'!N12</f>
        <v>-1131</v>
      </c>
      <c r="D10" s="139">
        <v>0</v>
      </c>
      <c r="E10" s="47">
        <f>SUM(B10:D10)</f>
        <v>-25682</v>
      </c>
      <c r="H10" s="146" t="str">
        <f>IF(E10-'Enterprise Cash Flow Exh 8'!C12=0,"Yes",E10-'Enterprise Cash Flow Exh 8'!C12)</f>
        <v>Yes</v>
      </c>
      <c r="I10" s="322" t="str">
        <f t="shared" ref="I10:I33" si="0">IF(((ABS(B10)+ABS(C10)+ABS(D10)+ABS(E10))=0),"Hide Row?"," ")</f>
        <v xml:space="preserve"> </v>
      </c>
    </row>
    <row r="11" spans="1:9" ht="17.25" x14ac:dyDescent="0.35">
      <c r="A11" s="240" t="s">
        <v>109</v>
      </c>
      <c r="B11" s="140">
        <f>'Enterprise Cash Flow Exh 8'!K13</f>
        <v>-3936</v>
      </c>
      <c r="C11" s="140">
        <f>'Enterprise Cash Flow Exh 8'!N13</f>
        <v>-7214</v>
      </c>
      <c r="D11" s="140">
        <v>0</v>
      </c>
      <c r="E11" s="98">
        <f>SUM(B11:D11)</f>
        <v>-11150</v>
      </c>
      <c r="H11" s="146" t="str">
        <f>IF(E11-'Enterprise Cash Flow Exh 8'!C13=0,"Yes",E11-'Enterprise Cash Flow Exh 8'!C13)</f>
        <v>Yes</v>
      </c>
      <c r="I11" s="322" t="str">
        <f t="shared" si="0"/>
        <v xml:space="preserve"> </v>
      </c>
    </row>
    <row r="12" spans="1:9" ht="30" x14ac:dyDescent="0.35">
      <c r="A12" s="175" t="s">
        <v>56</v>
      </c>
      <c r="B12" s="94">
        <f>SUM(B9:B11)</f>
        <v>-13976</v>
      </c>
      <c r="C12" s="94">
        <f>SUM(C9:C11)</f>
        <v>831</v>
      </c>
      <c r="D12" s="94">
        <f>SUM(D9:D11)</f>
        <v>0</v>
      </c>
      <c r="E12" s="94">
        <f>SUM(E9:E11)</f>
        <v>-13145</v>
      </c>
      <c r="F12" s="94"/>
      <c r="H12" s="146" t="str">
        <f>IF(E12-'Enterprise Cash Flow Exh 8'!C14=0,"Yes",E12-'Enterprise Cash Flow Exh 8'!C14)</f>
        <v>Yes</v>
      </c>
      <c r="I12" s="322" t="str">
        <f t="shared" si="0"/>
        <v xml:space="preserve"> </v>
      </c>
    </row>
    <row r="13" spans="1:9" ht="36" customHeight="1" x14ac:dyDescent="0.25">
      <c r="A13" s="113" t="s">
        <v>263</v>
      </c>
      <c r="I13" s="322"/>
    </row>
    <row r="14" spans="1:9" ht="17.25" x14ac:dyDescent="0.35">
      <c r="A14" s="240" t="s">
        <v>108</v>
      </c>
      <c r="B14" s="140">
        <f>'Enterprise Cash Flow Exh 8'!K16</f>
        <v>18077</v>
      </c>
      <c r="C14" s="140">
        <f>'Enterprise Cash Flow Exh 8'!N16</f>
        <v>0</v>
      </c>
      <c r="D14" s="140">
        <v>0</v>
      </c>
      <c r="E14" s="98">
        <f>SUM(B14:D14)</f>
        <v>18077</v>
      </c>
      <c r="H14" s="146" t="str">
        <f>IF(E14-'Enterprise Cash Flow Exh 8'!C16=0,"Yes",E14-'Enterprise Cash Flow Exh 8'!C16)</f>
        <v>Yes</v>
      </c>
      <c r="I14" s="322" t="str">
        <f t="shared" si="0"/>
        <v xml:space="preserve"> </v>
      </c>
    </row>
    <row r="15" spans="1:9" ht="36" customHeight="1" x14ac:dyDescent="0.25">
      <c r="A15" s="113" t="s">
        <v>264</v>
      </c>
      <c r="I15" s="322"/>
    </row>
    <row r="16" spans="1:9" ht="15" x14ac:dyDescent="0.2">
      <c r="A16" s="240" t="s">
        <v>135</v>
      </c>
      <c r="B16" s="139">
        <f>'Enterprise Cash Flow Exh 8'!K18</f>
        <v>0</v>
      </c>
      <c r="C16" s="139">
        <f>'Enterprise Cash Flow Exh 8'!N18</f>
        <v>570</v>
      </c>
      <c r="D16" s="139">
        <v>0</v>
      </c>
      <c r="E16" s="47">
        <f>SUM(B16:D16)</f>
        <v>570</v>
      </c>
      <c r="H16" s="146" t="str">
        <f>IF(E16-'Enterprise Cash Flow Exh 8'!C18=0,"Yes",E16-'Enterprise Cash Flow Exh 8'!C18)</f>
        <v>Yes</v>
      </c>
      <c r="I16" s="322" t="str">
        <f t="shared" si="0"/>
        <v xml:space="preserve"> </v>
      </c>
    </row>
    <row r="17" spans="1:9" ht="17.25" x14ac:dyDescent="0.35">
      <c r="A17" s="240" t="s">
        <v>110</v>
      </c>
      <c r="B17" s="140">
        <f>'Enterprise Cash Flow Exh 8'!K19</f>
        <v>-3232</v>
      </c>
      <c r="C17" s="140">
        <f>'Enterprise Cash Flow Exh 8'!N19</f>
        <v>-504</v>
      </c>
      <c r="D17" s="140">
        <v>0</v>
      </c>
      <c r="E17" s="98">
        <f>SUM(B17:D17)</f>
        <v>-3736</v>
      </c>
      <c r="H17" s="146" t="str">
        <f>IF(E17-'Enterprise Cash Flow Exh 8'!C19=0,"Yes",E17-'Enterprise Cash Flow Exh 8'!C19)</f>
        <v>Yes</v>
      </c>
      <c r="I17" s="322" t="str">
        <f t="shared" si="0"/>
        <v xml:space="preserve"> </v>
      </c>
    </row>
    <row r="18" spans="1:9" ht="32.1" customHeight="1" x14ac:dyDescent="0.35">
      <c r="A18" s="175" t="s">
        <v>136</v>
      </c>
      <c r="B18" s="94">
        <f>SUM(B16:B17)</f>
        <v>-3232</v>
      </c>
      <c r="C18" s="94">
        <f>SUM(C16:C17)</f>
        <v>66</v>
      </c>
      <c r="D18" s="94">
        <f>SUM(D16:D17)</f>
        <v>0</v>
      </c>
      <c r="E18" s="94">
        <f>SUM(E16:E17)</f>
        <v>-3166</v>
      </c>
      <c r="F18" s="94"/>
      <c r="H18" s="146" t="str">
        <f>IF(E18-'Enterprise Cash Flow Exh 8'!C20=0,"Yes",E18-'Enterprise Cash Flow Exh 8'!C20)</f>
        <v>Yes</v>
      </c>
      <c r="I18" s="322" t="str">
        <f t="shared" si="0"/>
        <v xml:space="preserve"> </v>
      </c>
    </row>
    <row r="19" spans="1:9" ht="32.1" customHeight="1" x14ac:dyDescent="0.2">
      <c r="A19" s="69" t="s">
        <v>57</v>
      </c>
      <c r="B19" s="47">
        <f>+B18+B14+B12</f>
        <v>869</v>
      </c>
      <c r="C19" s="47">
        <f>+C18+C14+C12</f>
        <v>897</v>
      </c>
      <c r="D19" s="47">
        <f>+D18+D14+D12</f>
        <v>0</v>
      </c>
      <c r="E19" s="47">
        <f>+E18+E14+E12</f>
        <v>1766</v>
      </c>
      <c r="F19" s="47"/>
      <c r="H19" s="146" t="str">
        <f>IF(E19-'Enterprise Cash Flow Exh 8'!C21=0,"Yes",E19-'Enterprise Cash Flow Exh 8'!C21)</f>
        <v>Yes</v>
      </c>
      <c r="I19" s="322" t="str">
        <f t="shared" si="0"/>
        <v xml:space="preserve"> </v>
      </c>
    </row>
    <row r="20" spans="1:9" ht="17.25" x14ac:dyDescent="0.35">
      <c r="A20" s="39" t="s">
        <v>212</v>
      </c>
      <c r="B20" s="140">
        <f>'Enterprise Cash Flow Exh 8'!K22</f>
        <v>368</v>
      </c>
      <c r="C20" s="140">
        <f>'Enterprise Cash Flow Exh 8'!N22</f>
        <v>398</v>
      </c>
      <c r="D20" s="140">
        <v>0</v>
      </c>
      <c r="E20" s="98">
        <f>SUM(B20:D20)</f>
        <v>766</v>
      </c>
      <c r="H20" s="146" t="str">
        <f>IF(E20-'Enterprise Cash Flow Exh 8'!C22=0,"Yes",E20-'Enterprise Cash Flow Exh 8'!C22)</f>
        <v>Yes</v>
      </c>
      <c r="I20" s="322" t="str">
        <f t="shared" si="0"/>
        <v xml:space="preserve"> </v>
      </c>
    </row>
    <row r="21" spans="1:9" ht="20.100000000000001" customHeight="1" x14ac:dyDescent="0.35">
      <c r="A21" s="39" t="s">
        <v>213</v>
      </c>
      <c r="B21" s="95">
        <f>+B19+B20</f>
        <v>1237</v>
      </c>
      <c r="C21" s="95">
        <f>+C19+C20</f>
        <v>1295</v>
      </c>
      <c r="D21" s="95">
        <f>+D19+D20</f>
        <v>0</v>
      </c>
      <c r="E21" s="95">
        <f>+E19+E20</f>
        <v>2532</v>
      </c>
      <c r="F21" s="95"/>
      <c r="H21" s="146" t="str">
        <f>IF(E21-'Enterprise Cash Flow Exh 8'!C23=0,"Yes",E21-'Enterprise Cash Flow Exh 8'!C23)</f>
        <v>Yes</v>
      </c>
      <c r="I21" s="322" t="str">
        <f t="shared" si="0"/>
        <v xml:space="preserve"> </v>
      </c>
    </row>
    <row r="22" spans="1:9" ht="35.1" customHeight="1" x14ac:dyDescent="0.2">
      <c r="A22" s="39" t="s">
        <v>58</v>
      </c>
      <c r="I22" s="322"/>
    </row>
    <row r="23" spans="1:9" ht="18" customHeight="1" x14ac:dyDescent="0.2">
      <c r="A23" s="75" t="s">
        <v>59</v>
      </c>
      <c r="B23" s="138">
        <f>'Enterprise Cash Flow Exh 8'!K25</f>
        <v>-8895</v>
      </c>
      <c r="C23" s="138">
        <f>'Enterprise Cash Flow Exh 8'!N25</f>
        <v>2457</v>
      </c>
      <c r="D23" s="138">
        <v>0</v>
      </c>
      <c r="E23" s="29">
        <f>SUM(B23:D23)</f>
        <v>-6438</v>
      </c>
      <c r="H23" s="146" t="str">
        <f>IF(E23-'Enterprise Cash Flow Exh 8'!C25=0,"Yes",E23-'Enterprise Cash Flow Exh 8'!C25)</f>
        <v>Yes</v>
      </c>
      <c r="I23" s="322" t="str">
        <f t="shared" si="0"/>
        <v xml:space="preserve"> </v>
      </c>
    </row>
    <row r="24" spans="1:9" ht="36" customHeight="1" x14ac:dyDescent="0.2">
      <c r="A24" s="91" t="s">
        <v>332</v>
      </c>
      <c r="I24" s="322"/>
    </row>
    <row r="25" spans="1:9" ht="15" x14ac:dyDescent="0.2">
      <c r="A25" s="104" t="s">
        <v>26</v>
      </c>
      <c r="B25" s="139">
        <f>'Enterprise Cash Flow Exh 8'!K27</f>
        <v>372</v>
      </c>
      <c r="C25" s="139">
        <f>'Enterprise Cash Flow Exh 8'!N27</f>
        <v>410</v>
      </c>
      <c r="D25" s="139">
        <v>0</v>
      </c>
      <c r="E25" s="47">
        <f>SUM(B25:D25)</f>
        <v>782</v>
      </c>
      <c r="H25" s="146" t="str">
        <f>IF(E25-'Enterprise Cash Flow Exh 8'!C27=0,"Yes",E25-'Enterprise Cash Flow Exh 8'!C27)</f>
        <v>Yes</v>
      </c>
      <c r="I25" s="322" t="str">
        <f t="shared" si="0"/>
        <v xml:space="preserve"> </v>
      </c>
    </row>
    <row r="26" spans="1:9" ht="15" x14ac:dyDescent="0.2">
      <c r="A26" s="240" t="s">
        <v>331</v>
      </c>
      <c r="I26" s="322"/>
    </row>
    <row r="27" spans="1:9" ht="18" customHeight="1" x14ac:dyDescent="0.2">
      <c r="A27" s="175" t="s">
        <v>152</v>
      </c>
      <c r="B27" s="139">
        <f>'Enterprise Cash Flow Exh 8'!K29</f>
        <v>-3344</v>
      </c>
      <c r="C27" s="139">
        <f>'Enterprise Cash Flow Exh 8'!N29</f>
        <v>-427</v>
      </c>
      <c r="D27" s="139">
        <v>0</v>
      </c>
      <c r="E27" s="47">
        <f>SUM(B27:D27)</f>
        <v>-3771</v>
      </c>
      <c r="H27" s="146" t="str">
        <f>IF(E27-'Enterprise Cash Flow Exh 8'!C29=0,"Yes",E27-'Enterprise Cash Flow Exh 8'!C29)</f>
        <v>Yes</v>
      </c>
      <c r="I27" s="322" t="str">
        <f t="shared" si="0"/>
        <v xml:space="preserve"> </v>
      </c>
    </row>
    <row r="28" spans="1:9" ht="15" x14ac:dyDescent="0.2">
      <c r="A28" s="175" t="s">
        <v>154</v>
      </c>
      <c r="B28" s="139">
        <f>'Enterprise Cash Flow Exh 8'!K30</f>
        <v>-1092</v>
      </c>
      <c r="C28" s="139">
        <f>'Enterprise Cash Flow Exh 8'!N30</f>
        <v>-1487</v>
      </c>
      <c r="D28" s="139">
        <v>0</v>
      </c>
      <c r="E28" s="47">
        <f>SUM(B28:D28)</f>
        <v>-2579</v>
      </c>
      <c r="H28" s="146" t="str">
        <f>IF(E28-'Enterprise Cash Flow Exh 8'!C30=0,"Yes",E28-'Enterprise Cash Flow Exh 8'!C30)</f>
        <v>Yes</v>
      </c>
      <c r="I28" s="322" t="str">
        <f t="shared" si="0"/>
        <v xml:space="preserve"> </v>
      </c>
    </row>
    <row r="29" spans="1:9" ht="15" x14ac:dyDescent="0.2">
      <c r="A29" s="175" t="s">
        <v>153</v>
      </c>
      <c r="B29" s="139">
        <f>'Enterprise Cash Flow Exh 8'!K31</f>
        <v>-306</v>
      </c>
      <c r="C29" s="139">
        <f>'Enterprise Cash Flow Exh 8'!N31</f>
        <v>-122</v>
      </c>
      <c r="D29" s="139">
        <v>0</v>
      </c>
      <c r="E29" s="47">
        <f>SUM(B29:D29)</f>
        <v>-428</v>
      </c>
      <c r="H29" s="146" t="str">
        <f>IF(E29-'Enterprise Cash Flow Exh 8'!C31=0,"Yes",E29-'Enterprise Cash Flow Exh 8'!C31)</f>
        <v>Yes</v>
      </c>
      <c r="I29" s="322" t="str">
        <f t="shared" si="0"/>
        <v xml:space="preserve"> </v>
      </c>
    </row>
    <row r="30" spans="1:9" ht="30" x14ac:dyDescent="0.2">
      <c r="A30" s="175" t="s">
        <v>60</v>
      </c>
      <c r="B30" s="139">
        <f>'Enterprise Cash Flow Exh 8'!K32</f>
        <v>-759</v>
      </c>
      <c r="C30" s="139">
        <f>'Enterprise Cash Flow Exh 8'!N32</f>
        <v>61</v>
      </c>
      <c r="D30" s="139">
        <v>0</v>
      </c>
      <c r="E30" s="47">
        <f>SUM(B30:D30)</f>
        <v>-698</v>
      </c>
      <c r="H30" s="146" t="str">
        <f>IF(E30-'Enterprise Cash Flow Exh 8'!C32=0,"Yes",E30-'Enterprise Cash Flow Exh 8'!C32)</f>
        <v>Yes</v>
      </c>
      <c r="I30" s="322" t="str">
        <f t="shared" si="0"/>
        <v xml:space="preserve"> </v>
      </c>
    </row>
    <row r="31" spans="1:9" ht="30" x14ac:dyDescent="0.35">
      <c r="A31" s="175" t="s">
        <v>164</v>
      </c>
      <c r="B31" s="140">
        <f>'Enterprise Cash Flow Exh 8'!K33</f>
        <v>48</v>
      </c>
      <c r="C31" s="140">
        <f>'Enterprise Cash Flow Exh 8'!N33</f>
        <v>-61</v>
      </c>
      <c r="D31" s="140">
        <v>0</v>
      </c>
      <c r="E31" s="98">
        <f>SUM(B31:D31)</f>
        <v>-13</v>
      </c>
      <c r="H31" s="146" t="str">
        <f>IF(E31-'Enterprise Cash Flow Exh 8'!C33=0,"Yes",E31-'Enterprise Cash Flow Exh 8'!C33)</f>
        <v>Yes</v>
      </c>
      <c r="I31" s="322" t="str">
        <f t="shared" si="0"/>
        <v xml:space="preserve"> </v>
      </c>
    </row>
    <row r="32" spans="1:9" ht="20.100000000000001" customHeight="1" x14ac:dyDescent="0.35">
      <c r="A32" s="282" t="s">
        <v>211</v>
      </c>
      <c r="B32" s="94">
        <f>SUM(B25:B31)</f>
        <v>-5081</v>
      </c>
      <c r="C32" s="94">
        <f>SUM(C25:C31)</f>
        <v>-1626</v>
      </c>
      <c r="D32" s="94">
        <f>SUM(D25:D31)</f>
        <v>0</v>
      </c>
      <c r="E32" s="94">
        <f>SUM(E25:E31)</f>
        <v>-6707</v>
      </c>
      <c r="F32" s="94"/>
      <c r="H32" s="146" t="str">
        <f>IF(E32-'Enterprise Cash Flow Exh 8'!C34=0,"Yes",E32-'Enterprise Cash Flow Exh 8'!C34)</f>
        <v>Yes</v>
      </c>
      <c r="I32" s="322" t="str">
        <f t="shared" si="0"/>
        <v xml:space="preserve"> </v>
      </c>
    </row>
    <row r="33" spans="1:9" ht="30" x14ac:dyDescent="0.35">
      <c r="A33" s="175" t="s">
        <v>56</v>
      </c>
      <c r="B33" s="95">
        <f>+B32+B23</f>
        <v>-13976</v>
      </c>
      <c r="C33" s="95">
        <f>+C32+C23</f>
        <v>831</v>
      </c>
      <c r="D33" s="95">
        <f>+D32+D23</f>
        <v>0</v>
      </c>
      <c r="E33" s="95">
        <f>+E32+E23</f>
        <v>-13145</v>
      </c>
      <c r="F33" s="95"/>
      <c r="H33" s="146" t="str">
        <f>IF(E33-'Enterprise Cash Flow Exh 8'!C35=0,"Yes",E33-'Enterprise Cash Flow Exh 8'!C35)</f>
        <v>Yes</v>
      </c>
      <c r="I33" s="322" t="str">
        <f t="shared" si="0"/>
        <v xml:space="preserve"> </v>
      </c>
    </row>
    <row r="34" spans="1:9" ht="15" x14ac:dyDescent="0.2">
      <c r="A34" s="20"/>
    </row>
    <row r="35" spans="1:9" ht="15" x14ac:dyDescent="0.2">
      <c r="A35" s="20"/>
    </row>
    <row r="36" spans="1:9" ht="15" x14ac:dyDescent="0.2">
      <c r="A36" s="20"/>
    </row>
    <row r="37" spans="1:9" ht="15" x14ac:dyDescent="0.2">
      <c r="A37" s="20"/>
    </row>
    <row r="38" spans="1:9" ht="15" x14ac:dyDescent="0.2">
      <c r="A38" s="20"/>
    </row>
    <row r="39" spans="1:9" ht="15" x14ac:dyDescent="0.2">
      <c r="A39" s="20"/>
    </row>
    <row r="40" spans="1:9" ht="15" x14ac:dyDescent="0.2">
      <c r="A40" s="20"/>
    </row>
    <row r="41" spans="1:9" ht="15" x14ac:dyDescent="0.2">
      <c r="A41" s="20"/>
    </row>
    <row r="42" spans="1:9" ht="30" x14ac:dyDescent="0.2">
      <c r="A42" s="39" t="s">
        <v>214</v>
      </c>
      <c r="B42" s="68" t="str">
        <f>IF(B21-'Erudio Enterprise Net Pos - SI'!B10=0,"Yes",B21-'Erudio Enterprise Net Pos - SI'!B10)</f>
        <v>Yes</v>
      </c>
      <c r="C42" s="68" t="str">
        <f>IF(C21-'Erudio Enterprise Net Pos - SI'!C10=0,"Yes",C21-'Erudio Enterprise Net Pos - SI'!C10)</f>
        <v>Yes</v>
      </c>
      <c r="D42" s="68" t="str">
        <f>IF(D21-'Erudio Enterprise Net Pos - SI'!D10=0,"Yes",D21-'Erudio Enterprise Net Pos - SI'!D10)</f>
        <v>Yes</v>
      </c>
      <c r="E42" s="68" t="str">
        <f>IF(E21-'Erudio Enterprise Net Pos - SI'!E10=0,"Yes",E21-'Erudio Enterprise Net Pos - SI'!E10)</f>
        <v>Yes</v>
      </c>
    </row>
    <row r="43" spans="1:9" ht="30" x14ac:dyDescent="0.2">
      <c r="A43" s="39" t="s">
        <v>215</v>
      </c>
      <c r="B43" s="68" t="str">
        <f>IF(B23-'Erudio Enterprise Inc Stmt - SI'!B23=0,"Yes",B23-'Erudio Enterprise Inc Stmt - SI'!B23)</f>
        <v>Yes</v>
      </c>
      <c r="C43" s="68" t="str">
        <f>IF(C23-'Erudio Enterprise Inc Stmt - SI'!C23=0,"Yes",C23-'Erudio Enterprise Inc Stmt - SI'!C23)</f>
        <v>Yes</v>
      </c>
      <c r="D43" s="68" t="str">
        <f>IF(D23-'Erudio Enterprise Inc Stmt - SI'!D23=0,"Yes",D23-'Erudio Enterprise Inc Stmt - SI'!D23)</f>
        <v>Yes</v>
      </c>
      <c r="E43" s="68" t="str">
        <f>IF(E23-'Erudio Enterprise Inc Stmt - SI'!E23=0,"Yes",E23-'Erudio Enterprise Inc Stmt - SI'!E23)</f>
        <v>Yes</v>
      </c>
    </row>
    <row r="44" spans="1:9" ht="30" x14ac:dyDescent="0.2">
      <c r="A44" s="39" t="s">
        <v>265</v>
      </c>
      <c r="B44" s="68" t="str">
        <f>IF(B12-B33=0,"Yes",B12-B33)</f>
        <v>Yes</v>
      </c>
      <c r="C44" s="68" t="str">
        <f>IF(C12-C33=0,"Yes",C12-C33)</f>
        <v>Yes</v>
      </c>
      <c r="D44" s="68" t="str">
        <f>IF(D12-D33=0,"Yes",D12-D33)</f>
        <v>Yes</v>
      </c>
      <c r="E44" s="68" t="str">
        <f>IF(E12-E33=0,"Yes",E12-E33)</f>
        <v>Yes</v>
      </c>
    </row>
    <row r="45" spans="1:9" ht="15" x14ac:dyDescent="0.2">
      <c r="A45" s="20"/>
    </row>
  </sheetData>
  <mergeCells count="6">
    <mergeCell ref="B6:E6"/>
    <mergeCell ref="A1:E1"/>
    <mergeCell ref="A2:E2"/>
    <mergeCell ref="A3:E3"/>
    <mergeCell ref="A4:E4"/>
    <mergeCell ref="B5:E5"/>
  </mergeCells>
  <conditionalFormatting sqref="B42:E44">
    <cfRule type="cellIs" dxfId="48" priority="5" stopIfTrue="1" operator="notEqual">
      <formula>"Yes"</formula>
    </cfRule>
  </conditionalFormatting>
  <conditionalFormatting sqref="H9">
    <cfRule type="cellIs" dxfId="47" priority="2" stopIfTrue="1" operator="notEqual">
      <formula>"Yes"</formula>
    </cfRule>
  </conditionalFormatting>
  <conditionalFormatting sqref="H10:H12 H14 H16:H21 H23 H25 H27:H33">
    <cfRule type="cellIs" dxfId="46" priority="1" stopIfTrue="1" operator="notEqual">
      <formula>"Yes"</formula>
    </cfRule>
  </conditionalFormatting>
  <pageMargins left="0.75" right="0.75" top="0.75" bottom="0.75" header="0.3" footer="0.3"/>
  <pageSetup scale="96" orientation="portrait" r:id="rId1"/>
  <headerFooter>
    <oddHeader>&amp;R&amp;12Statement 10</oddHeader>
    <oddFooter>&amp;L&amp;12Revised:  July 2020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8">
    <tabColor rgb="FF00B050"/>
  </sheetPr>
  <dimension ref="A2:D2"/>
  <sheetViews>
    <sheetView showGridLines="0" workbookViewId="0">
      <selection activeCell="A33" sqref="A33"/>
    </sheetView>
  </sheetViews>
  <sheetFormatPr defaultRowHeight="12.75" x14ac:dyDescent="0.2"/>
  <sheetData>
    <row r="2" spans="1:4" ht="15" x14ac:dyDescent="0.2">
      <c r="A2" s="379" t="s">
        <v>271</v>
      </c>
      <c r="B2" s="379"/>
      <c r="C2" s="379"/>
      <c r="D2" s="379"/>
    </row>
  </sheetData>
  <mergeCells count="1">
    <mergeCell ref="A2:D2"/>
  </mergeCells>
  <printOptions horizontalCentered="1" verticalCentered="1"/>
  <pageMargins left="0.75" right="0.75" top="0.75" bottom="0.75" header="0.5" footer="0.5"/>
  <pageSetup orientation="portrait" r:id="rId1"/>
  <headerFooter>
    <oddHeader>&amp;C&amp;"Arial,Bold"&amp;12Owl Charter, Inc.</oddHeader>
    <oddFooter>&amp;L&amp;12Revised:  July 2020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9" tint="0.39997558519241921"/>
    <pageSetUpPr fitToPage="1"/>
  </sheetPr>
  <dimension ref="A1:AL92"/>
  <sheetViews>
    <sheetView showGridLines="0" zoomScaleNormal="100" zoomScaleSheetLayoutView="70" zoomScalePageLayoutView="80" workbookViewId="0">
      <selection activeCell="A33" sqref="A33"/>
    </sheetView>
  </sheetViews>
  <sheetFormatPr defaultRowHeight="12.75" x14ac:dyDescent="0.2"/>
  <cols>
    <col min="1" max="1" width="42.7109375" customWidth="1"/>
    <col min="2" max="3" width="14.7109375" customWidth="1"/>
    <col min="4" max="4" width="14.7109375" hidden="1" customWidth="1"/>
    <col min="5" max="5" width="14.7109375" customWidth="1"/>
    <col min="6" max="6" width="14.7109375" hidden="1" customWidth="1"/>
    <col min="7" max="8" width="14.7109375" customWidth="1"/>
    <col min="9" max="9" width="12.7109375" customWidth="1"/>
    <col min="10" max="20" width="14.7109375" customWidth="1"/>
    <col min="21" max="21" width="13.7109375" customWidth="1"/>
    <col min="22" max="22" width="12.140625" bestFit="1" customWidth="1"/>
    <col min="24" max="24" width="11" bestFit="1" customWidth="1"/>
  </cols>
  <sheetData>
    <row r="1" spans="1:38" ht="15.75" customHeight="1" x14ac:dyDescent="0.25">
      <c r="A1" s="341" t="str">
        <f>'GW Net Position Exh 1'!A1</f>
        <v>Owl Charter, Inc.</v>
      </c>
      <c r="B1" s="341"/>
      <c r="C1" s="341"/>
      <c r="D1" s="341"/>
      <c r="E1" s="341"/>
      <c r="F1" s="341"/>
      <c r="G1" s="341"/>
      <c r="H1" s="19"/>
      <c r="I1" s="19"/>
      <c r="J1" s="19"/>
      <c r="K1" s="19"/>
      <c r="L1" s="19"/>
      <c r="M1" s="19"/>
      <c r="N1" s="19"/>
      <c r="O1" s="19"/>
      <c r="P1" s="19"/>
      <c r="Q1" s="19"/>
      <c r="R1" s="19"/>
      <c r="S1" s="19"/>
      <c r="T1" s="19"/>
      <c r="U1" s="19"/>
      <c r="V1" s="19"/>
      <c r="W1" s="20"/>
      <c r="X1" s="20"/>
      <c r="Y1" s="20"/>
      <c r="Z1" s="20"/>
      <c r="AA1" s="20"/>
      <c r="AB1" s="20"/>
      <c r="AC1" s="20"/>
      <c r="AD1" s="20"/>
      <c r="AE1" s="20"/>
      <c r="AF1" s="20"/>
      <c r="AG1" s="20"/>
      <c r="AH1" s="11"/>
      <c r="AI1" s="11"/>
      <c r="AJ1" s="11"/>
      <c r="AK1" s="11"/>
      <c r="AL1" s="11"/>
    </row>
    <row r="2" spans="1:38" ht="15.75" hidden="1" customHeight="1" x14ac:dyDescent="0.25">
      <c r="A2" s="342" t="s">
        <v>6</v>
      </c>
      <c r="B2" s="342"/>
      <c r="C2" s="342"/>
      <c r="D2" s="342"/>
      <c r="E2" s="342"/>
      <c r="F2" s="342"/>
      <c r="G2" s="342"/>
      <c r="H2" s="21"/>
      <c r="I2" s="21"/>
      <c r="J2" s="21"/>
      <c r="K2" s="21"/>
      <c r="L2" s="21"/>
      <c r="M2" s="21"/>
      <c r="N2" s="21"/>
      <c r="O2" s="21"/>
      <c r="P2" s="21"/>
      <c r="Q2" s="21"/>
      <c r="R2" s="21"/>
      <c r="S2" s="21"/>
      <c r="T2" s="20"/>
      <c r="U2" s="20"/>
      <c r="V2" s="20"/>
      <c r="W2" s="20"/>
      <c r="X2" s="20"/>
      <c r="Y2" s="20"/>
      <c r="Z2" s="20"/>
      <c r="AA2" s="20"/>
      <c r="AB2" s="20"/>
      <c r="AC2" s="20"/>
      <c r="AD2" s="20"/>
      <c r="AE2" s="20"/>
      <c r="AF2" s="20"/>
      <c r="AG2" s="20"/>
      <c r="AH2" s="11"/>
      <c r="AI2" s="11"/>
      <c r="AJ2" s="11"/>
      <c r="AK2" s="11"/>
      <c r="AL2" s="11"/>
    </row>
    <row r="3" spans="1:38" ht="15.75" customHeight="1" x14ac:dyDescent="0.25">
      <c r="A3" s="383" t="s">
        <v>346</v>
      </c>
      <c r="B3" s="383"/>
      <c r="C3" s="383"/>
      <c r="D3" s="383"/>
      <c r="E3" s="383"/>
      <c r="F3" s="383"/>
      <c r="G3" s="383"/>
      <c r="H3" s="21"/>
      <c r="I3" s="21"/>
      <c r="J3" s="21"/>
      <c r="K3" s="21"/>
      <c r="L3" s="21"/>
      <c r="M3" s="21"/>
      <c r="N3" s="21"/>
      <c r="O3" s="21"/>
      <c r="P3" s="21"/>
      <c r="Q3" s="21"/>
      <c r="R3" s="21"/>
      <c r="S3" s="21"/>
      <c r="T3" s="20"/>
      <c r="U3" s="20"/>
      <c r="V3" s="20"/>
      <c r="W3" s="20"/>
      <c r="X3" s="20"/>
      <c r="Y3" s="20"/>
      <c r="Z3" s="20"/>
      <c r="AA3" s="20"/>
      <c r="AB3" s="20"/>
      <c r="AC3" s="20"/>
      <c r="AD3" s="20"/>
      <c r="AE3" s="20"/>
      <c r="AF3" s="20"/>
      <c r="AG3" s="20"/>
      <c r="AH3" s="11"/>
      <c r="AI3" s="11"/>
      <c r="AJ3" s="11"/>
      <c r="AK3" s="11"/>
      <c r="AL3" s="11"/>
    </row>
    <row r="4" spans="1:38" ht="15.75" customHeight="1" x14ac:dyDescent="0.25">
      <c r="A4" s="374" t="str">
        <f>+'GW Net Position Exh 1'!A3</f>
        <v>June 30, 2020</v>
      </c>
      <c r="B4" s="374"/>
      <c r="C4" s="374"/>
      <c r="D4" s="374"/>
      <c r="E4" s="374"/>
      <c r="F4" s="374"/>
      <c r="G4" s="374"/>
      <c r="H4" s="21"/>
      <c r="I4" s="21"/>
      <c r="J4" s="21"/>
      <c r="K4" s="21"/>
      <c r="L4" s="21"/>
      <c r="M4" s="21"/>
      <c r="N4" s="21"/>
      <c r="O4" s="21"/>
      <c r="P4" s="21"/>
      <c r="Q4" s="21"/>
      <c r="R4" s="21"/>
      <c r="S4" s="21"/>
      <c r="T4" s="20"/>
      <c r="U4" s="20"/>
      <c r="V4" s="20"/>
      <c r="W4" s="20"/>
      <c r="X4" s="20"/>
      <c r="Y4" s="20"/>
      <c r="Z4" s="20"/>
      <c r="AA4" s="20"/>
      <c r="AB4" s="20"/>
      <c r="AC4" s="20"/>
      <c r="AD4" s="20"/>
      <c r="AE4" s="20"/>
      <c r="AF4" s="20"/>
      <c r="AG4" s="20"/>
      <c r="AH4" s="11"/>
      <c r="AI4" s="11"/>
      <c r="AJ4" s="11"/>
      <c r="AK4" s="11"/>
      <c r="AL4" s="11"/>
    </row>
    <row r="5" spans="1:38" ht="21.95" customHeight="1" x14ac:dyDescent="0.35">
      <c r="A5" s="23"/>
      <c r="B5" s="372" t="str">
        <f>'Govt Funds Bal Sh Exh 3'!E7</f>
        <v>Owl - Discite</v>
      </c>
      <c r="C5" s="372"/>
      <c r="D5" s="372"/>
      <c r="E5" s="372"/>
      <c r="F5" s="25"/>
      <c r="H5" s="24"/>
      <c r="I5" s="365"/>
      <c r="J5" s="365"/>
      <c r="K5" s="365"/>
      <c r="L5" s="365"/>
      <c r="M5" s="365"/>
      <c r="N5" s="365"/>
      <c r="O5" s="365"/>
      <c r="P5" s="365"/>
      <c r="Q5" s="365"/>
      <c r="R5" s="365"/>
      <c r="S5" s="365"/>
      <c r="T5" s="365"/>
      <c r="U5" s="20"/>
      <c r="V5" s="20"/>
      <c r="W5" s="20"/>
      <c r="X5" s="20"/>
      <c r="Y5" s="20"/>
      <c r="Z5" s="20"/>
      <c r="AA5" s="20"/>
      <c r="AB5" s="20"/>
      <c r="AC5" s="20"/>
      <c r="AD5" s="20"/>
      <c r="AE5" s="20"/>
      <c r="AF5" s="20"/>
      <c r="AG5" s="20"/>
      <c r="AH5" s="11"/>
      <c r="AI5" s="11"/>
      <c r="AJ5" s="11"/>
      <c r="AK5" s="11"/>
      <c r="AL5" s="11"/>
    </row>
    <row r="6" spans="1:38" ht="18" customHeight="1" x14ac:dyDescent="0.35">
      <c r="A6" s="23"/>
      <c r="B6" s="338" t="s">
        <v>342</v>
      </c>
      <c r="C6" s="337" t="s">
        <v>343</v>
      </c>
      <c r="D6" s="337" t="s">
        <v>344</v>
      </c>
      <c r="E6" s="337" t="s">
        <v>278</v>
      </c>
      <c r="F6" s="338" t="s">
        <v>225</v>
      </c>
      <c r="G6" s="87"/>
      <c r="H6" s="24"/>
      <c r="I6" s="386" t="s">
        <v>324</v>
      </c>
      <c r="J6" s="67"/>
      <c r="K6" s="67"/>
      <c r="L6" s="365"/>
      <c r="M6" s="365"/>
      <c r="N6" s="365"/>
      <c r="O6" s="365"/>
      <c r="P6" s="365"/>
      <c r="Q6" s="365"/>
      <c r="R6" s="365"/>
      <c r="S6" s="365"/>
      <c r="T6" s="365"/>
      <c r="U6" s="20"/>
      <c r="V6" s="20"/>
      <c r="W6" s="20"/>
      <c r="X6" s="20"/>
      <c r="Y6" s="20"/>
      <c r="Z6" s="20"/>
      <c r="AA6" s="20"/>
      <c r="AB6" s="20"/>
      <c r="AC6" s="20"/>
      <c r="AD6" s="20"/>
      <c r="AE6" s="20"/>
      <c r="AF6" s="20"/>
      <c r="AG6" s="20"/>
      <c r="AH6" s="11"/>
      <c r="AI6" s="11"/>
      <c r="AJ6" s="11"/>
      <c r="AK6" s="11"/>
      <c r="AL6" s="11"/>
    </row>
    <row r="7" spans="1:38" ht="18" customHeight="1" x14ac:dyDescent="0.35">
      <c r="A7" s="20"/>
      <c r="B7" s="338"/>
      <c r="C7" s="337"/>
      <c r="D7" s="337"/>
      <c r="E7" s="337"/>
      <c r="F7" s="338"/>
      <c r="G7" s="26" t="s">
        <v>373</v>
      </c>
      <c r="H7" s="27"/>
      <c r="I7" s="386"/>
      <c r="J7" s="325" t="s">
        <v>391</v>
      </c>
      <c r="K7" s="27"/>
      <c r="L7" s="27"/>
      <c r="M7" s="27"/>
      <c r="N7" s="27"/>
      <c r="O7" s="27"/>
      <c r="P7" s="27"/>
      <c r="Q7" s="27"/>
      <c r="R7" s="27"/>
      <c r="S7" s="27"/>
      <c r="T7" s="27"/>
      <c r="U7" s="20"/>
      <c r="V7" s="20"/>
      <c r="W7" s="20"/>
      <c r="X7" s="20"/>
      <c r="Y7" s="20"/>
      <c r="Z7" s="20"/>
      <c r="AA7" s="20"/>
      <c r="AB7" s="20"/>
      <c r="AC7" s="20"/>
      <c r="AD7" s="20"/>
      <c r="AE7" s="20"/>
      <c r="AF7" s="20"/>
      <c r="AG7" s="20"/>
      <c r="AH7" s="11"/>
      <c r="AI7" s="11"/>
      <c r="AJ7" s="11"/>
      <c r="AK7" s="11"/>
      <c r="AL7" s="11"/>
    </row>
    <row r="8" spans="1:38" ht="15.75" customHeight="1" x14ac:dyDescent="0.25">
      <c r="A8" s="28" t="s">
        <v>227</v>
      </c>
      <c r="B8" s="20"/>
      <c r="C8" s="20"/>
      <c r="D8" s="20"/>
      <c r="E8" s="20"/>
      <c r="F8" s="20"/>
      <c r="G8" s="20"/>
      <c r="H8" s="20"/>
      <c r="I8" s="30"/>
      <c r="J8" s="323"/>
      <c r="K8" s="30"/>
      <c r="L8" s="30"/>
      <c r="M8" s="30"/>
      <c r="N8" s="30"/>
      <c r="O8" s="30"/>
      <c r="P8" s="30"/>
      <c r="Q8" s="30"/>
      <c r="R8" s="30"/>
      <c r="S8" s="30"/>
      <c r="T8" s="30"/>
      <c r="U8" s="20"/>
      <c r="V8" s="20"/>
      <c r="W8" s="20"/>
      <c r="X8" s="20"/>
      <c r="Y8" s="20"/>
      <c r="Z8" s="20"/>
      <c r="AA8" s="20"/>
      <c r="AB8" s="20"/>
      <c r="AC8" s="20"/>
      <c r="AD8" s="20"/>
      <c r="AE8" s="20"/>
      <c r="AF8" s="20"/>
      <c r="AG8" s="20"/>
      <c r="AH8" s="11"/>
      <c r="AI8" s="11"/>
      <c r="AJ8" s="11"/>
      <c r="AK8" s="11"/>
      <c r="AL8" s="11"/>
    </row>
    <row r="9" spans="1:38" ht="15.75" customHeight="1" x14ac:dyDescent="0.25">
      <c r="A9" s="36" t="s">
        <v>1</v>
      </c>
      <c r="B9" s="18">
        <f>'Govt Funds Bal Sh Exh 3'!O9</f>
        <v>253632</v>
      </c>
      <c r="C9" s="18">
        <f>'Govt Funds Bal Sh Exh 3'!R9</f>
        <v>83699</v>
      </c>
      <c r="D9" s="18">
        <f>'Govt Funds Bal Sh Exh 3'!U9</f>
        <v>0</v>
      </c>
      <c r="E9" s="18">
        <f>'Govt Funds Bal Sh Exh 3'!X9</f>
        <v>5550</v>
      </c>
      <c r="F9" s="18">
        <v>0</v>
      </c>
      <c r="G9" s="18">
        <f t="shared" ref="G9:G14" si="0">SUM(B9:F9)</f>
        <v>342881</v>
      </c>
      <c r="H9" s="18"/>
      <c r="I9" s="146" t="str">
        <f>IF(G9-'Govt Funds Bal Sh Exh 3'!E9=0,"Yes",G9-'Govt Funds Bal Sh Exh 3'!E9)</f>
        <v>Yes</v>
      </c>
      <c r="J9" s="324" t="str">
        <f>IF(((ABS(B9)+ABS(C9)+ABS(D9)+ABS(E9)+ABS(F9)+ABS(G9))=0),"Hide Row?"," ")</f>
        <v xml:space="preserve"> </v>
      </c>
      <c r="K9" s="38"/>
      <c r="L9" s="38"/>
      <c r="M9" s="38"/>
      <c r="N9" s="38"/>
      <c r="O9" s="38"/>
      <c r="P9" s="38"/>
      <c r="Q9" s="38"/>
      <c r="R9" s="38"/>
      <c r="S9" s="38"/>
      <c r="T9" s="38"/>
      <c r="U9" s="29"/>
      <c r="V9" s="20"/>
      <c r="W9" s="20"/>
      <c r="X9" s="29"/>
      <c r="Y9" s="20"/>
      <c r="Z9" s="20"/>
      <c r="AA9" s="20"/>
      <c r="AB9" s="20"/>
      <c r="AC9" s="20"/>
      <c r="AD9" s="20"/>
      <c r="AE9" s="20"/>
      <c r="AF9" s="20"/>
      <c r="AG9" s="20"/>
      <c r="AH9" s="11"/>
      <c r="AI9" s="11"/>
      <c r="AJ9" s="11"/>
      <c r="AK9" s="11"/>
      <c r="AL9" s="11"/>
    </row>
    <row r="10" spans="1:38" ht="15.75" customHeight="1" x14ac:dyDescent="0.25">
      <c r="A10" s="36" t="s">
        <v>46</v>
      </c>
      <c r="B10" s="32">
        <f>'Govt Funds Bal Sh Exh 3'!O10</f>
        <v>15170</v>
      </c>
      <c r="C10" s="32">
        <f>'Govt Funds Bal Sh Exh 3'!R10</f>
        <v>5006</v>
      </c>
      <c r="D10" s="32">
        <f>'Govt Funds Bal Sh Exh 3'!U10</f>
        <v>0</v>
      </c>
      <c r="E10" s="32">
        <f>'Govt Funds Bal Sh Exh 3'!X10</f>
        <v>0</v>
      </c>
      <c r="F10" s="33">
        <v>0</v>
      </c>
      <c r="G10" s="33">
        <f t="shared" si="0"/>
        <v>20176</v>
      </c>
      <c r="H10" s="32"/>
      <c r="I10" s="146" t="str">
        <f>IF(G10-'Govt Funds Bal Sh Exh 3'!E10=0,"Yes",G10-'Govt Funds Bal Sh Exh 3'!E10)</f>
        <v>Yes</v>
      </c>
      <c r="J10" s="324" t="str">
        <f t="shared" ref="J10:J31" si="1">IF(((ABS(B10)+ABS(C10)+ABS(D10)+ABS(E10)+ABS(F10)+ABS(G10))=0),"Hide Row?"," ")</f>
        <v xml:space="preserve"> </v>
      </c>
      <c r="K10" s="31"/>
      <c r="L10" s="31"/>
      <c r="M10" s="31"/>
      <c r="N10" s="31"/>
      <c r="O10" s="31"/>
      <c r="P10" s="31"/>
      <c r="Q10" s="31"/>
      <c r="R10" s="31"/>
      <c r="S10" s="31"/>
      <c r="T10" s="31"/>
      <c r="U10" s="20"/>
      <c r="V10" s="20"/>
      <c r="W10" s="20"/>
      <c r="X10" s="20"/>
      <c r="Y10" s="20"/>
      <c r="Z10" s="20"/>
      <c r="AA10" s="20"/>
      <c r="AB10" s="20"/>
      <c r="AC10" s="20"/>
      <c r="AD10" s="20"/>
      <c r="AE10" s="20"/>
      <c r="AF10" s="20"/>
      <c r="AG10" s="20"/>
      <c r="AH10" s="11"/>
      <c r="AI10" s="11"/>
      <c r="AJ10" s="11"/>
      <c r="AK10" s="11"/>
      <c r="AL10" s="11"/>
    </row>
    <row r="11" spans="1:38" ht="15.75" hidden="1" customHeight="1" x14ac:dyDescent="0.25">
      <c r="A11" s="40" t="s">
        <v>78</v>
      </c>
      <c r="B11" s="32">
        <f>'Govt Funds Bal Sh Exh 3'!O11</f>
        <v>0</v>
      </c>
      <c r="C11" s="32">
        <f>'Govt Funds Bal Sh Exh 3'!R11</f>
        <v>0</v>
      </c>
      <c r="D11" s="32">
        <f>'Govt Funds Bal Sh Exh 3'!U11</f>
        <v>0</v>
      </c>
      <c r="E11" s="32">
        <f>'Govt Funds Bal Sh Exh 3'!X11</f>
        <v>0</v>
      </c>
      <c r="F11" s="31">
        <v>0</v>
      </c>
      <c r="G11" s="31">
        <f t="shared" si="0"/>
        <v>0</v>
      </c>
      <c r="H11" s="32"/>
      <c r="I11" s="146" t="str">
        <f>IF(G11-'Govt Funds Bal Sh Exh 3'!E11=0,"Yes",G11-'Govt Funds Bal Sh Exh 3'!E11)</f>
        <v>Yes</v>
      </c>
      <c r="J11" s="324" t="str">
        <f t="shared" si="1"/>
        <v>Hide Row?</v>
      </c>
      <c r="K11" s="31"/>
      <c r="L11" s="31"/>
      <c r="M11" s="31"/>
      <c r="N11" s="31"/>
      <c r="O11" s="31"/>
      <c r="P11" s="31"/>
      <c r="Q11" s="31"/>
      <c r="R11" s="31"/>
      <c r="S11" s="31"/>
      <c r="T11" s="31"/>
      <c r="U11" s="20"/>
      <c r="V11" s="20"/>
      <c r="W11" s="20"/>
      <c r="X11" s="20"/>
      <c r="Y11" s="20"/>
      <c r="Z11" s="20"/>
      <c r="AA11" s="20"/>
      <c r="AB11" s="20"/>
      <c r="AC11" s="20"/>
      <c r="AD11" s="20"/>
      <c r="AE11" s="20"/>
      <c r="AF11" s="20"/>
      <c r="AG11" s="20"/>
      <c r="AH11" s="11"/>
      <c r="AI11" s="11"/>
      <c r="AJ11" s="11"/>
      <c r="AK11" s="11"/>
      <c r="AL11" s="11"/>
    </row>
    <row r="12" spans="1:38" ht="15.75" customHeight="1" x14ac:dyDescent="0.25">
      <c r="A12" s="36" t="s">
        <v>2</v>
      </c>
      <c r="B12" s="32">
        <f>'Govt Funds Bal Sh Exh 3'!O12</f>
        <v>231</v>
      </c>
      <c r="C12" s="32">
        <f>'Govt Funds Bal Sh Exh 3'!R12</f>
        <v>0</v>
      </c>
      <c r="D12" s="32">
        <f>'Govt Funds Bal Sh Exh 3'!U12</f>
        <v>0</v>
      </c>
      <c r="E12" s="32">
        <f>'Govt Funds Bal Sh Exh 3'!X12</f>
        <v>0</v>
      </c>
      <c r="F12" s="33">
        <v>0</v>
      </c>
      <c r="G12" s="33">
        <f t="shared" si="0"/>
        <v>231</v>
      </c>
      <c r="H12" s="32"/>
      <c r="I12" s="146" t="str">
        <f>IF(G12-'Govt Funds Bal Sh Exh 3'!E12=0,"Yes",G12-'Govt Funds Bal Sh Exh 3'!E12)</f>
        <v>Yes</v>
      </c>
      <c r="J12" s="324" t="str">
        <f t="shared" si="1"/>
        <v xml:space="preserve"> </v>
      </c>
      <c r="K12" s="31"/>
      <c r="L12" s="31"/>
      <c r="M12" s="31"/>
      <c r="N12" s="31"/>
      <c r="O12" s="31"/>
      <c r="P12" s="31"/>
      <c r="Q12" s="31"/>
      <c r="R12" s="31"/>
      <c r="S12" s="31"/>
      <c r="T12" s="31"/>
      <c r="U12" s="20"/>
      <c r="V12" s="20"/>
      <c r="W12" s="20"/>
      <c r="X12" s="20"/>
      <c r="Y12" s="20"/>
      <c r="Z12" s="20"/>
      <c r="AA12" s="20"/>
      <c r="AB12" s="20"/>
      <c r="AC12" s="20"/>
      <c r="AD12" s="20"/>
      <c r="AE12" s="20"/>
      <c r="AF12" s="20"/>
      <c r="AG12" s="20"/>
      <c r="AH12" s="11"/>
      <c r="AI12" s="11"/>
      <c r="AJ12" s="11"/>
      <c r="AK12" s="11"/>
      <c r="AL12" s="11"/>
    </row>
    <row r="13" spans="1:38" ht="17.25" customHeight="1" x14ac:dyDescent="0.35">
      <c r="A13" s="36" t="s">
        <v>129</v>
      </c>
      <c r="B13" s="35">
        <f>'Govt Funds Bal Sh Exh 3'!O13</f>
        <v>2618</v>
      </c>
      <c r="C13" s="35">
        <f>'Govt Funds Bal Sh Exh 3'!R13</f>
        <v>0</v>
      </c>
      <c r="D13" s="35">
        <f>'Govt Funds Bal Sh Exh 3'!U13</f>
        <v>0</v>
      </c>
      <c r="E13" s="35">
        <f>'Govt Funds Bal Sh Exh 3'!X13</f>
        <v>0</v>
      </c>
      <c r="F13" s="34">
        <v>0</v>
      </c>
      <c r="G13" s="34">
        <f t="shared" si="0"/>
        <v>2618</v>
      </c>
      <c r="H13" s="35"/>
      <c r="I13" s="146" t="str">
        <f>IF(G13-'Govt Funds Bal Sh Exh 3'!E13=0,"Yes",G13-'Govt Funds Bal Sh Exh 3'!E13)</f>
        <v>Yes</v>
      </c>
      <c r="J13" s="324" t="str">
        <f t="shared" si="1"/>
        <v xml:space="preserve"> </v>
      </c>
      <c r="K13" s="41"/>
      <c r="L13" s="41"/>
      <c r="M13" s="41"/>
      <c r="N13" s="41"/>
      <c r="O13" s="41"/>
      <c r="P13" s="41"/>
      <c r="Q13" s="41"/>
      <c r="R13" s="41"/>
      <c r="S13" s="41"/>
      <c r="T13" s="41"/>
      <c r="U13" s="20"/>
      <c r="V13" s="20"/>
      <c r="W13" s="20"/>
      <c r="X13" s="20"/>
      <c r="Y13" s="20"/>
      <c r="Z13" s="20"/>
      <c r="AA13" s="20"/>
      <c r="AB13" s="20"/>
      <c r="AC13" s="20"/>
      <c r="AD13" s="20"/>
      <c r="AE13" s="20"/>
      <c r="AF13" s="20"/>
      <c r="AG13" s="20"/>
      <c r="AH13" s="11"/>
      <c r="AI13" s="11"/>
      <c r="AJ13" s="11"/>
      <c r="AK13" s="11"/>
      <c r="AL13" s="11"/>
    </row>
    <row r="14" spans="1:38" ht="21.95" customHeight="1" x14ac:dyDescent="0.35">
      <c r="A14" s="73" t="s">
        <v>3</v>
      </c>
      <c r="B14" s="37">
        <f>SUM(B9:B13)</f>
        <v>271651</v>
      </c>
      <c r="C14" s="37">
        <f>SUM(C9:C13)</f>
        <v>88705</v>
      </c>
      <c r="D14" s="37">
        <f>SUM(D9:D13)</f>
        <v>0</v>
      </c>
      <c r="E14" s="37">
        <f>SUM(E9:E13)</f>
        <v>5550</v>
      </c>
      <c r="F14" s="37">
        <f>SUM(F9:F13)</f>
        <v>0</v>
      </c>
      <c r="G14" s="37">
        <f t="shared" si="0"/>
        <v>365906</v>
      </c>
      <c r="H14" s="37"/>
      <c r="I14" s="146" t="str">
        <f>IF(G14-'Govt Funds Bal Sh Exh 3'!E14=0,"Yes",G14-'Govt Funds Bal Sh Exh 3'!E14)</f>
        <v>Yes</v>
      </c>
      <c r="J14" s="324" t="str">
        <f t="shared" si="1"/>
        <v xml:space="preserve"> </v>
      </c>
      <c r="K14" s="49"/>
      <c r="L14" s="49"/>
      <c r="M14" s="49"/>
      <c r="N14" s="49"/>
      <c r="O14" s="49"/>
      <c r="P14" s="49"/>
      <c r="Q14" s="49"/>
      <c r="R14" s="49"/>
      <c r="S14" s="49"/>
      <c r="T14" s="49"/>
      <c r="U14" s="20"/>
      <c r="V14" s="20"/>
      <c r="W14" s="20"/>
      <c r="X14" s="20"/>
      <c r="Y14" s="20"/>
      <c r="Z14" s="20"/>
      <c r="AA14" s="20"/>
      <c r="AB14" s="20"/>
      <c r="AC14" s="20"/>
      <c r="AD14" s="20"/>
      <c r="AE14" s="20"/>
      <c r="AF14" s="20"/>
      <c r="AG14" s="20"/>
      <c r="AH14" s="11"/>
      <c r="AI14" s="11"/>
      <c r="AJ14" s="11"/>
      <c r="AK14" s="11"/>
      <c r="AL14" s="11"/>
    </row>
    <row r="15" spans="1:38" ht="21" customHeight="1" x14ac:dyDescent="0.25">
      <c r="A15" s="28" t="s">
        <v>228</v>
      </c>
      <c r="B15" s="20"/>
      <c r="C15" s="20"/>
      <c r="D15" s="20"/>
      <c r="E15" s="20"/>
      <c r="F15" s="20"/>
      <c r="G15" s="20"/>
      <c r="H15" s="20"/>
      <c r="I15" s="30"/>
      <c r="J15" s="324"/>
      <c r="K15" s="30"/>
      <c r="L15" s="30"/>
      <c r="M15" s="30"/>
      <c r="N15" s="30"/>
      <c r="O15" s="30"/>
      <c r="P15" s="30"/>
      <c r="Q15" s="30"/>
      <c r="R15" s="30"/>
      <c r="S15" s="30"/>
      <c r="T15" s="30"/>
      <c r="U15" s="20"/>
      <c r="V15" s="20"/>
      <c r="W15" s="20"/>
      <c r="X15" s="20"/>
      <c r="Y15" s="20"/>
      <c r="Z15" s="20"/>
      <c r="AA15" s="20"/>
      <c r="AB15" s="20"/>
      <c r="AC15" s="20"/>
      <c r="AD15" s="20"/>
      <c r="AE15" s="20"/>
      <c r="AF15" s="20"/>
      <c r="AG15" s="20"/>
      <c r="AH15" s="11"/>
      <c r="AI15" s="11"/>
      <c r="AJ15" s="11"/>
      <c r="AK15" s="11"/>
      <c r="AL15" s="11"/>
    </row>
    <row r="16" spans="1:38" ht="15.75" customHeight="1" x14ac:dyDescent="0.25">
      <c r="A16" s="36" t="s">
        <v>45</v>
      </c>
      <c r="B16" s="18">
        <f>'Govt Funds Bal Sh Exh 3'!O16</f>
        <v>102614</v>
      </c>
      <c r="C16" s="18">
        <f>'Govt Funds Bal Sh Exh 3'!R16</f>
        <v>43312</v>
      </c>
      <c r="D16" s="18">
        <f>'Govt Funds Bal Sh Exh 3'!U16</f>
        <v>0</v>
      </c>
      <c r="E16" s="18">
        <f>'Govt Funds Bal Sh Exh 3'!X16</f>
        <v>535</v>
      </c>
      <c r="F16" s="18">
        <v>0</v>
      </c>
      <c r="G16" s="18">
        <f t="shared" ref="G16:G21" si="2">SUM(B16:F16)</f>
        <v>146461</v>
      </c>
      <c r="H16" s="18"/>
      <c r="I16" s="146" t="str">
        <f>IF(G16-'Govt Funds Bal Sh Exh 3'!E16=0,"Yes",G16-'Govt Funds Bal Sh Exh 3'!E16)</f>
        <v>Yes</v>
      </c>
      <c r="J16" s="324" t="str">
        <f t="shared" si="1"/>
        <v xml:space="preserve"> </v>
      </c>
      <c r="K16" s="38"/>
      <c r="L16" s="38"/>
      <c r="M16" s="38"/>
      <c r="N16" s="38"/>
      <c r="O16" s="38"/>
      <c r="P16" s="38"/>
      <c r="Q16" s="38"/>
      <c r="R16" s="38"/>
      <c r="S16" s="38"/>
      <c r="T16" s="38"/>
      <c r="U16" s="20"/>
      <c r="V16" s="30"/>
      <c r="W16" s="30"/>
      <c r="X16" s="30"/>
      <c r="Y16" s="30"/>
      <c r="Z16" s="20"/>
      <c r="AA16" s="20"/>
      <c r="AB16" s="20"/>
      <c r="AC16" s="20"/>
      <c r="AD16" s="20"/>
      <c r="AE16" s="20"/>
      <c r="AF16" s="20"/>
      <c r="AG16" s="20"/>
      <c r="AH16" s="11"/>
      <c r="AI16" s="11"/>
      <c r="AJ16" s="11"/>
      <c r="AK16" s="11"/>
      <c r="AL16" s="11"/>
    </row>
    <row r="17" spans="1:38" ht="15.75" customHeight="1" x14ac:dyDescent="0.25">
      <c r="A17" s="70" t="s">
        <v>90</v>
      </c>
      <c r="B17" s="32">
        <f>'Govt Funds Bal Sh Exh 3'!O17</f>
        <v>69600</v>
      </c>
      <c r="C17" s="32">
        <f>'Govt Funds Bal Sh Exh 3'!R17</f>
        <v>45393</v>
      </c>
      <c r="D17" s="32">
        <f>'Govt Funds Bal Sh Exh 3'!U17</f>
        <v>0</v>
      </c>
      <c r="E17" s="32">
        <f>'Govt Funds Bal Sh Exh 3'!X17</f>
        <v>0</v>
      </c>
      <c r="F17" s="33">
        <v>0</v>
      </c>
      <c r="G17" s="33">
        <f t="shared" si="2"/>
        <v>114993</v>
      </c>
      <c r="H17" s="32"/>
      <c r="I17" s="146" t="str">
        <f>IF(G17-'Govt Funds Bal Sh Exh 3'!E17=0,"Yes",G17-'Govt Funds Bal Sh Exh 3'!E17)</f>
        <v>Yes</v>
      </c>
      <c r="J17" s="324" t="str">
        <f t="shared" si="1"/>
        <v xml:space="preserve"> </v>
      </c>
      <c r="K17" s="31"/>
      <c r="L17" s="31"/>
      <c r="M17" s="31"/>
      <c r="N17" s="31"/>
      <c r="O17" s="31"/>
      <c r="P17" s="31"/>
      <c r="Q17" s="31"/>
      <c r="R17" s="31"/>
      <c r="S17" s="31"/>
      <c r="T17" s="31"/>
      <c r="U17" s="20"/>
      <c r="V17" s="30"/>
      <c r="W17" s="31"/>
      <c r="X17" s="31"/>
      <c r="Y17" s="31"/>
      <c r="Z17" s="20"/>
      <c r="AA17" s="20"/>
      <c r="AB17" s="20"/>
      <c r="AC17" s="20"/>
      <c r="AD17" s="20"/>
      <c r="AE17" s="20"/>
      <c r="AF17" s="20"/>
      <c r="AG17" s="20"/>
      <c r="AH17" s="11"/>
      <c r="AI17" s="11"/>
      <c r="AJ17" s="11"/>
      <c r="AK17" s="11"/>
      <c r="AL17" s="11"/>
    </row>
    <row r="18" spans="1:38" ht="15.75" hidden="1" customHeight="1" x14ac:dyDescent="0.25">
      <c r="A18" s="40" t="s">
        <v>202</v>
      </c>
      <c r="B18" s="32">
        <f>'Govt Funds Bal Sh Exh 3'!O18</f>
        <v>0</v>
      </c>
      <c r="C18" s="32">
        <f>'Govt Funds Bal Sh Exh 3'!R18</f>
        <v>0</v>
      </c>
      <c r="D18" s="32">
        <f>'Govt Funds Bal Sh Exh 3'!U18</f>
        <v>0</v>
      </c>
      <c r="E18" s="32">
        <f>'Govt Funds Bal Sh Exh 3'!X18</f>
        <v>0</v>
      </c>
      <c r="F18" s="33">
        <v>0</v>
      </c>
      <c r="G18" s="33">
        <f t="shared" si="2"/>
        <v>0</v>
      </c>
      <c r="H18" s="32"/>
      <c r="I18" s="146" t="str">
        <f>IF(G18-'Govt Funds Bal Sh Exh 3'!E18=0,"Yes",G18-'Govt Funds Bal Sh Exh 3'!E18)</f>
        <v>Yes</v>
      </c>
      <c r="J18" s="324" t="str">
        <f t="shared" si="1"/>
        <v>Hide Row?</v>
      </c>
      <c r="K18" s="31"/>
      <c r="L18" s="31"/>
      <c r="M18" s="31"/>
      <c r="N18" s="31"/>
      <c r="O18" s="31"/>
      <c r="P18" s="31"/>
      <c r="Q18" s="31"/>
      <c r="R18" s="31"/>
      <c r="S18" s="31"/>
      <c r="T18" s="31"/>
      <c r="U18" s="20"/>
      <c r="V18" s="40"/>
      <c r="W18" s="31"/>
      <c r="X18" s="31"/>
      <c r="Y18" s="31"/>
      <c r="Z18" s="20"/>
      <c r="AA18" s="20"/>
      <c r="AB18" s="20"/>
      <c r="AC18" s="20"/>
      <c r="AD18" s="20"/>
      <c r="AE18" s="20"/>
      <c r="AF18" s="20"/>
      <c r="AG18" s="20"/>
      <c r="AH18" s="11"/>
      <c r="AI18" s="11"/>
      <c r="AJ18" s="11"/>
      <c r="AK18" s="11"/>
      <c r="AL18" s="11"/>
    </row>
    <row r="19" spans="1:38" ht="15.75" customHeight="1" x14ac:dyDescent="0.35">
      <c r="A19" s="54" t="s">
        <v>9</v>
      </c>
      <c r="B19" s="35">
        <f>'Govt Funds Bal Sh Exh 3'!O19</f>
        <v>8000</v>
      </c>
      <c r="C19" s="35">
        <f>'Govt Funds Bal Sh Exh 3'!R19</f>
        <v>0</v>
      </c>
      <c r="D19" s="35">
        <f>'Govt Funds Bal Sh Exh 3'!U19</f>
        <v>0</v>
      </c>
      <c r="E19" s="35">
        <f>'Govt Funds Bal Sh Exh 3'!X19</f>
        <v>0</v>
      </c>
      <c r="F19" s="107">
        <v>0</v>
      </c>
      <c r="G19" s="107">
        <f t="shared" si="2"/>
        <v>8000</v>
      </c>
      <c r="H19" s="32"/>
      <c r="I19" s="146" t="str">
        <f>IF(G19-'Govt Funds Bal Sh Exh 3'!E19=0,"Yes",G19-'Govt Funds Bal Sh Exh 3'!E19)</f>
        <v>Yes</v>
      </c>
      <c r="J19" s="324" t="str">
        <f t="shared" si="1"/>
        <v xml:space="preserve"> </v>
      </c>
      <c r="K19" s="31"/>
      <c r="L19" s="31"/>
      <c r="M19" s="31"/>
      <c r="N19" s="31"/>
      <c r="O19" s="31"/>
      <c r="P19" s="31"/>
      <c r="Q19" s="31"/>
      <c r="R19" s="31"/>
      <c r="S19" s="31"/>
      <c r="T19" s="31"/>
      <c r="U19" s="20"/>
      <c r="V19" s="40"/>
      <c r="W19" s="31"/>
      <c r="X19" s="31"/>
      <c r="Y19" s="31"/>
      <c r="Z19" s="20"/>
      <c r="AA19" s="20"/>
      <c r="AB19" s="20"/>
      <c r="AC19" s="20"/>
      <c r="AD19" s="20"/>
      <c r="AE19" s="20"/>
      <c r="AF19" s="20"/>
      <c r="AG19" s="20"/>
      <c r="AH19" s="11"/>
      <c r="AI19" s="11"/>
      <c r="AJ19" s="11"/>
      <c r="AK19" s="11"/>
      <c r="AL19" s="11"/>
    </row>
    <row r="20" spans="1:38" ht="17.25" hidden="1" customHeight="1" x14ac:dyDescent="0.35">
      <c r="A20" s="48" t="s">
        <v>9</v>
      </c>
      <c r="B20" s="35">
        <f>'Govt Funds Bal Sh Exh 3'!O20</f>
        <v>0</v>
      </c>
      <c r="C20" s="35">
        <f>'Govt Funds Bal Sh Exh 3'!R20</f>
        <v>0</v>
      </c>
      <c r="D20" s="35">
        <f>'Govt Funds Bal Sh Exh 3'!U20</f>
        <v>0</v>
      </c>
      <c r="E20" s="35">
        <f>'Govt Funds Bal Sh Exh 3'!X20</f>
        <v>0</v>
      </c>
      <c r="F20" s="41">
        <v>0</v>
      </c>
      <c r="G20" s="41">
        <f t="shared" si="2"/>
        <v>0</v>
      </c>
      <c r="H20" s="35"/>
      <c r="I20" s="146" t="str">
        <f>IF(G20-'Govt Funds Bal Sh Exh 3'!E20=0,"Yes",G20-'Govt Funds Bal Sh Exh 3'!E20)</f>
        <v>Yes</v>
      </c>
      <c r="J20" s="324" t="str">
        <f t="shared" si="1"/>
        <v>Hide Row?</v>
      </c>
      <c r="K20" s="41"/>
      <c r="L20" s="41"/>
      <c r="M20" s="41"/>
      <c r="N20" s="41"/>
      <c r="O20" s="41"/>
      <c r="P20" s="41"/>
      <c r="Q20" s="41"/>
      <c r="R20" s="41"/>
      <c r="S20" s="41"/>
      <c r="T20" s="41"/>
      <c r="U20" s="20"/>
      <c r="V20" s="30"/>
      <c r="W20" s="31"/>
      <c r="X20" s="31"/>
      <c r="Y20" s="31"/>
      <c r="Z20" s="20"/>
      <c r="AA20" s="20"/>
      <c r="AB20" s="20"/>
      <c r="AC20" s="20"/>
      <c r="AD20" s="20"/>
      <c r="AE20" s="20"/>
      <c r="AF20" s="20"/>
      <c r="AG20" s="20"/>
      <c r="AH20" s="11"/>
      <c r="AI20" s="11"/>
      <c r="AJ20" s="11"/>
      <c r="AK20" s="11"/>
      <c r="AL20" s="11"/>
    </row>
    <row r="21" spans="1:38" ht="21.95" customHeight="1" x14ac:dyDescent="0.35">
      <c r="A21" s="73" t="s">
        <v>4</v>
      </c>
      <c r="B21" s="41">
        <f>SUM(B16:B20)</f>
        <v>180214</v>
      </c>
      <c r="C21" s="41">
        <f>SUM(C16:C20)</f>
        <v>88705</v>
      </c>
      <c r="D21" s="41">
        <f>SUM(D16:D20)</f>
        <v>0</v>
      </c>
      <c r="E21" s="41">
        <f>SUM(E16:E20)</f>
        <v>535</v>
      </c>
      <c r="F21" s="41">
        <f>SUM(F16:F20)</f>
        <v>0</v>
      </c>
      <c r="G21" s="41">
        <f t="shared" si="2"/>
        <v>269454</v>
      </c>
      <c r="H21" s="41"/>
      <c r="I21" s="146" t="str">
        <f>IF(G21-'Govt Funds Bal Sh Exh 3'!E21=0,"Yes",G21-'Govt Funds Bal Sh Exh 3'!E21)</f>
        <v>Yes</v>
      </c>
      <c r="J21" s="324" t="str">
        <f t="shared" si="1"/>
        <v xml:space="preserve"> </v>
      </c>
      <c r="K21" s="41"/>
      <c r="L21" s="41"/>
      <c r="M21" s="41"/>
      <c r="N21" s="41"/>
      <c r="O21" s="41"/>
      <c r="P21" s="41"/>
      <c r="Q21" s="41"/>
      <c r="R21" s="41"/>
      <c r="S21" s="41"/>
      <c r="T21" s="41"/>
      <c r="U21" s="20"/>
      <c r="V21" s="30"/>
      <c r="W21" s="31"/>
      <c r="X21" s="31"/>
      <c r="Y21" s="31"/>
      <c r="Z21" s="20"/>
      <c r="AA21" s="20"/>
      <c r="AB21" s="20"/>
      <c r="AC21" s="20"/>
      <c r="AD21" s="20"/>
      <c r="AE21" s="20"/>
      <c r="AF21" s="20"/>
      <c r="AG21" s="20"/>
      <c r="AH21" s="11"/>
      <c r="AI21" s="11"/>
      <c r="AJ21" s="11"/>
      <c r="AK21" s="11"/>
      <c r="AL21" s="11"/>
    </row>
    <row r="22" spans="1:38" ht="24" customHeight="1" x14ac:dyDescent="0.35">
      <c r="A22" s="42" t="s">
        <v>229</v>
      </c>
      <c r="B22" s="35">
        <f>'Govt Funds Bal Sh Exh 3'!O22</f>
        <v>420</v>
      </c>
      <c r="C22" s="35">
        <f>'Govt Funds Bal Sh Exh 3'!R22</f>
        <v>0</v>
      </c>
      <c r="D22" s="35">
        <f>'Govt Funds Bal Sh Exh 3'!U22</f>
        <v>0</v>
      </c>
      <c r="E22" s="35">
        <f>'Govt Funds Bal Sh Exh 3'!X22</f>
        <v>0</v>
      </c>
      <c r="F22" s="41">
        <v>0</v>
      </c>
      <c r="G22" s="85">
        <f>SUM(B22:F22)</f>
        <v>420</v>
      </c>
      <c r="H22" s="43"/>
      <c r="I22" s="146" t="str">
        <f>IF(G22-'Govt Funds Bal Sh Exh 3'!E22=0,"Yes",G22-'Govt Funds Bal Sh Exh 3'!E22)</f>
        <v>Yes</v>
      </c>
      <c r="J22" s="324" t="str">
        <f t="shared" si="1"/>
        <v xml:space="preserve"> </v>
      </c>
      <c r="K22" s="43"/>
      <c r="L22" s="43"/>
      <c r="M22" s="43"/>
      <c r="N22" s="43"/>
      <c r="O22" s="43"/>
      <c r="P22" s="43"/>
      <c r="Q22" s="43"/>
      <c r="R22" s="43"/>
      <c r="S22" s="43"/>
      <c r="T22" s="43"/>
      <c r="U22" s="20"/>
      <c r="V22" s="30"/>
      <c r="W22" s="31"/>
      <c r="X22" s="31"/>
      <c r="Y22" s="31"/>
      <c r="Z22" s="20"/>
      <c r="AA22" s="20"/>
      <c r="AB22" s="20"/>
      <c r="AC22" s="20"/>
      <c r="AD22" s="20"/>
      <c r="AE22" s="20"/>
      <c r="AF22" s="20"/>
      <c r="AG22" s="20"/>
      <c r="AH22" s="11"/>
      <c r="AI22" s="11"/>
      <c r="AJ22" s="11"/>
      <c r="AK22" s="11"/>
      <c r="AL22" s="11"/>
    </row>
    <row r="23" spans="1:38" ht="24" customHeight="1" x14ac:dyDescent="0.25">
      <c r="A23" s="42" t="s">
        <v>239</v>
      </c>
      <c r="B23" s="30"/>
      <c r="C23" s="30"/>
      <c r="D23" s="30"/>
      <c r="E23" s="30"/>
      <c r="F23" s="30"/>
      <c r="G23" s="30"/>
      <c r="H23" s="30"/>
      <c r="I23" s="30"/>
      <c r="J23" s="324"/>
      <c r="K23" s="30"/>
      <c r="L23" s="30"/>
      <c r="M23" s="30"/>
      <c r="N23" s="30"/>
      <c r="O23" s="30"/>
      <c r="P23" s="30"/>
      <c r="Q23" s="30"/>
      <c r="R23" s="30"/>
      <c r="S23" s="30"/>
      <c r="T23" s="30"/>
      <c r="U23" s="20"/>
      <c r="V23" s="30"/>
      <c r="W23" s="31"/>
      <c r="X23" s="31"/>
      <c r="Y23" s="31"/>
      <c r="Z23" s="20"/>
      <c r="AA23" s="20"/>
      <c r="AB23" s="20"/>
      <c r="AC23" s="20"/>
      <c r="AD23" s="20"/>
      <c r="AE23" s="20"/>
      <c r="AF23" s="20"/>
      <c r="AG23" s="20"/>
      <c r="AH23" s="11"/>
      <c r="AI23" s="11"/>
      <c r="AJ23" s="11"/>
      <c r="AK23" s="11"/>
      <c r="AL23" s="11"/>
    </row>
    <row r="24" spans="1:38" ht="15.75" customHeight="1" x14ac:dyDescent="0.25">
      <c r="A24" s="40" t="s">
        <v>337</v>
      </c>
      <c r="B24" s="30"/>
      <c r="C24" s="30"/>
      <c r="D24" s="30"/>
      <c r="E24" s="30"/>
      <c r="F24" s="30"/>
      <c r="G24" s="30"/>
      <c r="H24" s="30"/>
      <c r="I24" s="146"/>
      <c r="J24" s="324" t="str">
        <f>IF(AND(J25="Hide Row?",J26="Hide Row?"),"Hide Row?"," ")</f>
        <v xml:space="preserve"> </v>
      </c>
      <c r="K24" s="30"/>
      <c r="L24" s="30"/>
      <c r="M24" s="30"/>
      <c r="N24" s="30"/>
      <c r="O24" s="30"/>
      <c r="P24" s="30"/>
      <c r="Q24" s="30"/>
      <c r="R24" s="30"/>
      <c r="S24" s="30"/>
      <c r="T24" s="30"/>
      <c r="U24" s="20"/>
      <c r="V24" s="20"/>
      <c r="W24" s="20"/>
      <c r="X24" s="20"/>
      <c r="Y24" s="20"/>
      <c r="Z24" s="20"/>
      <c r="AA24" s="20"/>
      <c r="AB24" s="20"/>
      <c r="AC24" s="20"/>
      <c r="AD24" s="20"/>
      <c r="AE24" s="20"/>
      <c r="AF24" s="20"/>
      <c r="AG24" s="20"/>
      <c r="AH24" s="11"/>
      <c r="AI24" s="11"/>
      <c r="AJ24" s="11"/>
      <c r="AK24" s="11"/>
      <c r="AL24" s="11"/>
    </row>
    <row r="25" spans="1:38" ht="15.75" customHeight="1" x14ac:dyDescent="0.25">
      <c r="A25" s="44" t="s">
        <v>2</v>
      </c>
      <c r="B25" s="32">
        <f>'Govt Funds Bal Sh Exh 3'!O25</f>
        <v>231</v>
      </c>
      <c r="C25" s="32">
        <f>'Govt Funds Bal Sh Exh 3'!R25</f>
        <v>0</v>
      </c>
      <c r="D25" s="32">
        <f>'Govt Funds Bal Sh Exh 3'!U25</f>
        <v>0</v>
      </c>
      <c r="E25" s="32">
        <f>'Govt Funds Bal Sh Exh 3'!X25</f>
        <v>0</v>
      </c>
      <c r="F25" s="31">
        <v>0</v>
      </c>
      <c r="G25" s="31">
        <f>SUM(B25:F25)</f>
        <v>231</v>
      </c>
      <c r="H25" s="32"/>
      <c r="I25" s="146" t="str">
        <f>IF(G25-'Govt Funds Bal Sh Exh 3'!E25=0,"Yes",G25-'Govt Funds Bal Sh Exh 3'!E25)</f>
        <v>Yes</v>
      </c>
      <c r="J25" s="324" t="str">
        <f t="shared" si="1"/>
        <v xml:space="preserve"> </v>
      </c>
      <c r="K25" s="31"/>
      <c r="L25" s="31"/>
      <c r="M25" s="31"/>
      <c r="N25" s="31"/>
      <c r="O25" s="31"/>
      <c r="P25" s="31"/>
      <c r="Q25" s="31"/>
      <c r="R25" s="31"/>
      <c r="S25" s="31"/>
      <c r="T25" s="31"/>
      <c r="U25" s="20"/>
      <c r="V25" s="20"/>
      <c r="W25" s="20"/>
      <c r="X25" s="20"/>
      <c r="Y25" s="20"/>
      <c r="Z25" s="20"/>
      <c r="AA25" s="20"/>
      <c r="AB25" s="20"/>
      <c r="AC25" s="20"/>
      <c r="AD25" s="20"/>
      <c r="AE25" s="20"/>
      <c r="AF25" s="20"/>
      <c r="AG25" s="20"/>
      <c r="AH25" s="11"/>
      <c r="AI25" s="11"/>
      <c r="AJ25" s="11"/>
      <c r="AK25" s="11"/>
      <c r="AL25" s="11"/>
    </row>
    <row r="26" spans="1:38" ht="15.75" customHeight="1" x14ac:dyDescent="0.25">
      <c r="A26" s="44" t="s">
        <v>129</v>
      </c>
      <c r="B26" s="32">
        <f>'Govt Funds Bal Sh Exh 3'!O26</f>
        <v>2618</v>
      </c>
      <c r="C26" s="32">
        <f>'Govt Funds Bal Sh Exh 3'!R26</f>
        <v>0</v>
      </c>
      <c r="D26" s="32">
        <f>'Govt Funds Bal Sh Exh 3'!U26</f>
        <v>0</v>
      </c>
      <c r="E26" s="32">
        <f>'Govt Funds Bal Sh Exh 3'!X26</f>
        <v>0</v>
      </c>
      <c r="F26" s="31">
        <v>0</v>
      </c>
      <c r="G26" s="31">
        <f>SUM(B26:F26)</f>
        <v>2618</v>
      </c>
      <c r="H26" s="32"/>
      <c r="I26" s="146" t="str">
        <f>IF(G26-'Govt Funds Bal Sh Exh 3'!E26=0,"Yes",G26-'Govt Funds Bal Sh Exh 3'!E26)</f>
        <v>Yes</v>
      </c>
      <c r="J26" s="324" t="str">
        <f t="shared" si="1"/>
        <v xml:space="preserve"> </v>
      </c>
      <c r="K26" s="31"/>
      <c r="L26" s="31"/>
      <c r="M26" s="31"/>
      <c r="N26" s="31"/>
      <c r="O26" s="31"/>
      <c r="P26" s="31"/>
      <c r="Q26" s="31"/>
      <c r="R26" s="31"/>
      <c r="S26" s="31"/>
      <c r="T26" s="31"/>
      <c r="U26" s="20"/>
      <c r="V26" s="20"/>
      <c r="W26" s="20"/>
      <c r="X26" s="20"/>
      <c r="Y26" s="20"/>
      <c r="Z26" s="20"/>
      <c r="AA26" s="20"/>
      <c r="AB26" s="20"/>
      <c r="AC26" s="20"/>
      <c r="AD26" s="20"/>
      <c r="AE26" s="20"/>
      <c r="AF26" s="20"/>
      <c r="AG26" s="20"/>
      <c r="AH26" s="11"/>
      <c r="AI26" s="11"/>
      <c r="AJ26" s="11"/>
      <c r="AK26" s="11"/>
      <c r="AL26" s="11"/>
    </row>
    <row r="27" spans="1:38" s="7" customFormat="1" ht="15.75" hidden="1" customHeight="1" x14ac:dyDescent="0.25">
      <c r="A27" s="40" t="s">
        <v>160</v>
      </c>
      <c r="B27" s="32"/>
      <c r="C27" s="32"/>
      <c r="D27" s="32"/>
      <c r="E27" s="32"/>
      <c r="F27" s="31"/>
      <c r="G27" s="31"/>
      <c r="H27" s="31"/>
      <c r="I27" s="31"/>
      <c r="J27" s="324" t="str">
        <f>IF(AND(J28="Hide Row?"),"Hide Row?"," ")</f>
        <v>Hide Row?</v>
      </c>
      <c r="K27" s="31"/>
      <c r="L27" s="31"/>
      <c r="M27" s="31"/>
      <c r="N27" s="31"/>
      <c r="O27" s="31"/>
      <c r="P27" s="31"/>
      <c r="Q27" s="31"/>
      <c r="R27" s="31"/>
      <c r="S27" s="31"/>
      <c r="T27" s="31"/>
      <c r="U27" s="30"/>
      <c r="V27" s="30"/>
      <c r="W27" s="30"/>
      <c r="X27" s="30"/>
      <c r="Y27" s="30"/>
      <c r="Z27" s="30"/>
      <c r="AA27" s="30"/>
      <c r="AB27" s="30"/>
      <c r="AC27" s="30"/>
      <c r="AD27" s="30"/>
      <c r="AE27" s="30"/>
      <c r="AF27" s="30"/>
      <c r="AG27" s="30"/>
      <c r="AH27" s="10"/>
      <c r="AI27" s="10"/>
      <c r="AJ27" s="10"/>
      <c r="AK27" s="10"/>
      <c r="AL27" s="10"/>
    </row>
    <row r="28" spans="1:38" ht="15.75" hidden="1" customHeight="1" x14ac:dyDescent="0.25">
      <c r="A28" s="44" t="s">
        <v>161</v>
      </c>
      <c r="B28" s="32">
        <f>'Govt Funds Bal Sh Exh 3'!O28</f>
        <v>0</v>
      </c>
      <c r="C28" s="32">
        <f>'Govt Funds Bal Sh Exh 3'!R28</f>
        <v>0</v>
      </c>
      <c r="D28" s="32">
        <f>'Govt Funds Bal Sh Exh 3'!U28</f>
        <v>0</v>
      </c>
      <c r="E28" s="32">
        <f>'Govt Funds Bal Sh Exh 3'!X28</f>
        <v>0</v>
      </c>
      <c r="F28" s="31">
        <v>0</v>
      </c>
      <c r="G28" s="31">
        <f>SUM(B28:F28)</f>
        <v>0</v>
      </c>
      <c r="H28" s="32"/>
      <c r="I28" s="146" t="str">
        <f>IF(G28-'Govt Funds Bal Sh Exh 3'!E28=0,"Yes",G28-'Govt Funds Bal Sh Exh 3'!E28)</f>
        <v>Yes</v>
      </c>
      <c r="J28" s="324" t="str">
        <f t="shared" si="1"/>
        <v>Hide Row?</v>
      </c>
      <c r="K28" s="31"/>
      <c r="L28" s="31"/>
      <c r="M28" s="31"/>
      <c r="N28" s="31"/>
      <c r="O28" s="31"/>
      <c r="P28" s="31"/>
      <c r="Q28" s="31"/>
      <c r="R28" s="31"/>
      <c r="S28" s="31"/>
      <c r="T28" s="31"/>
      <c r="U28" s="20"/>
      <c r="V28" s="20"/>
      <c r="W28" s="20"/>
      <c r="X28" s="20"/>
      <c r="Y28" s="20"/>
      <c r="Z28" s="20"/>
      <c r="AA28" s="20"/>
      <c r="AB28" s="20"/>
      <c r="AC28" s="20"/>
      <c r="AD28" s="20"/>
      <c r="AE28" s="20"/>
      <c r="AF28" s="20"/>
      <c r="AG28" s="20"/>
      <c r="AH28" s="11"/>
      <c r="AI28" s="11"/>
      <c r="AJ28" s="11"/>
      <c r="AK28" s="11"/>
      <c r="AL28" s="11"/>
    </row>
    <row r="29" spans="1:38" ht="17.25" customHeight="1" x14ac:dyDescent="0.35">
      <c r="A29" s="40" t="s">
        <v>247</v>
      </c>
      <c r="B29" s="35">
        <f>'Govt Funds Bal Sh Exh 3'!O29</f>
        <v>88168</v>
      </c>
      <c r="C29" s="35">
        <f>'Govt Funds Bal Sh Exh 3'!R29</f>
        <v>0</v>
      </c>
      <c r="D29" s="35">
        <f>'Govt Funds Bal Sh Exh 3'!U29</f>
        <v>0</v>
      </c>
      <c r="E29" s="35">
        <f>'Govt Funds Bal Sh Exh 3'!X29</f>
        <v>5015</v>
      </c>
      <c r="F29" s="41">
        <v>0</v>
      </c>
      <c r="G29" s="41">
        <f>SUM(B29:F29)</f>
        <v>93183</v>
      </c>
      <c r="H29" s="35"/>
      <c r="I29" s="146" t="str">
        <f>IF(G29-'Govt Funds Bal Sh Exh 3'!E29=0,"Yes",G29-'Govt Funds Bal Sh Exh 3'!E29)</f>
        <v>Yes</v>
      </c>
      <c r="J29" s="324" t="str">
        <f t="shared" si="1"/>
        <v xml:space="preserve"> </v>
      </c>
      <c r="K29" s="41"/>
      <c r="L29" s="41"/>
      <c r="M29" s="41"/>
      <c r="N29" s="41"/>
      <c r="O29" s="41"/>
      <c r="P29" s="41"/>
      <c r="Q29" s="41"/>
      <c r="R29" s="41"/>
      <c r="S29" s="41"/>
      <c r="T29" s="41"/>
      <c r="U29" s="20"/>
      <c r="V29" s="20"/>
      <c r="W29" s="20"/>
      <c r="X29" s="20"/>
      <c r="Y29" s="20" t="s">
        <v>49</v>
      </c>
      <c r="Z29" s="20"/>
      <c r="AA29" s="20"/>
      <c r="AB29" s="20"/>
      <c r="AC29" s="20"/>
      <c r="AD29" s="20"/>
      <c r="AE29" s="20"/>
      <c r="AF29" s="20"/>
      <c r="AG29" s="20"/>
      <c r="AH29" s="11"/>
      <c r="AI29" s="11"/>
      <c r="AJ29" s="11"/>
      <c r="AK29" s="11"/>
      <c r="AL29" s="11"/>
    </row>
    <row r="30" spans="1:38" ht="21.95" customHeight="1" x14ac:dyDescent="0.35">
      <c r="A30" s="44" t="s">
        <v>10</v>
      </c>
      <c r="B30" s="41">
        <f>SUM(B25:B29)</f>
        <v>91017</v>
      </c>
      <c r="C30" s="41">
        <f>SUM(C25:C29)</f>
        <v>0</v>
      </c>
      <c r="D30" s="41">
        <f>SUM(D25:D29)</f>
        <v>0</v>
      </c>
      <c r="E30" s="41">
        <f>SUM(E25:E29)</f>
        <v>5015</v>
      </c>
      <c r="F30" s="41">
        <f>SUM(F25:F29)</f>
        <v>0</v>
      </c>
      <c r="G30" s="41">
        <f>SUM(B30:F30)</f>
        <v>96032</v>
      </c>
      <c r="H30" s="41"/>
      <c r="I30" s="146" t="str">
        <f>IF(G30-'Govt Funds Bal Sh Exh 3'!E30=0,"Yes",G30-'Govt Funds Bal Sh Exh 3'!E30)</f>
        <v>Yes</v>
      </c>
      <c r="J30" s="324" t="str">
        <f t="shared" si="1"/>
        <v xml:space="preserve"> </v>
      </c>
      <c r="K30" s="41"/>
      <c r="L30" s="41"/>
      <c r="M30" s="41"/>
      <c r="N30" s="41"/>
      <c r="O30" s="41"/>
      <c r="P30" s="41"/>
      <c r="Q30" s="41"/>
      <c r="R30" s="41"/>
      <c r="S30" s="41"/>
      <c r="T30" s="41"/>
      <c r="U30" s="47"/>
      <c r="V30" s="20"/>
      <c r="W30" s="20"/>
      <c r="X30" s="20"/>
      <c r="Y30" s="20"/>
      <c r="Z30" s="20"/>
      <c r="AA30" s="20"/>
      <c r="AB30" s="20"/>
      <c r="AC30" s="20"/>
      <c r="AD30" s="20"/>
      <c r="AE30" s="20"/>
      <c r="AF30" s="20"/>
      <c r="AG30" s="20"/>
      <c r="AH30" s="11"/>
      <c r="AI30" s="11"/>
      <c r="AJ30" s="11"/>
      <c r="AK30" s="11"/>
      <c r="AL30" s="11"/>
    </row>
    <row r="31" spans="1:38" ht="35.1" customHeight="1" x14ac:dyDescent="0.35">
      <c r="A31" s="48" t="s">
        <v>198</v>
      </c>
      <c r="B31" s="49">
        <f t="shared" ref="B31:G31" si="3">B21+B30+B22</f>
        <v>271651</v>
      </c>
      <c r="C31" s="49">
        <f t="shared" si="3"/>
        <v>88705</v>
      </c>
      <c r="D31" s="49">
        <f t="shared" si="3"/>
        <v>0</v>
      </c>
      <c r="E31" s="49">
        <f t="shared" si="3"/>
        <v>5550</v>
      </c>
      <c r="F31" s="49">
        <f t="shared" si="3"/>
        <v>0</v>
      </c>
      <c r="G31" s="49">
        <f t="shared" si="3"/>
        <v>365906</v>
      </c>
      <c r="H31" s="49"/>
      <c r="I31" s="146" t="str">
        <f>IF(G31-'Govt Funds Bal Sh Exh 3'!E31=0,"Yes",G31-'Govt Funds Bal Sh Exh 3'!E31)</f>
        <v>Yes</v>
      </c>
      <c r="J31" s="324" t="str">
        <f t="shared" si="1"/>
        <v xml:space="preserve"> </v>
      </c>
      <c r="K31" s="49"/>
      <c r="L31" s="49"/>
      <c r="M31" s="49"/>
      <c r="N31" s="49"/>
      <c r="O31" s="49"/>
      <c r="P31" s="49"/>
      <c r="Q31" s="49"/>
      <c r="R31" s="49"/>
      <c r="S31" s="49"/>
      <c r="T31" s="49"/>
      <c r="U31" s="20"/>
      <c r="V31" s="20"/>
      <c r="W31" s="20"/>
      <c r="X31" s="20"/>
      <c r="Y31" s="20"/>
      <c r="Z31" s="20"/>
      <c r="AA31" s="20"/>
      <c r="AB31" s="20"/>
      <c r="AC31" s="20"/>
      <c r="AD31" s="20"/>
      <c r="AE31" s="20"/>
      <c r="AF31" s="20"/>
      <c r="AG31" s="20"/>
      <c r="AH31" s="11"/>
      <c r="AI31" s="11"/>
      <c r="AJ31" s="11"/>
      <c r="AK31" s="11"/>
      <c r="AL31" s="11"/>
    </row>
    <row r="32" spans="1:38" ht="14.25" customHeight="1" x14ac:dyDescent="0.25">
      <c r="A32" s="30"/>
      <c r="B32" s="30"/>
      <c r="C32" s="30"/>
      <c r="D32" s="30"/>
      <c r="E32" s="30"/>
      <c r="F32" s="30"/>
      <c r="G32" s="4"/>
      <c r="H32" s="30"/>
      <c r="I32" s="30"/>
      <c r="J32" s="323"/>
      <c r="K32" s="30"/>
      <c r="L32" s="30"/>
      <c r="M32" s="30"/>
      <c r="N32" s="30"/>
      <c r="O32" s="30"/>
      <c r="P32" s="30"/>
      <c r="Q32" s="30"/>
      <c r="R32" s="30"/>
      <c r="S32" s="30"/>
      <c r="T32" s="30"/>
      <c r="U32" s="20"/>
      <c r="V32" s="20" t="s">
        <v>159</v>
      </c>
      <c r="W32" s="20"/>
      <c r="X32" s="20"/>
      <c r="Y32" s="20"/>
      <c r="Z32" s="20"/>
      <c r="AA32" s="20"/>
      <c r="AB32" s="20"/>
      <c r="AC32" s="20"/>
      <c r="AD32" s="20"/>
      <c r="AE32" s="20"/>
      <c r="AF32" s="20"/>
      <c r="AG32" s="20"/>
      <c r="AH32" s="11"/>
      <c r="AI32" s="11"/>
      <c r="AJ32" s="11"/>
      <c r="AK32" s="11"/>
      <c r="AL32" s="11"/>
    </row>
    <row r="33" spans="1:38" s="2" customFormat="1" ht="15.75" x14ac:dyDescent="0.25">
      <c r="A33" s="51"/>
      <c r="B33" s="385"/>
      <c r="C33" s="385"/>
      <c r="D33" s="385"/>
      <c r="E33" s="385"/>
      <c r="F33" s="385"/>
      <c r="G33" s="30"/>
      <c r="H33" s="52"/>
      <c r="I33" s="52"/>
      <c r="J33" s="52"/>
      <c r="K33" s="52"/>
      <c r="L33" s="52"/>
      <c r="M33" s="52"/>
      <c r="N33" s="52"/>
      <c r="O33" s="52"/>
      <c r="P33" s="52"/>
      <c r="Q33" s="52"/>
      <c r="R33" s="52"/>
      <c r="T33" s="53"/>
      <c r="U33" s="53"/>
      <c r="V33" s="53"/>
      <c r="W33" s="53"/>
      <c r="X33" s="53"/>
      <c r="Y33" s="53"/>
      <c r="Z33" s="53"/>
      <c r="AA33" s="53"/>
      <c r="AB33" s="53"/>
      <c r="AC33" s="53"/>
      <c r="AD33" s="53"/>
      <c r="AE33" s="53"/>
      <c r="AF33" s="53"/>
      <c r="AG33" s="53"/>
      <c r="AH33" s="14"/>
      <c r="AI33" s="14"/>
      <c r="AJ33" s="14"/>
      <c r="AK33" s="14"/>
      <c r="AL33" s="14"/>
    </row>
    <row r="34" spans="1:38" s="2" customFormat="1" ht="15.75" x14ac:dyDescent="0.25">
      <c r="A34" s="20"/>
      <c r="B34" s="64"/>
      <c r="C34" s="64"/>
      <c r="D34" s="64"/>
      <c r="E34" s="64"/>
      <c r="F34" s="64"/>
      <c r="G34" s="31"/>
      <c r="H34" s="48"/>
      <c r="I34" s="48"/>
      <c r="J34" s="48"/>
      <c r="K34" s="48"/>
      <c r="L34" s="48"/>
      <c r="M34" s="48"/>
      <c r="N34" s="48"/>
      <c r="O34" s="48"/>
      <c r="P34" s="48"/>
      <c r="Q34" s="48"/>
      <c r="R34" s="48"/>
      <c r="T34" s="53"/>
      <c r="U34" s="53"/>
      <c r="V34" s="53"/>
      <c r="W34" s="53"/>
      <c r="X34" s="53"/>
      <c r="Y34" s="53"/>
      <c r="Z34" s="53"/>
      <c r="AA34" s="53"/>
      <c r="AB34" s="53"/>
      <c r="AC34" s="53"/>
      <c r="AD34" s="53"/>
      <c r="AE34" s="53"/>
      <c r="AF34" s="53"/>
      <c r="AG34" s="53"/>
      <c r="AH34" s="14"/>
      <c r="AI34" s="14"/>
      <c r="AJ34" s="14"/>
      <c r="AK34" s="14"/>
      <c r="AL34" s="14"/>
    </row>
    <row r="35" spans="1:38" s="2" customFormat="1" ht="15.75" x14ac:dyDescent="0.25">
      <c r="A35" s="51"/>
      <c r="B35" s="396"/>
      <c r="C35" s="396"/>
      <c r="D35" s="396"/>
      <c r="E35" s="396"/>
      <c r="F35" s="396"/>
      <c r="G35" s="31"/>
      <c r="H35" s="54"/>
      <c r="I35" s="54"/>
      <c r="J35" s="54"/>
      <c r="K35" s="54"/>
      <c r="L35" s="54"/>
      <c r="M35" s="54"/>
      <c r="N35" s="54"/>
      <c r="O35" s="54"/>
      <c r="P35" s="54"/>
      <c r="Q35" s="54"/>
      <c r="R35" s="54"/>
      <c r="T35" s="53"/>
      <c r="U35" s="53"/>
      <c r="V35" s="53"/>
      <c r="W35" s="53"/>
      <c r="X35" s="53"/>
      <c r="Y35" s="53"/>
      <c r="Z35" s="53"/>
      <c r="AA35" s="53"/>
      <c r="AB35" s="53"/>
      <c r="AC35" s="53"/>
      <c r="AD35" s="53"/>
      <c r="AE35" s="53"/>
      <c r="AF35" s="53"/>
      <c r="AG35" s="53"/>
      <c r="AH35" s="14"/>
      <c r="AI35" s="14"/>
      <c r="AJ35" s="14"/>
      <c r="AK35" s="14"/>
      <c r="AL35" s="14"/>
    </row>
    <row r="36" spans="1:38" s="2" customFormat="1" ht="17.25" x14ac:dyDescent="0.35">
      <c r="A36" s="51"/>
      <c r="B36" s="376"/>
      <c r="C36" s="376"/>
      <c r="D36" s="376"/>
      <c r="E36" s="376"/>
      <c r="F36" s="376"/>
      <c r="G36" s="55"/>
      <c r="H36" s="56"/>
      <c r="I36" s="56"/>
      <c r="J36" s="56"/>
      <c r="K36" s="56"/>
      <c r="L36" s="56"/>
      <c r="M36" s="56"/>
      <c r="N36" s="56"/>
      <c r="O36" s="56"/>
      <c r="P36" s="56"/>
      <c r="Q36" s="56"/>
      <c r="R36" s="56"/>
      <c r="T36" s="53"/>
      <c r="U36" s="53"/>
      <c r="V36" s="53"/>
      <c r="W36" s="53"/>
      <c r="X36" s="53"/>
      <c r="Y36" s="53"/>
      <c r="Z36" s="53"/>
      <c r="AA36" s="53"/>
      <c r="AB36" s="53"/>
      <c r="AC36" s="53"/>
      <c r="AD36" s="53"/>
      <c r="AE36" s="53"/>
      <c r="AF36" s="53"/>
      <c r="AG36" s="53"/>
      <c r="AH36" s="14"/>
      <c r="AI36" s="14"/>
      <c r="AJ36" s="14"/>
      <c r="AK36" s="14"/>
      <c r="AL36" s="14"/>
    </row>
    <row r="37" spans="1:38" s="2" customFormat="1" ht="17.25" x14ac:dyDescent="0.35">
      <c r="A37" s="51"/>
      <c r="B37" s="44"/>
      <c r="C37" s="57"/>
      <c r="D37" s="57"/>
      <c r="E37" s="57"/>
      <c r="F37" s="57"/>
      <c r="G37" s="37"/>
      <c r="H37" s="57"/>
      <c r="I37" s="40"/>
      <c r="J37" s="40"/>
      <c r="K37" s="40"/>
      <c r="L37" s="40"/>
      <c r="M37" s="40"/>
      <c r="N37" s="40"/>
      <c r="O37" s="40"/>
      <c r="P37" s="40"/>
      <c r="Q37" s="40"/>
      <c r="R37" s="30"/>
      <c r="T37" s="53"/>
      <c r="U37" s="53"/>
      <c r="V37" s="53"/>
      <c r="W37" s="53"/>
      <c r="X37" s="53"/>
      <c r="Y37" s="53"/>
      <c r="Z37" s="53"/>
      <c r="AA37" s="53"/>
      <c r="AB37" s="53"/>
      <c r="AC37" s="53"/>
      <c r="AD37" s="53"/>
      <c r="AE37" s="53"/>
      <c r="AF37" s="53"/>
      <c r="AG37" s="53"/>
      <c r="AH37" s="14"/>
      <c r="AI37" s="14"/>
      <c r="AJ37" s="14"/>
      <c r="AK37" s="14"/>
      <c r="AL37" s="14"/>
    </row>
    <row r="38" spans="1:38" ht="15.75"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11"/>
      <c r="AI38" s="11"/>
      <c r="AJ38" s="11"/>
      <c r="AK38" s="11"/>
      <c r="AL38" s="11"/>
    </row>
    <row r="39" spans="1:38" ht="15.75"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11"/>
      <c r="AI39" s="11"/>
      <c r="AJ39" s="11"/>
      <c r="AK39" s="11"/>
      <c r="AL39" s="11"/>
    </row>
    <row r="40" spans="1:38" ht="15.75" x14ac:dyDescent="0.25">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11"/>
      <c r="AI40" s="11"/>
      <c r="AJ40" s="11"/>
      <c r="AK40" s="11"/>
      <c r="AL40" s="11"/>
    </row>
    <row r="41" spans="1:38" ht="15.75"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11"/>
      <c r="AI41" s="11"/>
      <c r="AJ41" s="11"/>
      <c r="AK41" s="11"/>
      <c r="AL41" s="11"/>
    </row>
    <row r="42" spans="1:38" ht="15.75" x14ac:dyDescent="0.25">
      <c r="A42" s="20"/>
      <c r="B42" s="20"/>
      <c r="C42" s="20"/>
      <c r="D42" s="20"/>
      <c r="E42" s="20"/>
      <c r="F42" s="20"/>
      <c r="G42" s="20"/>
      <c r="H42" s="20"/>
      <c r="I42" s="20"/>
      <c r="J42" s="20"/>
      <c r="K42" s="20"/>
      <c r="L42" s="20"/>
      <c r="M42" s="20"/>
      <c r="N42" s="20"/>
      <c r="O42" s="20"/>
      <c r="P42" s="20"/>
      <c r="Q42" s="20"/>
      <c r="R42" s="20"/>
      <c r="S42" s="29"/>
      <c r="T42" s="20"/>
      <c r="U42" s="20"/>
      <c r="V42" s="20"/>
      <c r="W42" s="20"/>
      <c r="X42" s="20"/>
      <c r="Y42" s="20"/>
      <c r="Z42" s="20"/>
      <c r="AA42" s="20"/>
      <c r="AB42" s="20"/>
      <c r="AC42" s="20"/>
      <c r="AD42" s="20"/>
      <c r="AE42" s="20"/>
      <c r="AF42" s="20"/>
      <c r="AG42" s="20"/>
      <c r="AH42" s="11"/>
      <c r="AI42" s="11"/>
      <c r="AJ42" s="11"/>
      <c r="AK42" s="11"/>
      <c r="AL42" s="11"/>
    </row>
    <row r="43" spans="1:38" ht="17.25" customHeight="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11"/>
      <c r="AI43" s="11"/>
      <c r="AJ43" s="11"/>
      <c r="AK43" s="11"/>
      <c r="AL43" s="11"/>
    </row>
    <row r="44" spans="1:38" ht="45" x14ac:dyDescent="0.25">
      <c r="A44" s="58" t="s">
        <v>186</v>
      </c>
      <c r="B44" s="59" t="str">
        <f t="shared" ref="B44:G44" si="4">IF(+B14-B21-B22-B30=0,"Yes",+B14-B21-B22-B30)</f>
        <v>Yes</v>
      </c>
      <c r="C44" s="59" t="str">
        <f t="shared" si="4"/>
        <v>Yes</v>
      </c>
      <c r="D44" s="59" t="str">
        <f t="shared" si="4"/>
        <v>Yes</v>
      </c>
      <c r="E44" s="59" t="str">
        <f t="shared" si="4"/>
        <v>Yes</v>
      </c>
      <c r="F44" s="59" t="str">
        <f t="shared" si="4"/>
        <v>Yes</v>
      </c>
      <c r="G44" s="59" t="str">
        <f t="shared" si="4"/>
        <v>Yes</v>
      </c>
      <c r="H44" s="59"/>
      <c r="I44" s="59"/>
      <c r="J44" s="59"/>
      <c r="K44" s="59"/>
      <c r="L44" s="59"/>
      <c r="M44" s="59"/>
      <c r="N44" s="59"/>
      <c r="O44" s="59"/>
      <c r="P44" s="59"/>
      <c r="Q44" s="59"/>
      <c r="R44" s="59"/>
      <c r="S44" s="59"/>
      <c r="T44" s="59"/>
      <c r="U44" s="20"/>
      <c r="V44" s="20"/>
      <c r="W44" s="20"/>
      <c r="X44" s="20"/>
      <c r="Y44" s="20"/>
      <c r="Z44" s="20"/>
      <c r="AA44" s="20"/>
      <c r="AB44" s="20"/>
      <c r="AC44" s="20"/>
      <c r="AD44" s="20"/>
      <c r="AE44" s="20"/>
      <c r="AF44" s="20"/>
      <c r="AG44" s="20"/>
      <c r="AH44" s="11"/>
      <c r="AI44" s="11"/>
      <c r="AJ44" s="11"/>
      <c r="AK44" s="11"/>
      <c r="AL44" s="11"/>
    </row>
    <row r="45" spans="1:38" ht="15.75" x14ac:dyDescent="0.25">
      <c r="A45" s="60"/>
      <c r="B45" s="20"/>
      <c r="C45" s="20"/>
      <c r="D45" s="20"/>
      <c r="E45" s="20"/>
      <c r="F45" s="20"/>
      <c r="G45" s="20"/>
      <c r="H45" s="20"/>
      <c r="I45" s="20"/>
      <c r="J45" s="20"/>
      <c r="K45" s="20"/>
      <c r="L45" s="20"/>
      <c r="M45" s="20"/>
      <c r="N45" s="20"/>
      <c r="O45" s="20"/>
      <c r="P45" s="20"/>
      <c r="Q45" s="20"/>
      <c r="R45" s="20"/>
      <c r="S45" s="61"/>
      <c r="T45" s="20"/>
      <c r="U45" s="20"/>
      <c r="V45" s="20"/>
      <c r="W45" s="20"/>
      <c r="X45" s="20"/>
      <c r="Y45" s="20"/>
      <c r="Z45" s="20"/>
      <c r="AA45" s="20"/>
      <c r="AB45" s="20"/>
      <c r="AC45" s="20"/>
      <c r="AD45" s="20"/>
      <c r="AE45" s="20"/>
      <c r="AF45" s="20"/>
      <c r="AG45" s="20"/>
      <c r="AH45" s="11"/>
      <c r="AI45" s="11"/>
      <c r="AJ45" s="11"/>
      <c r="AK45" s="11"/>
      <c r="AL45" s="11"/>
    </row>
    <row r="46" spans="1:38" ht="15.75" x14ac:dyDescent="0.25">
      <c r="A46" s="20"/>
      <c r="B46" s="62"/>
      <c r="C46" s="62"/>
      <c r="D46" s="62"/>
      <c r="E46" s="62"/>
      <c r="F46" s="62"/>
      <c r="G46" s="18"/>
      <c r="H46" s="62"/>
      <c r="I46" s="62"/>
      <c r="J46" s="62"/>
      <c r="K46" s="62"/>
      <c r="L46" s="62"/>
      <c r="M46" s="62"/>
      <c r="N46" s="62"/>
      <c r="O46" s="62"/>
      <c r="P46" s="62"/>
      <c r="Q46" s="62"/>
      <c r="R46" s="62"/>
      <c r="T46" s="20"/>
      <c r="U46" s="20"/>
      <c r="V46" s="20"/>
      <c r="W46" s="20"/>
      <c r="X46" s="20"/>
      <c r="Y46" s="20"/>
      <c r="Z46" s="20"/>
      <c r="AA46" s="20"/>
      <c r="AB46" s="20"/>
      <c r="AC46" s="20"/>
      <c r="AD46" s="20"/>
      <c r="AE46" s="20"/>
      <c r="AF46" s="20"/>
      <c r="AG46" s="20"/>
      <c r="AH46" s="11"/>
      <c r="AI46" s="11"/>
      <c r="AJ46" s="11"/>
      <c r="AK46" s="11"/>
      <c r="AL46" s="11"/>
    </row>
    <row r="47" spans="1:38" ht="15.75"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11"/>
      <c r="AI47" s="11"/>
      <c r="AJ47" s="11"/>
      <c r="AK47" s="11"/>
      <c r="AL47" s="11"/>
    </row>
    <row r="48" spans="1:38" ht="15.75" x14ac:dyDescent="0.25">
      <c r="A48" s="4"/>
      <c r="B48" s="20"/>
      <c r="C48" s="20"/>
      <c r="D48" s="20"/>
      <c r="E48" s="20"/>
      <c r="F48" s="20"/>
      <c r="G48" s="62"/>
      <c r="H48" s="20"/>
      <c r="J48" s="20"/>
      <c r="K48" s="20"/>
      <c r="L48" s="20"/>
      <c r="M48" s="20"/>
      <c r="N48" s="20"/>
      <c r="O48" s="20"/>
      <c r="P48" s="20"/>
      <c r="Q48" s="20"/>
      <c r="R48" s="63" t="e">
        <f>IF(F30-#REF!=0,"Yes",F30-#REF!)</f>
        <v>#REF!</v>
      </c>
      <c r="S48" s="20"/>
      <c r="T48" s="20"/>
      <c r="U48" s="20"/>
      <c r="V48" s="20"/>
      <c r="W48" s="20"/>
      <c r="X48" s="20"/>
      <c r="Y48" s="20"/>
      <c r="Z48" s="20"/>
      <c r="AA48" s="20"/>
      <c r="AB48" s="20"/>
      <c r="AC48" s="20"/>
      <c r="AD48" s="20"/>
      <c r="AE48" s="20"/>
      <c r="AF48" s="20"/>
      <c r="AG48" s="20"/>
      <c r="AH48" s="11"/>
      <c r="AI48" s="11"/>
      <c r="AJ48" s="11"/>
      <c r="AK48" s="11"/>
      <c r="AL48" s="11"/>
    </row>
    <row r="49" spans="1:38" ht="15.7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11"/>
      <c r="AI49" s="11"/>
      <c r="AJ49" s="11"/>
      <c r="AK49" s="11"/>
      <c r="AL49" s="11"/>
    </row>
    <row r="50" spans="1:38" ht="15.7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11"/>
      <c r="AI50" s="11"/>
      <c r="AJ50" s="11"/>
      <c r="AK50" s="11"/>
      <c r="AL50" s="11"/>
    </row>
    <row r="51" spans="1:38" ht="15.75"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11"/>
      <c r="AI51" s="11"/>
      <c r="AJ51" s="11"/>
      <c r="AK51" s="11"/>
      <c r="AL51" s="11"/>
    </row>
    <row r="52" spans="1:38" ht="15.7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11"/>
      <c r="AI52" s="11"/>
      <c r="AJ52" s="11"/>
      <c r="AK52" s="11"/>
      <c r="AL52" s="11"/>
    </row>
    <row r="53" spans="1:38" ht="15.7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11"/>
      <c r="AI53" s="11"/>
      <c r="AJ53" s="11"/>
      <c r="AK53" s="11"/>
      <c r="AL53" s="11"/>
    </row>
    <row r="54" spans="1:38" ht="17.25" x14ac:dyDescent="0.35">
      <c r="A54" s="20"/>
      <c r="B54" s="372"/>
      <c r="C54" s="372"/>
      <c r="D54" s="372"/>
      <c r="E54" s="372"/>
      <c r="F54" s="25"/>
      <c r="G54" s="33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11"/>
      <c r="AI54" s="11"/>
      <c r="AJ54" s="11"/>
      <c r="AK54" s="11"/>
      <c r="AL54" s="11"/>
    </row>
    <row r="55" spans="1:38" ht="17.25" x14ac:dyDescent="0.35">
      <c r="A55" s="20"/>
      <c r="B55" s="338"/>
      <c r="C55" s="337"/>
      <c r="D55" s="337"/>
      <c r="E55" s="66"/>
      <c r="F55" s="338"/>
      <c r="G55" s="33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11"/>
      <c r="AI55" s="11"/>
      <c r="AJ55" s="11"/>
      <c r="AK55" s="11"/>
      <c r="AL55" s="11"/>
    </row>
    <row r="56" spans="1:38" ht="17.25" x14ac:dyDescent="0.35">
      <c r="A56" s="20"/>
      <c r="B56" s="338"/>
      <c r="C56" s="337"/>
      <c r="D56" s="337"/>
      <c r="E56" s="27"/>
      <c r="F56" s="338"/>
      <c r="G56" s="33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11"/>
      <c r="AI56" s="11"/>
      <c r="AJ56" s="11"/>
      <c r="AK56" s="11"/>
      <c r="AL56" s="11"/>
    </row>
    <row r="57" spans="1:38" ht="15.75"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11"/>
      <c r="AI57" s="11"/>
      <c r="AJ57" s="11"/>
      <c r="AK57" s="11"/>
      <c r="AL57" s="11"/>
    </row>
    <row r="58" spans="1:38" ht="15.7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ht="15.7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ht="15.7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5.7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5.7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7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5.7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7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ht="15.7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ht="15.7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ht="15.7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ht="15.7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ht="15.7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ht="15.7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ht="15.7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ht="15.7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ht="15.7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7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ht="15.7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ht="15.7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ht="15.7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7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ht="15.7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ht="15.7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ht="15.7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ht="15.7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ht="15.7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ht="15.7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38" ht="15.7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ht="15.7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row>
    <row r="91" spans="1:38" ht="15.7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ht="15.7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sheetData>
  <mergeCells count="24">
    <mergeCell ref="B36:F36"/>
    <mergeCell ref="B54:E54"/>
    <mergeCell ref="G54:G56"/>
    <mergeCell ref="B55:B56"/>
    <mergeCell ref="C55:C56"/>
    <mergeCell ref="D55:D56"/>
    <mergeCell ref="F55:F56"/>
    <mergeCell ref="B33:F33"/>
    <mergeCell ref="B35:F35"/>
    <mergeCell ref="B6:B7"/>
    <mergeCell ref="C6:C7"/>
    <mergeCell ref="D6:D7"/>
    <mergeCell ref="E6:E7"/>
    <mergeCell ref="F6:F7"/>
    <mergeCell ref="I6:I7"/>
    <mergeCell ref="O6:Q6"/>
    <mergeCell ref="A1:G1"/>
    <mergeCell ref="A2:G2"/>
    <mergeCell ref="A3:G3"/>
    <mergeCell ref="A4:G4"/>
    <mergeCell ref="B5:E5"/>
    <mergeCell ref="I5:T5"/>
    <mergeCell ref="R6:T6"/>
    <mergeCell ref="L6:N6"/>
  </mergeCells>
  <conditionalFormatting sqref="B44:G44">
    <cfRule type="cellIs" dxfId="45" priority="3" stopIfTrue="1" operator="notEqual">
      <formula>"Yes"</formula>
    </cfRule>
  </conditionalFormatting>
  <conditionalFormatting sqref="I9">
    <cfRule type="cellIs" dxfId="44" priority="2" stopIfTrue="1" operator="notEqual">
      <formula>"Yes"</formula>
    </cfRule>
  </conditionalFormatting>
  <conditionalFormatting sqref="I28:I31 I25:I26 I16:I22 I10:I14">
    <cfRule type="cellIs" dxfId="43" priority="1" stopIfTrue="1" operator="notEqual">
      <formula>"Yes"</formula>
    </cfRule>
  </conditionalFormatting>
  <pageMargins left="0.75" right="0.75" top="0.75" bottom="0.75" header="0.5" footer="0.5"/>
  <pageSetup scale="89" firstPageNumber="19" orientation="portrait" useFirstPageNumber="1" r:id="rId1"/>
  <headerFooter alignWithMargins="0">
    <oddHeader>&amp;R&amp;12Statement 11</oddHeader>
    <oddFooter>&amp;L&amp;12Revised:  July 2020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39997558519241921"/>
    <pageSetUpPr fitToPage="1"/>
  </sheetPr>
  <dimension ref="A1:S101"/>
  <sheetViews>
    <sheetView showGridLines="0" workbookViewId="0">
      <selection activeCell="A33" sqref="A33"/>
    </sheetView>
  </sheetViews>
  <sheetFormatPr defaultRowHeight="12.75" x14ac:dyDescent="0.2"/>
  <cols>
    <col min="1" max="1" width="42.7109375" customWidth="1"/>
    <col min="2" max="3" width="14.7109375" customWidth="1"/>
    <col min="4" max="4" width="14.7109375" hidden="1" customWidth="1"/>
    <col min="5" max="5" width="14.7109375" customWidth="1"/>
    <col min="6" max="6" width="14.7109375" hidden="1" customWidth="1"/>
    <col min="7" max="7" width="14.7109375" customWidth="1"/>
    <col min="9" max="10" width="14.7109375" customWidth="1"/>
  </cols>
  <sheetData>
    <row r="1" spans="1:19" ht="15.75" customHeight="1" x14ac:dyDescent="0.25">
      <c r="A1" s="341" t="str">
        <f>'GW Net Position Exh 1'!A1</f>
        <v>Owl Charter, Inc.</v>
      </c>
      <c r="B1" s="341"/>
      <c r="C1" s="341"/>
      <c r="D1" s="341"/>
      <c r="E1" s="341"/>
      <c r="F1" s="341"/>
      <c r="G1" s="341"/>
      <c r="H1" s="20"/>
      <c r="I1" s="20"/>
      <c r="J1" s="20"/>
      <c r="K1" s="20"/>
      <c r="L1" s="20"/>
      <c r="M1" s="20"/>
      <c r="N1" s="20"/>
      <c r="O1" s="20"/>
      <c r="P1" s="20"/>
      <c r="Q1" s="20"/>
      <c r="R1" s="20"/>
      <c r="S1" s="20"/>
    </row>
    <row r="2" spans="1:19" ht="15.75" customHeight="1" x14ac:dyDescent="0.25">
      <c r="A2" s="383" t="s">
        <v>348</v>
      </c>
      <c r="B2" s="383"/>
      <c r="C2" s="383"/>
      <c r="D2" s="383"/>
      <c r="E2" s="383"/>
      <c r="F2" s="383"/>
      <c r="G2" s="383"/>
      <c r="H2" s="20"/>
      <c r="I2" s="20"/>
      <c r="J2" s="20"/>
      <c r="K2" s="20"/>
      <c r="L2" s="20"/>
      <c r="M2" s="20"/>
      <c r="N2" s="20"/>
      <c r="O2" s="20"/>
      <c r="P2" s="20"/>
      <c r="Q2" s="20"/>
      <c r="R2" s="20"/>
      <c r="S2" s="20"/>
    </row>
    <row r="3" spans="1:19" ht="15.75" hidden="1" customHeight="1" x14ac:dyDescent="0.25">
      <c r="A3" s="342" t="s">
        <v>7</v>
      </c>
      <c r="B3" s="342"/>
      <c r="C3" s="342"/>
      <c r="D3" s="342"/>
      <c r="E3" s="342"/>
      <c r="F3" s="342"/>
      <c r="G3" s="342"/>
      <c r="H3" s="20"/>
      <c r="I3" s="20"/>
      <c r="J3" s="20"/>
      <c r="K3" s="20"/>
      <c r="L3" s="20"/>
      <c r="M3" s="20"/>
      <c r="N3" s="20"/>
      <c r="O3" s="20"/>
      <c r="P3" s="20"/>
      <c r="Q3" s="20"/>
      <c r="R3" s="20"/>
      <c r="S3" s="20"/>
    </row>
    <row r="4" spans="1:19" ht="15.75" customHeight="1" x14ac:dyDescent="0.25">
      <c r="A4" s="374" t="str">
        <f>+'GW Stmt Activities Exh 2'!A3</f>
        <v>For the Year Ended June 30, 2020</v>
      </c>
      <c r="B4" s="374"/>
      <c r="C4" s="374"/>
      <c r="D4" s="374"/>
      <c r="E4" s="374"/>
      <c r="F4" s="374"/>
      <c r="G4" s="374"/>
      <c r="H4" s="20"/>
      <c r="I4" s="20"/>
      <c r="J4" s="20"/>
      <c r="K4" s="20"/>
      <c r="L4" s="20"/>
      <c r="M4" s="20"/>
      <c r="N4" s="20"/>
      <c r="O4" s="20"/>
      <c r="P4" s="20"/>
      <c r="Q4" s="20"/>
      <c r="R4" s="20"/>
      <c r="S4" s="20"/>
    </row>
    <row r="5" spans="1:19" ht="21.95" customHeight="1" x14ac:dyDescent="0.35">
      <c r="A5" s="23"/>
      <c r="B5" s="372" t="str">
        <f>'Govt Funds Bal Sh Exh 3'!E7</f>
        <v>Owl - Discite</v>
      </c>
      <c r="C5" s="372"/>
      <c r="D5" s="372"/>
      <c r="E5" s="372"/>
      <c r="F5" s="25"/>
      <c r="H5" s="20"/>
      <c r="I5" s="20"/>
      <c r="J5" s="20"/>
      <c r="K5" s="20"/>
      <c r="L5" s="20"/>
      <c r="M5" s="20"/>
      <c r="N5" s="20"/>
      <c r="O5" s="20"/>
      <c r="P5" s="20"/>
      <c r="Q5" s="20"/>
      <c r="R5" s="20"/>
      <c r="S5" s="20"/>
    </row>
    <row r="6" spans="1:19" ht="18" customHeight="1" x14ac:dyDescent="0.25">
      <c r="A6" s="23"/>
      <c r="B6" s="338" t="s">
        <v>342</v>
      </c>
      <c r="C6" s="337" t="s">
        <v>343</v>
      </c>
      <c r="D6" s="337" t="s">
        <v>344</v>
      </c>
      <c r="E6" s="337" t="s">
        <v>278</v>
      </c>
      <c r="F6" s="338" t="s">
        <v>225</v>
      </c>
      <c r="G6" s="87"/>
      <c r="H6" s="20"/>
      <c r="I6" s="386" t="s">
        <v>325</v>
      </c>
      <c r="J6" s="20"/>
      <c r="K6" s="20"/>
      <c r="L6" s="20"/>
      <c r="M6" s="20"/>
      <c r="N6" s="20"/>
      <c r="O6" s="20"/>
      <c r="P6" s="20"/>
      <c r="Q6" s="20"/>
      <c r="R6" s="20"/>
      <c r="S6" s="20"/>
    </row>
    <row r="7" spans="1:19" ht="18" customHeight="1" x14ac:dyDescent="0.35">
      <c r="A7" s="20"/>
      <c r="B7" s="338"/>
      <c r="C7" s="337"/>
      <c r="D7" s="337"/>
      <c r="E7" s="337"/>
      <c r="F7" s="338"/>
      <c r="G7" s="26" t="s">
        <v>345</v>
      </c>
      <c r="H7" s="20"/>
      <c r="I7" s="386"/>
      <c r="J7" s="325" t="s">
        <v>391</v>
      </c>
      <c r="K7" s="20"/>
      <c r="L7" s="20"/>
      <c r="M7" s="20"/>
      <c r="N7" s="20"/>
      <c r="O7" s="20"/>
      <c r="P7" s="20"/>
      <c r="Q7" s="20"/>
      <c r="R7" s="20"/>
      <c r="S7" s="20"/>
    </row>
    <row r="8" spans="1:19" ht="15.75" x14ac:dyDescent="0.25">
      <c r="A8" s="28" t="s">
        <v>233</v>
      </c>
      <c r="B8" s="20"/>
      <c r="C8" s="20"/>
      <c r="D8" s="20"/>
      <c r="E8" s="20"/>
      <c r="F8" s="20"/>
      <c r="G8" s="20"/>
      <c r="H8" s="20"/>
      <c r="I8" s="30"/>
      <c r="J8" s="20"/>
      <c r="K8" s="20"/>
      <c r="L8" s="20"/>
      <c r="M8" s="20"/>
      <c r="N8" s="20"/>
      <c r="O8" s="20"/>
      <c r="P8" s="20"/>
      <c r="Q8" s="20"/>
      <c r="R8" s="20"/>
      <c r="S8" s="20"/>
    </row>
    <row r="9" spans="1:19" ht="15" x14ac:dyDescent="0.2">
      <c r="A9" s="36" t="s">
        <v>97</v>
      </c>
      <c r="B9" s="18">
        <f>'Govt Funds Inc Stmt Exh 4'!O9</f>
        <v>0</v>
      </c>
      <c r="C9" s="18">
        <f>'Govt Funds Inc Stmt Exh 4'!R9</f>
        <v>758022</v>
      </c>
      <c r="D9" s="18">
        <f>'Govt Funds Inc Stmt Exh 4'!U9</f>
        <v>0</v>
      </c>
      <c r="E9" s="18">
        <f>'Govt Funds Inc Stmt Exh 4'!X9</f>
        <v>0</v>
      </c>
      <c r="F9" s="18">
        <v>0</v>
      </c>
      <c r="G9" s="18">
        <f>SUM(B9:F9)</f>
        <v>758022</v>
      </c>
      <c r="H9" s="20"/>
      <c r="I9" s="146" t="str">
        <f>IF(G9-'Govt Funds Inc Stmt Exh 4'!E9=0,"Yes",G9-'Govt Funds Inc Stmt Exh 4'!E9)</f>
        <v>Yes</v>
      </c>
      <c r="J9" s="322" t="str">
        <f>IF(((ABS(B9)+ABS(C9)+ABS(D9)+ABS(E9)+ABS(F9)+ABS(G9))=0),"Hide Row?"," ")</f>
        <v xml:space="preserve"> </v>
      </c>
      <c r="K9" s="20"/>
      <c r="L9" s="20"/>
      <c r="M9" s="20"/>
      <c r="N9" s="20"/>
      <c r="O9" s="20"/>
      <c r="P9" s="20"/>
      <c r="Q9" s="20"/>
      <c r="R9" s="20"/>
      <c r="S9" s="20"/>
    </row>
    <row r="10" spans="1:19" ht="15" x14ac:dyDescent="0.2">
      <c r="A10" s="40" t="s">
        <v>98</v>
      </c>
      <c r="B10" s="32">
        <f>'Govt Funds Inc Stmt Exh 4'!O10</f>
        <v>343918</v>
      </c>
      <c r="C10" s="32">
        <f>'Govt Funds Inc Stmt Exh 4'!R10</f>
        <v>0</v>
      </c>
      <c r="D10" s="32">
        <f>'Govt Funds Inc Stmt Exh 4'!U10</f>
        <v>0</v>
      </c>
      <c r="E10" s="32">
        <f>'Govt Funds Inc Stmt Exh 4'!X10</f>
        <v>0</v>
      </c>
      <c r="F10" s="32">
        <v>0</v>
      </c>
      <c r="G10" s="33">
        <f>SUM(B10:F10)</f>
        <v>343918</v>
      </c>
      <c r="H10" s="20"/>
      <c r="I10" s="146" t="str">
        <f>IF(G10-'Govt Funds Inc Stmt Exh 4'!E10=0,"Yes",G10-'Govt Funds Inc Stmt Exh 4'!E10)</f>
        <v>Yes</v>
      </c>
      <c r="J10" s="322" t="str">
        <f t="shared" ref="J10:J34" si="0">IF(((ABS(B10)+ABS(C10)+ABS(D10)+ABS(E10)+ABS(F10)+ABS(G10))=0),"Hide Row?"," ")</f>
        <v xml:space="preserve"> </v>
      </c>
      <c r="K10" s="20"/>
      <c r="L10" s="20"/>
      <c r="M10" s="20"/>
      <c r="N10" s="20"/>
      <c r="O10" s="20"/>
      <c r="P10" s="20"/>
      <c r="Q10" s="20"/>
      <c r="R10" s="20"/>
      <c r="S10" s="20"/>
    </row>
    <row r="11" spans="1:19" ht="15" hidden="1" x14ac:dyDescent="0.2">
      <c r="A11" s="36" t="s">
        <v>99</v>
      </c>
      <c r="B11" s="32">
        <f>'Govt Funds Inc Stmt Exh 4'!O11</f>
        <v>0</v>
      </c>
      <c r="C11" s="32">
        <f>'Govt Funds Inc Stmt Exh 4'!R11</f>
        <v>0</v>
      </c>
      <c r="D11" s="32">
        <f>'Govt Funds Inc Stmt Exh 4'!U11</f>
        <v>0</v>
      </c>
      <c r="E11" s="32">
        <f>'Govt Funds Inc Stmt Exh 4'!X11</f>
        <v>0</v>
      </c>
      <c r="F11" s="32">
        <v>0</v>
      </c>
      <c r="G11" s="31">
        <f>SUM(B11:F11)</f>
        <v>0</v>
      </c>
      <c r="H11" s="20"/>
      <c r="I11" s="146" t="str">
        <f>IF(G11-'Govt Funds Inc Stmt Exh 4'!E11=0,"Yes",G11-'Govt Funds Inc Stmt Exh 4'!E11)</f>
        <v>Yes</v>
      </c>
      <c r="J11" s="322" t="str">
        <f t="shared" si="0"/>
        <v>Hide Row?</v>
      </c>
      <c r="K11" s="20"/>
      <c r="L11" s="20"/>
      <c r="M11" s="20"/>
      <c r="N11" s="20"/>
      <c r="O11" s="20"/>
      <c r="P11" s="20"/>
      <c r="Q11" s="20"/>
      <c r="R11" s="20"/>
      <c r="S11" s="20"/>
    </row>
    <row r="12" spans="1:19" ht="15" x14ac:dyDescent="0.2">
      <c r="A12" s="36" t="s">
        <v>100</v>
      </c>
      <c r="B12" s="32">
        <f>'Govt Funds Inc Stmt Exh 4'!O12</f>
        <v>85245</v>
      </c>
      <c r="C12" s="32">
        <f>'Govt Funds Inc Stmt Exh 4'!R12</f>
        <v>0</v>
      </c>
      <c r="D12" s="32">
        <f>'Govt Funds Inc Stmt Exh 4'!U12</f>
        <v>0</v>
      </c>
      <c r="E12" s="32">
        <f>'Govt Funds Inc Stmt Exh 4'!X12</f>
        <v>725</v>
      </c>
      <c r="F12" s="32">
        <v>0</v>
      </c>
      <c r="G12" s="33">
        <f>SUM(B12:F12)</f>
        <v>85970</v>
      </c>
      <c r="H12" s="20"/>
      <c r="I12" s="146" t="str">
        <f>IF(G12-'Govt Funds Inc Stmt Exh 4'!E12=0,"Yes",G12-'Govt Funds Inc Stmt Exh 4'!E12)</f>
        <v>Yes</v>
      </c>
      <c r="J12" s="322" t="str">
        <f t="shared" si="0"/>
        <v xml:space="preserve"> </v>
      </c>
      <c r="K12" s="20"/>
      <c r="L12" s="20"/>
      <c r="M12" s="20"/>
      <c r="N12" s="20"/>
      <c r="O12" s="20"/>
      <c r="P12" s="20"/>
      <c r="Q12" s="20"/>
      <c r="R12" s="20"/>
      <c r="S12" s="20"/>
    </row>
    <row r="13" spans="1:19" ht="17.25" customHeight="1" x14ac:dyDescent="0.35">
      <c r="A13" s="36" t="s">
        <v>91</v>
      </c>
      <c r="B13" s="35">
        <f>'Govt Funds Inc Stmt Exh 4'!O13</f>
        <v>22758</v>
      </c>
      <c r="C13" s="35">
        <f>'Govt Funds Inc Stmt Exh 4'!R13</f>
        <v>0</v>
      </c>
      <c r="D13" s="35">
        <f>'Govt Funds Inc Stmt Exh 4'!U13</f>
        <v>0</v>
      </c>
      <c r="E13" s="35">
        <f>'Govt Funds Inc Stmt Exh 4'!X13</f>
        <v>766</v>
      </c>
      <c r="F13" s="35">
        <v>0</v>
      </c>
      <c r="G13" s="34">
        <f>SUM(B13:F13)</f>
        <v>23524</v>
      </c>
      <c r="H13" s="20"/>
      <c r="I13" s="146" t="str">
        <f>IF(G13-'Govt Funds Inc Stmt Exh 4'!E13=0,"Yes",G13-'Govt Funds Inc Stmt Exh 4'!E13)</f>
        <v>Yes</v>
      </c>
      <c r="J13" s="322" t="str">
        <f t="shared" si="0"/>
        <v xml:space="preserve"> </v>
      </c>
      <c r="K13" s="20"/>
      <c r="L13" s="20"/>
      <c r="M13" s="20"/>
      <c r="N13" s="20"/>
      <c r="O13" s="20"/>
      <c r="P13" s="20"/>
      <c r="Q13" s="20"/>
      <c r="R13" s="20"/>
      <c r="S13" s="20"/>
    </row>
    <row r="14" spans="1:19" ht="20.100000000000001" customHeight="1" x14ac:dyDescent="0.35">
      <c r="A14" s="73" t="s">
        <v>13</v>
      </c>
      <c r="B14" s="34">
        <f t="shared" ref="B14:G14" si="1">SUM(B9:B13)</f>
        <v>451921</v>
      </c>
      <c r="C14" s="34">
        <f t="shared" si="1"/>
        <v>758022</v>
      </c>
      <c r="D14" s="34">
        <f t="shared" si="1"/>
        <v>0</v>
      </c>
      <c r="E14" s="34">
        <f t="shared" si="1"/>
        <v>1491</v>
      </c>
      <c r="F14" s="34">
        <f t="shared" si="1"/>
        <v>0</v>
      </c>
      <c r="G14" s="34">
        <f t="shared" si="1"/>
        <v>1211434</v>
      </c>
      <c r="H14" s="20"/>
      <c r="I14" s="146" t="str">
        <f>IF(G14-'Govt Funds Inc Stmt Exh 4'!E14=0,"Yes",G14-'Govt Funds Inc Stmt Exh 4'!E14)</f>
        <v>Yes</v>
      </c>
      <c r="J14" s="322" t="str">
        <f t="shared" si="0"/>
        <v xml:space="preserve"> </v>
      </c>
      <c r="K14" s="20"/>
      <c r="L14" s="20"/>
      <c r="M14" s="20"/>
      <c r="N14" s="20"/>
      <c r="O14" s="20"/>
      <c r="P14" s="20"/>
      <c r="Q14" s="20"/>
      <c r="R14" s="20"/>
      <c r="S14" s="20"/>
    </row>
    <row r="15" spans="1:19" ht="21" customHeight="1" x14ac:dyDescent="0.25">
      <c r="A15" s="28" t="s">
        <v>234</v>
      </c>
      <c r="B15" s="33"/>
      <c r="C15" s="33"/>
      <c r="D15" s="33"/>
      <c r="E15" s="33"/>
      <c r="F15" s="33"/>
      <c r="G15" s="33"/>
      <c r="H15" s="20"/>
      <c r="I15" s="20"/>
      <c r="J15" s="322"/>
      <c r="K15" s="20"/>
      <c r="L15" s="20"/>
      <c r="M15" s="20"/>
      <c r="N15" s="20"/>
      <c r="O15" s="20"/>
      <c r="P15" s="20"/>
      <c r="Q15" s="20"/>
      <c r="R15" s="20"/>
      <c r="S15" s="20"/>
    </row>
    <row r="16" spans="1:19" ht="18" customHeight="1" x14ac:dyDescent="0.25">
      <c r="A16" s="84" t="s">
        <v>280</v>
      </c>
      <c r="B16" s="33"/>
      <c r="C16" s="33"/>
      <c r="D16" s="33"/>
      <c r="E16" s="33"/>
      <c r="F16" s="33"/>
      <c r="G16" s="33"/>
      <c r="H16" s="20"/>
      <c r="I16" s="20"/>
      <c r="J16" s="322"/>
      <c r="K16" s="20"/>
      <c r="L16" s="20"/>
      <c r="M16" s="20"/>
      <c r="N16" s="20"/>
      <c r="O16" s="20"/>
      <c r="P16" s="20"/>
      <c r="Q16" s="20"/>
      <c r="R16" s="20"/>
      <c r="S16" s="20"/>
    </row>
    <row r="17" spans="1:19" ht="15.75" customHeight="1" x14ac:dyDescent="0.2">
      <c r="A17" s="69" t="s">
        <v>143</v>
      </c>
      <c r="B17" s="32">
        <f>'Govt Funds Inc Stmt Exh 4'!O17</f>
        <v>302403</v>
      </c>
      <c r="C17" s="32">
        <f>'Govt Funds Inc Stmt Exh 4'!R17</f>
        <v>610603</v>
      </c>
      <c r="D17" s="32">
        <f>'Govt Funds Inc Stmt Exh 4'!U17</f>
        <v>0</v>
      </c>
      <c r="E17" s="32">
        <f>'Govt Funds Inc Stmt Exh 4'!X17</f>
        <v>0</v>
      </c>
      <c r="F17" s="32">
        <v>0</v>
      </c>
      <c r="G17" s="33">
        <f>SUM(B17:F17)</f>
        <v>913006</v>
      </c>
      <c r="H17" s="20"/>
      <c r="I17" s="146" t="str">
        <f>IF(G17-'Govt Funds Inc Stmt Exh 4'!E17=0,"Yes",G17-'Govt Funds Inc Stmt Exh 4'!E17)</f>
        <v>Yes</v>
      </c>
      <c r="J17" s="322" t="str">
        <f t="shared" si="0"/>
        <v xml:space="preserve"> </v>
      </c>
      <c r="K17" s="20"/>
      <c r="L17" s="20"/>
      <c r="M17" s="20"/>
      <c r="N17" s="20"/>
      <c r="O17" s="20"/>
      <c r="P17" s="20"/>
      <c r="Q17" s="20"/>
      <c r="R17" s="20"/>
      <c r="S17" s="20"/>
    </row>
    <row r="18" spans="1:19" ht="15.75" customHeight="1" x14ac:dyDescent="0.2">
      <c r="A18" s="69" t="s">
        <v>155</v>
      </c>
      <c r="B18" s="32">
        <f>'Govt Funds Inc Stmt Exh 4'!O18</f>
        <v>70718</v>
      </c>
      <c r="C18" s="32">
        <f>'Govt Funds Inc Stmt Exh 4'!R18</f>
        <v>147419</v>
      </c>
      <c r="D18" s="32">
        <f>'Govt Funds Inc Stmt Exh 4'!U18</f>
        <v>0</v>
      </c>
      <c r="E18" s="32">
        <f>'Govt Funds Inc Stmt Exh 4'!X18</f>
        <v>2038</v>
      </c>
      <c r="F18" s="32">
        <v>0</v>
      </c>
      <c r="G18" s="31">
        <f>SUM(B18:F18)</f>
        <v>220175</v>
      </c>
      <c r="H18" s="20"/>
      <c r="I18" s="146" t="str">
        <f>IF(G18-'Govt Funds Inc Stmt Exh 4'!E18=0,"Yes",G18-'Govt Funds Inc Stmt Exh 4'!E18)</f>
        <v>Yes</v>
      </c>
      <c r="J18" s="322" t="str">
        <f t="shared" si="0"/>
        <v xml:space="preserve"> </v>
      </c>
      <c r="K18" s="20"/>
      <c r="L18" s="20"/>
      <c r="M18" s="20"/>
      <c r="N18" s="20"/>
      <c r="O18" s="20"/>
      <c r="P18" s="20"/>
      <c r="Q18" s="20"/>
      <c r="R18" s="20"/>
      <c r="S18" s="20"/>
    </row>
    <row r="19" spans="1:19" ht="15.75" hidden="1" customHeight="1" x14ac:dyDescent="0.2">
      <c r="A19" s="69" t="s">
        <v>92</v>
      </c>
      <c r="B19" s="32">
        <f>'Govt Funds Inc Stmt Exh 4'!O19</f>
        <v>0</v>
      </c>
      <c r="C19" s="32">
        <f>'Govt Funds Inc Stmt Exh 4'!R19</f>
        <v>0</v>
      </c>
      <c r="D19" s="32">
        <f>'Govt Funds Inc Stmt Exh 4'!U19</f>
        <v>0</v>
      </c>
      <c r="E19" s="32">
        <f>'Govt Funds Inc Stmt Exh 4'!X19</f>
        <v>0</v>
      </c>
      <c r="F19" s="32">
        <v>0</v>
      </c>
      <c r="G19" s="33">
        <f>SUM(B19:F19)</f>
        <v>0</v>
      </c>
      <c r="H19" s="20"/>
      <c r="I19" s="146" t="str">
        <f>IF(G19-'Govt Funds Inc Stmt Exh 4'!E19=0,"Yes",G19-'Govt Funds Inc Stmt Exh 4'!E19)</f>
        <v>Yes</v>
      </c>
      <c r="J19" s="322" t="str">
        <f t="shared" si="0"/>
        <v>Hide Row?</v>
      </c>
      <c r="K19" s="20"/>
      <c r="L19" s="20"/>
      <c r="M19" s="20"/>
      <c r="N19" s="20"/>
      <c r="O19" s="20"/>
      <c r="P19" s="20"/>
      <c r="Q19" s="20"/>
      <c r="R19" s="20"/>
      <c r="S19" s="20"/>
    </row>
    <row r="20" spans="1:19" ht="18" customHeight="1" x14ac:dyDescent="0.25">
      <c r="A20" s="84" t="s">
        <v>17</v>
      </c>
      <c r="B20" s="32">
        <f>'Govt Funds Inc Stmt Exh 4'!O20</f>
        <v>210000</v>
      </c>
      <c r="C20" s="32">
        <f>'Govt Funds Inc Stmt Exh 4'!R20</f>
        <v>0</v>
      </c>
      <c r="D20" s="32">
        <f>'Govt Funds Inc Stmt Exh 4'!U20</f>
        <v>0</v>
      </c>
      <c r="E20" s="32">
        <f>'Govt Funds Inc Stmt Exh 4'!X20</f>
        <v>0</v>
      </c>
      <c r="F20" s="32">
        <v>0</v>
      </c>
      <c r="G20" s="33">
        <f>SUM(B20:F20)</f>
        <v>210000</v>
      </c>
      <c r="H20" s="20"/>
      <c r="I20" s="146" t="str">
        <f>IF(G20-'Govt Funds Inc Stmt Exh 4'!E20=0,"Yes",G20-'Govt Funds Inc Stmt Exh 4'!E20)</f>
        <v>Yes</v>
      </c>
      <c r="J20" s="322" t="str">
        <f t="shared" si="0"/>
        <v xml:space="preserve"> </v>
      </c>
      <c r="K20" s="20"/>
      <c r="L20" s="20"/>
      <c r="M20" s="20"/>
      <c r="N20" s="20"/>
      <c r="O20" s="20"/>
      <c r="P20" s="20"/>
      <c r="Q20" s="20"/>
      <c r="R20" s="20"/>
      <c r="S20" s="20"/>
    </row>
    <row r="21" spans="1:19" ht="18" customHeight="1" x14ac:dyDescent="0.25">
      <c r="A21" s="84" t="s">
        <v>281</v>
      </c>
      <c r="B21" s="72"/>
      <c r="C21" s="72"/>
      <c r="D21" s="72"/>
      <c r="E21" s="72"/>
      <c r="F21" s="72"/>
      <c r="G21" s="72"/>
      <c r="H21" s="20"/>
      <c r="I21" s="146" t="str">
        <f>IF(G21-'Govt Funds Inc Stmt Exh 4'!E21=0,"Yes",G21-'Govt Funds Inc Stmt Exh 4'!E21)</f>
        <v>Yes</v>
      </c>
      <c r="J21" s="322"/>
      <c r="K21" s="20"/>
      <c r="L21" s="20"/>
      <c r="M21" s="20"/>
      <c r="N21" s="20"/>
      <c r="O21" s="20"/>
      <c r="P21" s="20"/>
      <c r="Q21" s="20"/>
      <c r="R21" s="20"/>
      <c r="S21" s="20"/>
    </row>
    <row r="22" spans="1:19" ht="15.75" customHeight="1" x14ac:dyDescent="0.2">
      <c r="A22" s="73" t="s">
        <v>15</v>
      </c>
      <c r="B22" s="32">
        <f>'Govt Funds Inc Stmt Exh 4'!O22</f>
        <v>48440</v>
      </c>
      <c r="C22" s="32">
        <f>'Govt Funds Inc Stmt Exh 4'!R22</f>
        <v>0</v>
      </c>
      <c r="D22" s="32">
        <f>'Govt Funds Inc Stmt Exh 4'!U22</f>
        <v>0</v>
      </c>
      <c r="E22" s="32">
        <f>'Govt Funds Inc Stmt Exh 4'!X22</f>
        <v>0</v>
      </c>
      <c r="F22" s="32">
        <v>0</v>
      </c>
      <c r="G22" s="33">
        <f>SUM(B22:F22)</f>
        <v>48440</v>
      </c>
      <c r="H22" s="20"/>
      <c r="I22" s="146" t="str">
        <f>IF(G22-'Govt Funds Inc Stmt Exh 4'!E22=0,"Yes",G22-'Govt Funds Inc Stmt Exh 4'!E22)</f>
        <v>Yes</v>
      </c>
      <c r="J22" s="322" t="str">
        <f t="shared" si="0"/>
        <v xml:space="preserve"> </v>
      </c>
      <c r="K22" s="20"/>
      <c r="L22" s="20"/>
      <c r="M22" s="20"/>
      <c r="N22" s="20"/>
      <c r="O22" s="20"/>
      <c r="P22" s="20"/>
      <c r="Q22" s="20"/>
      <c r="R22" s="20"/>
      <c r="S22" s="20"/>
    </row>
    <row r="23" spans="1:19" ht="17.25" customHeight="1" x14ac:dyDescent="0.35">
      <c r="A23" s="73" t="s">
        <v>16</v>
      </c>
      <c r="B23" s="35">
        <f>'Govt Funds Inc Stmt Exh 4'!O23</f>
        <v>67308</v>
      </c>
      <c r="C23" s="35">
        <f>'Govt Funds Inc Stmt Exh 4'!R22</f>
        <v>0</v>
      </c>
      <c r="D23" s="35">
        <f>'Govt Funds Inc Stmt Exh 4'!U23</f>
        <v>0</v>
      </c>
      <c r="E23" s="35">
        <f>'Govt Funds Inc Stmt Exh 4'!X23</f>
        <v>0</v>
      </c>
      <c r="F23" s="35">
        <v>0</v>
      </c>
      <c r="G23" s="34">
        <f>SUM(B23:F23)</f>
        <v>67308</v>
      </c>
      <c r="H23" s="20"/>
      <c r="I23" s="146" t="str">
        <f>IF(G23-'Govt Funds Inc Stmt Exh 4'!E23=0,"Yes",G23-'Govt Funds Inc Stmt Exh 4'!E23)</f>
        <v>Yes</v>
      </c>
      <c r="J23" s="322" t="str">
        <f t="shared" si="0"/>
        <v xml:space="preserve"> </v>
      </c>
      <c r="K23" s="20"/>
      <c r="L23" s="20"/>
      <c r="M23" s="20"/>
      <c r="N23" s="20"/>
      <c r="O23" s="20"/>
      <c r="P23" s="20"/>
      <c r="Q23" s="20"/>
      <c r="R23" s="20"/>
      <c r="S23" s="20"/>
    </row>
    <row r="24" spans="1:19" ht="20.100000000000001" customHeight="1" x14ac:dyDescent="0.35">
      <c r="A24" s="73" t="s">
        <v>18</v>
      </c>
      <c r="B24" s="34">
        <f t="shared" ref="B24:G24" si="2">SUM(B17:B23)</f>
        <v>698869</v>
      </c>
      <c r="C24" s="34">
        <f t="shared" si="2"/>
        <v>758022</v>
      </c>
      <c r="D24" s="34">
        <f t="shared" si="2"/>
        <v>0</v>
      </c>
      <c r="E24" s="34">
        <f t="shared" si="2"/>
        <v>2038</v>
      </c>
      <c r="F24" s="34">
        <f t="shared" si="2"/>
        <v>0</v>
      </c>
      <c r="G24" s="34">
        <f t="shared" si="2"/>
        <v>1458929</v>
      </c>
      <c r="H24" s="20"/>
      <c r="I24" s="146" t="str">
        <f>IF(G24-'Govt Funds Inc Stmt Exh 4'!E24=0,"Yes",G24-'Govt Funds Inc Stmt Exh 4'!E24)</f>
        <v>Yes</v>
      </c>
      <c r="J24" s="322" t="str">
        <f t="shared" si="0"/>
        <v xml:space="preserve"> </v>
      </c>
      <c r="K24" s="20"/>
      <c r="L24" s="20"/>
      <c r="M24" s="20"/>
      <c r="N24" s="20"/>
      <c r="O24" s="20"/>
      <c r="P24" s="20"/>
      <c r="Q24" s="20"/>
      <c r="R24" s="20"/>
      <c r="S24" s="20"/>
    </row>
    <row r="25" spans="1:19" ht="35.1" customHeight="1" x14ac:dyDescent="0.35">
      <c r="A25" s="74" t="s">
        <v>190</v>
      </c>
      <c r="B25" s="34">
        <f t="shared" ref="B25:G25" si="3">+B14-B24</f>
        <v>-246948</v>
      </c>
      <c r="C25" s="34">
        <f t="shared" si="3"/>
        <v>0</v>
      </c>
      <c r="D25" s="34">
        <f t="shared" si="3"/>
        <v>0</v>
      </c>
      <c r="E25" s="34">
        <f t="shared" si="3"/>
        <v>-547</v>
      </c>
      <c r="F25" s="34">
        <f t="shared" si="3"/>
        <v>0</v>
      </c>
      <c r="G25" s="34">
        <f t="shared" si="3"/>
        <v>-247495</v>
      </c>
      <c r="H25" s="20"/>
      <c r="I25" s="146" t="str">
        <f>IF(G25-'Govt Funds Inc Stmt Exh 4'!E25=0,"Yes",G25-'Govt Funds Inc Stmt Exh 4'!E25)</f>
        <v>Yes</v>
      </c>
      <c r="J25" s="322" t="str">
        <f t="shared" si="0"/>
        <v xml:space="preserve"> </v>
      </c>
      <c r="K25" s="20"/>
      <c r="L25" s="20"/>
      <c r="M25" s="20"/>
      <c r="N25" s="20"/>
      <c r="O25" s="20"/>
      <c r="P25" s="20"/>
      <c r="Q25" s="20"/>
      <c r="R25" s="20"/>
      <c r="S25" s="20"/>
    </row>
    <row r="26" spans="1:19" ht="21" customHeight="1" x14ac:dyDescent="0.25">
      <c r="A26" s="28" t="s">
        <v>235</v>
      </c>
      <c r="B26" s="33"/>
      <c r="C26" s="33"/>
      <c r="D26" s="33"/>
      <c r="E26" s="33"/>
      <c r="F26" s="33"/>
      <c r="G26" s="33"/>
      <c r="H26" s="20"/>
      <c r="I26" s="20"/>
      <c r="J26" s="322"/>
      <c r="K26" s="20"/>
      <c r="L26" s="20"/>
      <c r="M26" s="20"/>
      <c r="N26" s="20"/>
      <c r="O26" s="20"/>
      <c r="P26" s="20"/>
      <c r="Q26" s="20"/>
      <c r="R26" s="20"/>
      <c r="S26" s="20"/>
    </row>
    <row r="27" spans="1:19" ht="15.75" customHeight="1" x14ac:dyDescent="0.2">
      <c r="A27" s="70" t="s">
        <v>83</v>
      </c>
      <c r="B27" s="32">
        <f>'Govt Funds Inc Stmt Exh 4'!O27</f>
        <v>0</v>
      </c>
      <c r="C27" s="32">
        <f>'Govt Funds Inc Stmt Exh 4'!R26</f>
        <v>0</v>
      </c>
      <c r="D27" s="32">
        <f>'Govt Funds Inc Stmt Exh 4'!U27</f>
        <v>0</v>
      </c>
      <c r="E27" s="32">
        <f>'Govt Funds Inc Stmt Exh 4'!X27</f>
        <v>5000</v>
      </c>
      <c r="F27" s="32">
        <v>0</v>
      </c>
      <c r="G27" s="33">
        <f>SUM(B27:F27)</f>
        <v>5000</v>
      </c>
      <c r="H27" s="20"/>
      <c r="I27" s="146" t="str">
        <f>IF(G27-'Govt Funds Inc Stmt Exh 4'!E27=0,"Yes",G27-'Govt Funds Inc Stmt Exh 4'!E27)</f>
        <v>Yes</v>
      </c>
      <c r="J27" s="322" t="str">
        <f t="shared" si="0"/>
        <v xml:space="preserve"> </v>
      </c>
      <c r="K27" s="20"/>
      <c r="L27" s="20"/>
      <c r="M27" s="20"/>
      <c r="N27" s="20"/>
      <c r="O27" s="20"/>
      <c r="P27" s="20"/>
      <c r="Q27" s="20"/>
      <c r="R27" s="20"/>
      <c r="S27" s="20"/>
    </row>
    <row r="28" spans="1:19" ht="15.75" hidden="1" customHeight="1" x14ac:dyDescent="0.2">
      <c r="A28" s="70" t="s">
        <v>84</v>
      </c>
      <c r="B28" s="32">
        <f>'Govt Funds Inc Stmt Exh 4'!O28</f>
        <v>0</v>
      </c>
      <c r="C28" s="32">
        <f>'Govt Funds Inc Stmt Exh 4'!R27</f>
        <v>0</v>
      </c>
      <c r="D28" s="32">
        <f>'Govt Funds Inc Stmt Exh 4'!U28</f>
        <v>0</v>
      </c>
      <c r="E28" s="32">
        <f>'Govt Funds Inc Stmt Exh 4'!X28</f>
        <v>0</v>
      </c>
      <c r="F28" s="32">
        <v>0</v>
      </c>
      <c r="G28" s="31">
        <f>SUM(B28:F28)</f>
        <v>0</v>
      </c>
      <c r="H28" s="20"/>
      <c r="I28" s="146" t="str">
        <f>IF(G28-'Govt Funds Inc Stmt Exh 4'!E28=0,"Yes",G28-'Govt Funds Inc Stmt Exh 4'!E28)</f>
        <v>Yes</v>
      </c>
      <c r="J28" s="322" t="str">
        <f t="shared" si="0"/>
        <v>Hide Row?</v>
      </c>
      <c r="K28" s="20"/>
      <c r="L28" s="20"/>
      <c r="M28" s="20"/>
      <c r="N28" s="20"/>
      <c r="O28" s="20"/>
      <c r="P28" s="20"/>
      <c r="Q28" s="20"/>
      <c r="R28" s="20"/>
      <c r="S28" s="20"/>
    </row>
    <row r="29" spans="1:19" ht="15.75" customHeight="1" x14ac:dyDescent="0.2">
      <c r="A29" s="48" t="s">
        <v>148</v>
      </c>
      <c r="B29" s="32">
        <f>'Govt Funds Inc Stmt Exh 4'!O29</f>
        <v>28000</v>
      </c>
      <c r="C29" s="32">
        <f>'Govt Funds Inc Stmt Exh 4'!R28</f>
        <v>0</v>
      </c>
      <c r="D29" s="32">
        <f>'Govt Funds Inc Stmt Exh 4'!U29</f>
        <v>0</v>
      </c>
      <c r="E29" s="32">
        <f>'Govt Funds Inc Stmt Exh 4'!X29</f>
        <v>0</v>
      </c>
      <c r="F29" s="32">
        <v>0</v>
      </c>
      <c r="G29" s="33">
        <f>SUM(B29:F29)</f>
        <v>28000</v>
      </c>
      <c r="H29" s="20"/>
      <c r="I29" s="146" t="str">
        <f>IF(G29-'Govt Funds Inc Stmt Exh 4'!E29=0,"Yes",G29-'Govt Funds Inc Stmt Exh 4'!E29)</f>
        <v>Yes</v>
      </c>
      <c r="J29" s="322" t="str">
        <f t="shared" si="0"/>
        <v xml:space="preserve"> </v>
      </c>
      <c r="K29" s="20"/>
      <c r="L29" s="20"/>
      <c r="M29" s="20"/>
      <c r="N29" s="20"/>
      <c r="O29" s="20"/>
      <c r="P29" s="20"/>
      <c r="Q29" s="20"/>
      <c r="R29" s="20"/>
      <c r="S29" s="20"/>
    </row>
    <row r="30" spans="1:19" ht="17.25" customHeight="1" x14ac:dyDescent="0.35">
      <c r="A30" s="54" t="s">
        <v>124</v>
      </c>
      <c r="B30" s="35">
        <f>'Govt Funds Inc Stmt Exh 4'!O30</f>
        <v>182000</v>
      </c>
      <c r="C30" s="35">
        <f>'Govt Funds Inc Stmt Exh 4'!R29</f>
        <v>0</v>
      </c>
      <c r="D30" s="35">
        <f>'Govt Funds Inc Stmt Exh 4'!U30</f>
        <v>0</v>
      </c>
      <c r="E30" s="35">
        <f>'Govt Funds Inc Stmt Exh 4'!X30</f>
        <v>0</v>
      </c>
      <c r="F30" s="35">
        <v>0</v>
      </c>
      <c r="G30" s="34">
        <f>SUM(B30:F30)</f>
        <v>182000</v>
      </c>
      <c r="H30" s="20"/>
      <c r="I30" s="146" t="str">
        <f>IF(G30-'Govt Funds Inc Stmt Exh 4'!E30=0,"Yes",G30-'Govt Funds Inc Stmt Exh 4'!E30)</f>
        <v>Yes</v>
      </c>
      <c r="J30" s="322" t="str">
        <f t="shared" si="0"/>
        <v xml:space="preserve"> </v>
      </c>
      <c r="K30" s="20"/>
      <c r="L30" s="20"/>
      <c r="M30" s="20"/>
      <c r="N30" s="20"/>
      <c r="O30" s="20"/>
      <c r="P30" s="20"/>
      <c r="Q30" s="20"/>
      <c r="R30" s="20"/>
      <c r="S30" s="20"/>
    </row>
    <row r="31" spans="1:19" ht="20.100000000000001" customHeight="1" x14ac:dyDescent="0.35">
      <c r="A31" s="70" t="s">
        <v>222</v>
      </c>
      <c r="B31" s="34">
        <f t="shared" ref="B31:G31" si="4">SUM(B26:B30)</f>
        <v>210000</v>
      </c>
      <c r="C31" s="34">
        <f t="shared" si="4"/>
        <v>0</v>
      </c>
      <c r="D31" s="34">
        <f t="shared" si="4"/>
        <v>0</v>
      </c>
      <c r="E31" s="34">
        <f t="shared" si="4"/>
        <v>5000</v>
      </c>
      <c r="F31" s="34">
        <f t="shared" si="4"/>
        <v>0</v>
      </c>
      <c r="G31" s="34">
        <f t="shared" si="4"/>
        <v>215000</v>
      </c>
      <c r="H31" s="20"/>
      <c r="I31" s="146" t="str">
        <f>IF(G31-'Govt Funds Inc Stmt Exh 4'!E31=0,"Yes",G31-'Govt Funds Inc Stmt Exh 4'!E31)</f>
        <v>Yes</v>
      </c>
      <c r="J31" s="322" t="str">
        <f t="shared" si="0"/>
        <v xml:space="preserve"> </v>
      </c>
      <c r="K31" s="20"/>
      <c r="L31" s="20"/>
      <c r="M31" s="20"/>
      <c r="N31" s="20"/>
      <c r="O31" s="20"/>
      <c r="P31" s="20"/>
      <c r="Q31" s="20"/>
      <c r="R31" s="20"/>
      <c r="S31" s="20"/>
    </row>
    <row r="32" spans="1:19" ht="21.95" customHeight="1" x14ac:dyDescent="0.2">
      <c r="A32" s="234" t="s">
        <v>195</v>
      </c>
      <c r="B32" s="76">
        <f t="shared" ref="B32:G32" si="5">+B25+B31</f>
        <v>-36948</v>
      </c>
      <c r="C32" s="76">
        <f t="shared" si="5"/>
        <v>0</v>
      </c>
      <c r="D32" s="76">
        <f t="shared" si="5"/>
        <v>0</v>
      </c>
      <c r="E32" s="76">
        <f t="shared" si="5"/>
        <v>4453</v>
      </c>
      <c r="F32" s="76">
        <f t="shared" si="5"/>
        <v>0</v>
      </c>
      <c r="G32" s="76">
        <f t="shared" si="5"/>
        <v>-32495</v>
      </c>
      <c r="H32" s="20"/>
      <c r="I32" s="146" t="str">
        <f>IF(G32-'Govt Funds Inc Stmt Exh 4'!E32=0,"Yes",G32-'Govt Funds Inc Stmt Exh 4'!E32)</f>
        <v>Yes</v>
      </c>
      <c r="J32" s="322" t="str">
        <f t="shared" si="0"/>
        <v xml:space="preserve"> </v>
      </c>
      <c r="K32" s="20"/>
      <c r="L32" s="20"/>
      <c r="M32" s="20"/>
      <c r="N32" s="20"/>
      <c r="O32" s="20"/>
      <c r="P32" s="20"/>
      <c r="Q32" s="20"/>
      <c r="R32" s="20"/>
      <c r="S32" s="20"/>
    </row>
    <row r="33" spans="1:19" ht="20.100000000000001" customHeight="1" x14ac:dyDescent="0.35">
      <c r="A33" s="77" t="s">
        <v>191</v>
      </c>
      <c r="B33" s="35">
        <f>'Govt Funds Inc Stmt Exh 4'!O33</f>
        <v>127965</v>
      </c>
      <c r="C33" s="35">
        <f>'Govt Funds Inc Stmt Exh 4'!R32</f>
        <v>0</v>
      </c>
      <c r="D33" s="35">
        <f>'Govt Funds Inc Stmt Exh 4'!U33</f>
        <v>0</v>
      </c>
      <c r="E33" s="35">
        <f>'Govt Funds Inc Stmt Exh 4'!X33</f>
        <v>562</v>
      </c>
      <c r="F33" s="35">
        <v>0</v>
      </c>
      <c r="G33" s="34">
        <f>SUM(B33:F33)</f>
        <v>128527</v>
      </c>
      <c r="H33" s="20"/>
      <c r="I33" s="146" t="str">
        <f>IF(G33-'Govt Funds Inc Stmt Exh 4'!E33=0,"Yes",G33-'Govt Funds Inc Stmt Exh 4'!E33)</f>
        <v>Yes</v>
      </c>
      <c r="J33" s="322" t="str">
        <f t="shared" si="0"/>
        <v xml:space="preserve"> </v>
      </c>
      <c r="K33" s="20"/>
      <c r="L33" s="20"/>
      <c r="M33" s="20"/>
      <c r="N33" s="20"/>
      <c r="O33" s="20"/>
      <c r="P33" s="20"/>
      <c r="Q33" s="20"/>
      <c r="R33" s="20"/>
      <c r="S33" s="20"/>
    </row>
    <row r="34" spans="1:19" ht="21.95" customHeight="1" x14ac:dyDescent="0.35">
      <c r="A34" s="20" t="s">
        <v>194</v>
      </c>
      <c r="B34" s="37">
        <f t="shared" ref="B34:G34" si="6">+B32+B33</f>
        <v>91017</v>
      </c>
      <c r="C34" s="37">
        <f t="shared" si="6"/>
        <v>0</v>
      </c>
      <c r="D34" s="37">
        <f t="shared" si="6"/>
        <v>0</v>
      </c>
      <c r="E34" s="37">
        <f t="shared" si="6"/>
        <v>5015</v>
      </c>
      <c r="F34" s="37">
        <f t="shared" si="6"/>
        <v>0</v>
      </c>
      <c r="G34" s="37">
        <f t="shared" si="6"/>
        <v>96032</v>
      </c>
      <c r="H34" s="20"/>
      <c r="I34" s="146" t="str">
        <f>IF(G34-'Govt Funds Inc Stmt Exh 4'!E34=0,"Yes",G34-'Govt Funds Inc Stmt Exh 4'!E34)</f>
        <v>Yes</v>
      </c>
      <c r="J34" s="322" t="str">
        <f t="shared" si="0"/>
        <v xml:space="preserve"> </v>
      </c>
      <c r="K34" s="20"/>
      <c r="L34" s="20"/>
      <c r="M34" s="20"/>
      <c r="N34" s="20"/>
      <c r="O34" s="20"/>
      <c r="P34" s="20"/>
      <c r="Q34" s="20"/>
      <c r="R34" s="20"/>
      <c r="S34" s="20"/>
    </row>
    <row r="35" spans="1:19" ht="15" x14ac:dyDescent="0.2">
      <c r="A35" s="20"/>
      <c r="B35" s="20"/>
      <c r="C35" s="20"/>
      <c r="D35" s="20"/>
      <c r="E35" s="20"/>
      <c r="F35" s="20"/>
      <c r="G35" s="20"/>
      <c r="H35" s="20"/>
      <c r="I35" s="20"/>
      <c r="J35" s="20"/>
      <c r="K35" s="20"/>
      <c r="L35" s="20"/>
      <c r="M35" s="20"/>
      <c r="N35" s="20"/>
      <c r="O35" s="20"/>
      <c r="P35" s="20"/>
      <c r="Q35" s="20"/>
      <c r="R35" s="20"/>
      <c r="S35" s="20"/>
    </row>
    <row r="36" spans="1:19" ht="15" x14ac:dyDescent="0.2">
      <c r="A36" s="20"/>
      <c r="B36" s="20"/>
      <c r="C36" s="20"/>
      <c r="D36" s="20"/>
      <c r="E36" s="20"/>
      <c r="F36" s="20"/>
      <c r="G36" s="20"/>
      <c r="H36" s="20"/>
      <c r="I36" s="20"/>
      <c r="J36" s="20"/>
      <c r="K36" s="20"/>
      <c r="L36" s="20"/>
      <c r="M36" s="20"/>
      <c r="N36" s="20"/>
      <c r="O36" s="20"/>
      <c r="P36" s="20"/>
      <c r="Q36" s="20"/>
      <c r="R36" s="20"/>
      <c r="S36" s="20"/>
    </row>
    <row r="37" spans="1:19" ht="15" x14ac:dyDescent="0.2">
      <c r="A37" s="78"/>
      <c r="B37" s="20"/>
      <c r="C37" s="20"/>
      <c r="D37" s="20"/>
      <c r="E37" s="20"/>
      <c r="F37" s="20"/>
      <c r="G37" s="20"/>
      <c r="H37" s="20"/>
      <c r="I37" s="20"/>
      <c r="J37" s="20"/>
      <c r="K37" s="20"/>
      <c r="L37" s="20"/>
      <c r="M37" s="20"/>
      <c r="N37" s="20"/>
      <c r="O37" s="20"/>
      <c r="P37" s="20"/>
      <c r="Q37" s="20"/>
      <c r="R37" s="20"/>
      <c r="S37" s="20"/>
    </row>
    <row r="38" spans="1:19" ht="15" x14ac:dyDescent="0.2">
      <c r="A38" s="20"/>
      <c r="B38" s="20"/>
      <c r="C38" s="20"/>
      <c r="D38" s="20"/>
      <c r="E38" s="20"/>
      <c r="F38" s="20"/>
      <c r="G38" s="20"/>
      <c r="H38" s="20"/>
      <c r="I38" s="20"/>
      <c r="J38" s="20"/>
      <c r="K38" s="20"/>
      <c r="L38" s="20"/>
      <c r="M38" s="20"/>
      <c r="N38" s="20"/>
      <c r="O38" s="20"/>
      <c r="P38" s="20"/>
      <c r="Q38" s="20"/>
      <c r="R38" s="20"/>
      <c r="S38" s="20"/>
    </row>
    <row r="39" spans="1:19" ht="15" x14ac:dyDescent="0.2">
      <c r="A39" s="20"/>
      <c r="B39" s="20"/>
      <c r="C39" s="20"/>
      <c r="D39" s="20"/>
      <c r="E39" s="20"/>
      <c r="F39" s="20"/>
      <c r="G39" s="20"/>
      <c r="H39" s="20"/>
      <c r="I39" s="20"/>
      <c r="J39" s="20"/>
      <c r="K39" s="20"/>
      <c r="L39" s="20"/>
      <c r="M39" s="20"/>
      <c r="N39" s="20"/>
      <c r="O39" s="20"/>
      <c r="P39" s="20"/>
      <c r="Q39" s="20"/>
      <c r="R39" s="20"/>
      <c r="S39" s="20"/>
    </row>
    <row r="40" spans="1:19" ht="15" x14ac:dyDescent="0.2">
      <c r="A40" s="20"/>
      <c r="B40" s="20"/>
      <c r="C40" s="20"/>
      <c r="D40" s="20"/>
      <c r="E40" s="20"/>
      <c r="F40" s="20"/>
      <c r="G40" s="20"/>
      <c r="H40" s="20"/>
      <c r="I40" s="20"/>
      <c r="J40" s="20"/>
      <c r="K40" s="20"/>
      <c r="L40" s="20"/>
      <c r="M40" s="20"/>
      <c r="N40" s="20"/>
      <c r="O40" s="20"/>
      <c r="P40" s="20"/>
      <c r="Q40" s="20"/>
      <c r="R40" s="20"/>
      <c r="S40" s="20"/>
    </row>
    <row r="41" spans="1:19" ht="15" x14ac:dyDescent="0.2">
      <c r="A41" s="20"/>
      <c r="B41" s="20"/>
      <c r="C41" s="20"/>
      <c r="D41" s="20"/>
      <c r="E41" s="20"/>
      <c r="F41" s="20"/>
      <c r="G41" s="20"/>
      <c r="H41" s="20"/>
      <c r="I41" s="20"/>
      <c r="J41" s="20"/>
      <c r="K41" s="20"/>
      <c r="L41" s="20"/>
      <c r="M41" s="20"/>
      <c r="N41" s="20"/>
      <c r="O41" s="20"/>
      <c r="P41" s="20"/>
      <c r="Q41" s="20"/>
      <c r="R41" s="20"/>
      <c r="S41" s="20"/>
    </row>
    <row r="42" spans="1:19" ht="15" x14ac:dyDescent="0.2">
      <c r="A42" s="20"/>
      <c r="B42" s="20"/>
      <c r="C42" s="20"/>
      <c r="D42" s="20"/>
      <c r="E42" s="20"/>
      <c r="F42" s="20"/>
      <c r="G42" s="20"/>
      <c r="H42" s="20"/>
      <c r="I42" s="20"/>
      <c r="J42" s="20"/>
      <c r="K42" s="20"/>
      <c r="L42" s="20"/>
      <c r="M42" s="20"/>
      <c r="N42" s="20"/>
      <c r="O42" s="20"/>
      <c r="P42" s="20"/>
      <c r="Q42" s="20"/>
      <c r="R42" s="20"/>
      <c r="S42" s="20"/>
    </row>
    <row r="43" spans="1:19" ht="15" x14ac:dyDescent="0.2">
      <c r="A43" s="20"/>
      <c r="B43" s="20"/>
      <c r="C43" s="20"/>
      <c r="D43" s="20"/>
      <c r="E43" s="20"/>
      <c r="F43" s="20"/>
      <c r="G43" s="20"/>
      <c r="H43" s="20"/>
      <c r="I43" s="20"/>
      <c r="J43" s="20"/>
      <c r="K43" s="20"/>
      <c r="L43" s="20"/>
      <c r="M43" s="20"/>
      <c r="N43" s="20"/>
      <c r="O43" s="20"/>
      <c r="P43" s="20"/>
      <c r="Q43" s="20"/>
      <c r="R43" s="20"/>
      <c r="S43" s="20"/>
    </row>
    <row r="44" spans="1:19" ht="15" x14ac:dyDescent="0.2">
      <c r="A44" s="20"/>
      <c r="B44" s="20"/>
      <c r="C44" s="20"/>
      <c r="D44" s="20"/>
      <c r="E44" s="20"/>
      <c r="F44" s="20"/>
      <c r="G44" s="20"/>
      <c r="H44" s="20"/>
      <c r="I44" s="20"/>
      <c r="J44" s="20"/>
      <c r="K44" s="20"/>
      <c r="L44" s="20"/>
      <c r="M44" s="20"/>
      <c r="N44" s="20"/>
      <c r="O44" s="20"/>
      <c r="P44" s="20"/>
      <c r="Q44" s="20"/>
      <c r="R44" s="20"/>
      <c r="S44" s="20"/>
    </row>
    <row r="45" spans="1:19" ht="15" x14ac:dyDescent="0.2">
      <c r="A45" s="20"/>
      <c r="B45" s="20"/>
      <c r="C45" s="20"/>
      <c r="D45" s="20"/>
      <c r="E45" s="20"/>
      <c r="F45" s="20"/>
      <c r="G45" s="20"/>
      <c r="H45" s="20"/>
      <c r="I45" s="20"/>
      <c r="J45" s="20"/>
      <c r="K45" s="20"/>
      <c r="L45" s="20"/>
      <c r="M45" s="20"/>
      <c r="N45" s="20"/>
      <c r="O45" s="20"/>
      <c r="P45" s="20"/>
      <c r="Q45" s="20"/>
      <c r="R45" s="20"/>
      <c r="S45" s="20"/>
    </row>
    <row r="46" spans="1:19" ht="15" x14ac:dyDescent="0.2">
      <c r="A46" s="20"/>
      <c r="B46" s="20"/>
      <c r="C46" s="20"/>
      <c r="D46" s="20"/>
      <c r="E46" s="20"/>
      <c r="F46" s="20"/>
      <c r="G46" s="20"/>
      <c r="H46" s="20"/>
      <c r="I46" s="20"/>
      <c r="J46" s="20"/>
      <c r="K46" s="20"/>
      <c r="L46" s="20"/>
      <c r="M46" s="20"/>
      <c r="N46" s="20"/>
      <c r="O46" s="20"/>
      <c r="P46" s="20"/>
      <c r="Q46" s="20"/>
      <c r="R46" s="20"/>
      <c r="S46" s="20"/>
    </row>
    <row r="47" spans="1:19" ht="15" x14ac:dyDescent="0.2">
      <c r="A47" s="20" t="s">
        <v>283</v>
      </c>
      <c r="B47" s="86" t="str">
        <f>IF(B34-'Discite Cnty etc SRF Bal Sh- SI'!B30=0,"Yes",B34-'Discite Cnty etc SRF Bal Sh- SI'!B30)</f>
        <v>Yes</v>
      </c>
      <c r="C47" s="86" t="str">
        <f>IF(C34-'Discite Cnty etc SRF Bal Sh- SI'!C30=0,"Yes",C34-'Discite Cnty etc SRF Bal Sh- SI'!C30)</f>
        <v>Yes</v>
      </c>
      <c r="D47" s="86" t="str">
        <f>IF(D34-'Discite Cnty etc SRF Bal Sh- SI'!D30=0,"Yes",D34-'Discite Cnty etc SRF Bal Sh- SI'!D30)</f>
        <v>Yes</v>
      </c>
      <c r="E47" s="86" t="str">
        <f>IF(E34-'Discite Cnty etc SRF Bal Sh- SI'!E30=0,"Yes",E34-'Discite Cnty etc SRF Bal Sh- SI'!E30)</f>
        <v>Yes</v>
      </c>
      <c r="F47" s="86" t="str">
        <f>IF(F34-'Discite Cnty etc SRF Bal Sh- SI'!F30=0,"Yes",F34-'Discite Cnty etc SRF Bal Sh- SI'!F30)</f>
        <v>Yes</v>
      </c>
      <c r="G47" s="86" t="str">
        <f>IF(G34-'Discite Cnty etc SRF Bal Sh- SI'!G30=0,"Yes",G34-'Discite Cnty etc SRF Bal Sh- SI'!G30)</f>
        <v>Yes</v>
      </c>
      <c r="H47" s="20"/>
      <c r="I47" s="20"/>
      <c r="J47" s="20"/>
      <c r="K47" s="20"/>
      <c r="L47" s="20"/>
      <c r="M47" s="20"/>
      <c r="N47" s="20"/>
      <c r="O47" s="20"/>
      <c r="P47" s="20"/>
      <c r="Q47" s="20"/>
      <c r="R47" s="20"/>
      <c r="S47" s="20"/>
    </row>
    <row r="48" spans="1:19" ht="15" x14ac:dyDescent="0.2">
      <c r="A48" s="20"/>
      <c r="B48" s="20"/>
      <c r="C48" s="20"/>
      <c r="D48" s="20"/>
      <c r="E48" s="20"/>
      <c r="F48" s="20"/>
      <c r="G48" s="20"/>
      <c r="H48" s="20"/>
      <c r="I48" s="20"/>
      <c r="J48" s="20"/>
      <c r="K48" s="20"/>
      <c r="L48" s="20"/>
      <c r="M48" s="20"/>
      <c r="N48" s="20"/>
      <c r="O48" s="20"/>
      <c r="P48" s="20"/>
      <c r="Q48" s="20"/>
      <c r="R48" s="20"/>
      <c r="S48" s="20"/>
    </row>
    <row r="49" spans="1:19" ht="15" x14ac:dyDescent="0.2">
      <c r="A49" s="20"/>
      <c r="B49" s="20"/>
      <c r="C49" s="20"/>
      <c r="D49" s="20"/>
      <c r="E49" s="20"/>
      <c r="F49" s="20"/>
      <c r="G49" s="20"/>
      <c r="H49" s="20"/>
      <c r="I49" s="20"/>
      <c r="J49" s="20"/>
      <c r="K49" s="20"/>
      <c r="L49" s="20"/>
      <c r="M49" s="20"/>
      <c r="N49" s="20"/>
      <c r="O49" s="20"/>
      <c r="P49" s="20"/>
      <c r="Q49" s="20"/>
      <c r="R49" s="20"/>
      <c r="S49" s="20"/>
    </row>
    <row r="50" spans="1:19" ht="15" x14ac:dyDescent="0.2">
      <c r="A50" s="20"/>
      <c r="B50" s="20"/>
      <c r="C50" s="20"/>
      <c r="D50" s="20"/>
      <c r="E50" s="20"/>
      <c r="F50" s="20"/>
      <c r="G50" s="20"/>
      <c r="H50" s="20"/>
      <c r="I50" s="20"/>
      <c r="J50" s="20"/>
      <c r="K50" s="20"/>
      <c r="L50" s="20"/>
      <c r="M50" s="20"/>
      <c r="N50" s="20"/>
      <c r="O50" s="20"/>
      <c r="P50" s="20"/>
      <c r="Q50" s="20"/>
      <c r="R50" s="20"/>
      <c r="S50" s="20"/>
    </row>
    <row r="51" spans="1:19" ht="15" x14ac:dyDescent="0.2">
      <c r="A51" s="20"/>
      <c r="B51" s="20"/>
      <c r="C51" s="20"/>
      <c r="D51" s="20"/>
      <c r="E51" s="20"/>
      <c r="F51" s="20"/>
      <c r="G51" s="20"/>
      <c r="H51" s="20"/>
      <c r="I51" s="20"/>
      <c r="J51" s="20"/>
      <c r="K51" s="20"/>
      <c r="L51" s="20"/>
      <c r="M51" s="20"/>
      <c r="N51" s="20"/>
      <c r="O51" s="20"/>
      <c r="P51" s="20"/>
      <c r="Q51" s="20"/>
      <c r="R51" s="20"/>
      <c r="S51" s="20"/>
    </row>
    <row r="52" spans="1:19" ht="15" x14ac:dyDescent="0.2">
      <c r="A52" s="20"/>
      <c r="B52" s="20"/>
      <c r="C52" s="20"/>
      <c r="D52" s="20"/>
      <c r="E52" s="20"/>
      <c r="F52" s="20"/>
      <c r="G52" s="20"/>
      <c r="H52" s="20"/>
      <c r="I52" s="20"/>
      <c r="J52" s="20"/>
      <c r="K52" s="20"/>
      <c r="L52" s="20"/>
      <c r="M52" s="20"/>
      <c r="N52" s="20"/>
      <c r="O52" s="20"/>
      <c r="P52" s="20"/>
      <c r="Q52" s="20"/>
      <c r="R52" s="20"/>
      <c r="S52" s="20"/>
    </row>
    <row r="53" spans="1:19" ht="15" x14ac:dyDescent="0.2">
      <c r="A53" s="20"/>
      <c r="B53" s="20"/>
      <c r="C53" s="20"/>
      <c r="D53" s="20"/>
      <c r="E53" s="20"/>
      <c r="F53" s="20"/>
      <c r="G53" s="20"/>
      <c r="H53" s="20"/>
      <c r="I53" s="20"/>
      <c r="J53" s="20"/>
      <c r="K53" s="20"/>
      <c r="L53" s="20"/>
      <c r="M53" s="20"/>
      <c r="N53" s="20"/>
      <c r="O53" s="20"/>
      <c r="P53" s="20"/>
      <c r="Q53" s="20"/>
      <c r="R53" s="20"/>
      <c r="S53" s="20"/>
    </row>
    <row r="54" spans="1:19" ht="15" x14ac:dyDescent="0.2">
      <c r="A54" s="20"/>
      <c r="B54" s="20"/>
      <c r="C54" s="20"/>
      <c r="D54" s="20"/>
      <c r="E54" s="20"/>
      <c r="F54" s="20"/>
      <c r="G54" s="20"/>
      <c r="H54" s="20"/>
      <c r="I54" s="20"/>
      <c r="J54" s="20"/>
      <c r="K54" s="20"/>
      <c r="L54" s="20"/>
      <c r="M54" s="20"/>
      <c r="N54" s="20"/>
      <c r="O54" s="20"/>
      <c r="P54" s="20"/>
      <c r="Q54" s="20"/>
      <c r="R54" s="20"/>
      <c r="S54" s="20"/>
    </row>
    <row r="55" spans="1:19" ht="15" x14ac:dyDescent="0.2">
      <c r="A55" s="20"/>
      <c r="B55" s="20"/>
      <c r="C55" s="20"/>
      <c r="D55" s="20"/>
      <c r="E55" s="20"/>
      <c r="F55" s="20"/>
      <c r="G55" s="20"/>
      <c r="H55" s="20"/>
      <c r="I55" s="20"/>
      <c r="J55" s="20"/>
      <c r="K55" s="20"/>
      <c r="L55" s="20"/>
      <c r="M55" s="20"/>
      <c r="N55" s="20"/>
      <c r="O55" s="20"/>
      <c r="P55" s="20"/>
      <c r="Q55" s="20"/>
      <c r="R55" s="20"/>
      <c r="S55" s="20"/>
    </row>
    <row r="56" spans="1:19" ht="15" x14ac:dyDescent="0.2">
      <c r="A56" s="20"/>
      <c r="B56" s="20"/>
      <c r="C56" s="20"/>
      <c r="D56" s="20"/>
      <c r="E56" s="20"/>
      <c r="F56" s="20"/>
      <c r="G56" s="20"/>
      <c r="H56" s="20"/>
      <c r="I56" s="20"/>
      <c r="J56" s="20"/>
      <c r="K56" s="20"/>
      <c r="L56" s="20"/>
      <c r="M56" s="20"/>
      <c r="N56" s="20"/>
      <c r="O56" s="20"/>
      <c r="P56" s="20"/>
      <c r="Q56" s="20"/>
      <c r="R56" s="20"/>
      <c r="S56" s="20"/>
    </row>
    <row r="57" spans="1:19" ht="15" x14ac:dyDescent="0.2">
      <c r="A57" s="20"/>
      <c r="B57" s="20"/>
      <c r="C57" s="20"/>
      <c r="D57" s="20"/>
      <c r="E57" s="20"/>
      <c r="F57" s="20"/>
      <c r="G57" s="20"/>
      <c r="H57" s="20"/>
      <c r="I57" s="20"/>
      <c r="J57" s="20"/>
      <c r="K57" s="20"/>
      <c r="L57" s="20"/>
      <c r="M57" s="20"/>
      <c r="N57" s="20"/>
      <c r="O57" s="20"/>
      <c r="P57" s="20"/>
      <c r="Q57" s="20"/>
      <c r="R57" s="20"/>
      <c r="S57" s="20"/>
    </row>
    <row r="58" spans="1:19" ht="15" x14ac:dyDescent="0.2">
      <c r="A58" s="20"/>
      <c r="B58" s="20"/>
      <c r="C58" s="20"/>
      <c r="D58" s="20"/>
      <c r="E58" s="20"/>
      <c r="F58" s="20"/>
      <c r="G58" s="20"/>
      <c r="H58" s="20"/>
      <c r="I58" s="20"/>
      <c r="J58" s="20"/>
      <c r="K58" s="20"/>
      <c r="L58" s="20"/>
      <c r="M58" s="20"/>
      <c r="N58" s="20"/>
      <c r="O58" s="20"/>
      <c r="P58" s="20"/>
      <c r="Q58" s="20"/>
      <c r="R58" s="20"/>
      <c r="S58" s="20"/>
    </row>
    <row r="59" spans="1:19" ht="15" x14ac:dyDescent="0.2">
      <c r="A59" s="20"/>
      <c r="B59" s="20"/>
      <c r="C59" s="20"/>
      <c r="D59" s="20"/>
      <c r="E59" s="20"/>
      <c r="F59" s="20"/>
      <c r="G59" s="20"/>
      <c r="H59" s="20"/>
      <c r="I59" s="20"/>
      <c r="J59" s="20"/>
      <c r="K59" s="20"/>
      <c r="L59" s="20"/>
      <c r="M59" s="20"/>
      <c r="N59" s="20"/>
      <c r="O59" s="20"/>
      <c r="P59" s="20"/>
      <c r="Q59" s="20"/>
      <c r="R59" s="20"/>
      <c r="S59" s="20"/>
    </row>
    <row r="60" spans="1:19" ht="15" x14ac:dyDescent="0.2">
      <c r="A60" s="20"/>
      <c r="B60" s="20"/>
      <c r="C60" s="20"/>
      <c r="D60" s="20"/>
      <c r="E60" s="20"/>
      <c r="F60" s="20"/>
      <c r="G60" s="20"/>
      <c r="H60" s="20"/>
      <c r="I60" s="20"/>
      <c r="J60" s="20"/>
      <c r="K60" s="20"/>
      <c r="L60" s="20"/>
      <c r="M60" s="20"/>
      <c r="N60" s="20"/>
      <c r="O60" s="20"/>
      <c r="P60" s="20"/>
      <c r="Q60" s="20"/>
      <c r="R60" s="20"/>
      <c r="S60" s="20"/>
    </row>
    <row r="61" spans="1:19" ht="15" x14ac:dyDescent="0.2">
      <c r="A61" s="20"/>
      <c r="B61" s="20"/>
      <c r="C61" s="20"/>
      <c r="D61" s="20"/>
      <c r="E61" s="20"/>
      <c r="F61" s="20"/>
      <c r="G61" s="20"/>
      <c r="H61" s="20"/>
      <c r="I61" s="20"/>
      <c r="J61" s="20"/>
      <c r="K61" s="20"/>
      <c r="L61" s="20"/>
      <c r="M61" s="20"/>
      <c r="N61" s="20"/>
      <c r="O61" s="20"/>
      <c r="P61" s="20"/>
      <c r="Q61" s="20"/>
      <c r="R61" s="20"/>
      <c r="S61" s="20"/>
    </row>
    <row r="62" spans="1:19" ht="15" x14ac:dyDescent="0.2">
      <c r="A62" s="20"/>
      <c r="B62" s="20"/>
      <c r="C62" s="20"/>
      <c r="D62" s="20"/>
      <c r="E62" s="20"/>
      <c r="F62" s="20"/>
      <c r="G62" s="20"/>
      <c r="H62" s="20"/>
      <c r="I62" s="20"/>
      <c r="J62" s="20"/>
      <c r="K62" s="20"/>
      <c r="L62" s="20"/>
      <c r="M62" s="20"/>
      <c r="N62" s="20"/>
      <c r="O62" s="20"/>
      <c r="P62" s="20"/>
      <c r="Q62" s="20"/>
      <c r="R62" s="20"/>
      <c r="S62" s="20"/>
    </row>
    <row r="63" spans="1:19" ht="15" x14ac:dyDescent="0.2">
      <c r="A63" s="20"/>
      <c r="B63" s="20"/>
      <c r="C63" s="20"/>
      <c r="D63" s="20"/>
      <c r="E63" s="20"/>
      <c r="F63" s="20"/>
      <c r="G63" s="20"/>
      <c r="H63" s="20"/>
      <c r="I63" s="20"/>
      <c r="J63" s="20"/>
      <c r="K63" s="20"/>
      <c r="L63" s="20"/>
      <c r="M63" s="20"/>
      <c r="N63" s="20"/>
      <c r="O63" s="20"/>
      <c r="P63" s="20"/>
      <c r="Q63" s="20"/>
      <c r="R63" s="20"/>
      <c r="S63" s="20"/>
    </row>
    <row r="64" spans="1:19" ht="15" x14ac:dyDescent="0.2">
      <c r="A64" s="20"/>
      <c r="B64" s="20"/>
      <c r="C64" s="20"/>
      <c r="D64" s="20"/>
      <c r="E64" s="20"/>
      <c r="F64" s="20"/>
      <c r="G64" s="20"/>
      <c r="H64" s="20"/>
      <c r="I64" s="20"/>
      <c r="J64" s="20"/>
      <c r="K64" s="20"/>
      <c r="L64" s="20"/>
      <c r="M64" s="20"/>
      <c r="N64" s="20"/>
      <c r="O64" s="20"/>
      <c r="P64" s="20"/>
      <c r="Q64" s="20"/>
      <c r="R64" s="20"/>
      <c r="S64" s="20"/>
    </row>
    <row r="65" spans="1:19" ht="15" x14ac:dyDescent="0.2">
      <c r="A65" s="20"/>
      <c r="B65" s="20"/>
      <c r="C65" s="20"/>
      <c r="D65" s="20"/>
      <c r="E65" s="20"/>
      <c r="F65" s="20"/>
      <c r="G65" s="20"/>
      <c r="H65" s="20"/>
      <c r="I65" s="20"/>
      <c r="J65" s="20"/>
      <c r="K65" s="20"/>
      <c r="L65" s="20"/>
      <c r="M65" s="20"/>
      <c r="N65" s="20"/>
      <c r="O65" s="20"/>
      <c r="P65" s="20"/>
      <c r="Q65" s="20"/>
      <c r="R65" s="20"/>
      <c r="S65" s="20"/>
    </row>
    <row r="66" spans="1:19" ht="15" x14ac:dyDescent="0.2">
      <c r="A66" s="20"/>
      <c r="B66" s="20"/>
      <c r="C66" s="20"/>
      <c r="D66" s="20"/>
      <c r="E66" s="20"/>
      <c r="F66" s="20"/>
      <c r="G66" s="20"/>
      <c r="H66" s="20"/>
      <c r="I66" s="20"/>
      <c r="J66" s="20"/>
      <c r="K66" s="20"/>
      <c r="L66" s="20"/>
      <c r="M66" s="20"/>
      <c r="N66" s="20"/>
      <c r="O66" s="20"/>
      <c r="P66" s="20"/>
      <c r="Q66" s="20"/>
      <c r="R66" s="20"/>
      <c r="S66" s="20"/>
    </row>
    <row r="67" spans="1:19" ht="15" x14ac:dyDescent="0.2">
      <c r="A67" s="20"/>
      <c r="B67" s="20"/>
      <c r="C67" s="20"/>
      <c r="D67" s="20"/>
      <c r="E67" s="20"/>
      <c r="F67" s="20"/>
      <c r="G67" s="20"/>
      <c r="H67" s="20"/>
      <c r="I67" s="20"/>
      <c r="J67" s="20"/>
      <c r="K67" s="20"/>
      <c r="L67" s="20"/>
      <c r="M67" s="20"/>
      <c r="N67" s="20"/>
      <c r="O67" s="20"/>
      <c r="P67" s="20"/>
      <c r="Q67" s="20"/>
      <c r="R67" s="20"/>
      <c r="S67" s="20"/>
    </row>
    <row r="68" spans="1:19" ht="15" x14ac:dyDescent="0.2">
      <c r="A68" s="20"/>
      <c r="B68" s="20"/>
      <c r="C68" s="20"/>
      <c r="D68" s="20"/>
      <c r="E68" s="20"/>
      <c r="F68" s="20"/>
      <c r="G68" s="20"/>
      <c r="H68" s="20"/>
      <c r="I68" s="20"/>
      <c r="J68" s="20"/>
      <c r="K68" s="20"/>
      <c r="L68" s="20"/>
      <c r="M68" s="20"/>
      <c r="N68" s="20"/>
      <c r="O68" s="20"/>
      <c r="P68" s="20"/>
      <c r="Q68" s="20"/>
      <c r="R68" s="20"/>
      <c r="S68" s="20"/>
    </row>
    <row r="69" spans="1:19" ht="15" x14ac:dyDescent="0.2">
      <c r="A69" s="20"/>
      <c r="B69" s="20"/>
      <c r="C69" s="20"/>
      <c r="D69" s="20"/>
      <c r="E69" s="20"/>
      <c r="F69" s="20"/>
      <c r="G69" s="20"/>
      <c r="H69" s="20"/>
      <c r="I69" s="20"/>
      <c r="J69" s="20"/>
      <c r="K69" s="20"/>
      <c r="L69" s="20"/>
      <c r="M69" s="20"/>
      <c r="N69" s="20"/>
      <c r="O69" s="20"/>
      <c r="P69" s="20"/>
      <c r="Q69" s="20"/>
      <c r="R69" s="20"/>
      <c r="S69" s="20"/>
    </row>
    <row r="70" spans="1:19" ht="15" x14ac:dyDescent="0.2">
      <c r="A70" s="20"/>
      <c r="B70" s="20"/>
      <c r="C70" s="20"/>
      <c r="D70" s="20"/>
      <c r="E70" s="20"/>
      <c r="F70" s="20"/>
      <c r="G70" s="20"/>
      <c r="H70" s="20"/>
      <c r="I70" s="20"/>
      <c r="J70" s="20"/>
      <c r="K70" s="20"/>
      <c r="L70" s="20"/>
      <c r="M70" s="20"/>
      <c r="N70" s="20"/>
      <c r="O70" s="20"/>
      <c r="P70" s="20"/>
      <c r="Q70" s="20"/>
      <c r="R70" s="20"/>
      <c r="S70" s="20"/>
    </row>
    <row r="71" spans="1:19" ht="15" x14ac:dyDescent="0.2">
      <c r="A71" s="20"/>
      <c r="B71" s="20"/>
      <c r="C71" s="20"/>
      <c r="D71" s="20"/>
      <c r="E71" s="20"/>
      <c r="F71" s="20"/>
      <c r="G71" s="20"/>
      <c r="H71" s="20"/>
      <c r="I71" s="20"/>
      <c r="J71" s="20"/>
      <c r="K71" s="20"/>
      <c r="L71" s="20"/>
      <c r="M71" s="20"/>
      <c r="N71" s="20"/>
      <c r="O71" s="20"/>
      <c r="P71" s="20"/>
      <c r="Q71" s="20"/>
      <c r="R71" s="20"/>
      <c r="S71" s="20"/>
    </row>
    <row r="72" spans="1:19" ht="15" x14ac:dyDescent="0.2">
      <c r="A72" s="20"/>
      <c r="B72" s="20"/>
      <c r="C72" s="20"/>
      <c r="D72" s="20"/>
      <c r="E72" s="20"/>
      <c r="F72" s="20"/>
      <c r="G72" s="20"/>
      <c r="H72" s="20"/>
      <c r="I72" s="20"/>
      <c r="J72" s="20"/>
      <c r="K72" s="20"/>
      <c r="L72" s="20"/>
      <c r="M72" s="20"/>
      <c r="N72" s="20"/>
      <c r="O72" s="20"/>
      <c r="P72" s="20"/>
      <c r="Q72" s="20"/>
      <c r="R72" s="20"/>
      <c r="S72" s="20"/>
    </row>
    <row r="73" spans="1:19" ht="15" x14ac:dyDescent="0.2">
      <c r="A73" s="20"/>
      <c r="B73" s="20"/>
      <c r="C73" s="20"/>
      <c r="D73" s="20"/>
      <c r="E73" s="20"/>
      <c r="F73" s="20"/>
      <c r="G73" s="20"/>
      <c r="H73" s="20"/>
      <c r="I73" s="20"/>
      <c r="J73" s="20"/>
      <c r="K73" s="20"/>
      <c r="L73" s="20"/>
      <c r="M73" s="20"/>
      <c r="N73" s="20"/>
      <c r="O73" s="20"/>
      <c r="P73" s="20"/>
      <c r="Q73" s="20"/>
      <c r="R73" s="20"/>
      <c r="S73" s="20"/>
    </row>
    <row r="74" spans="1:19" ht="15" x14ac:dyDescent="0.2">
      <c r="A74" s="20"/>
      <c r="B74" s="20"/>
      <c r="C74" s="20"/>
      <c r="D74" s="20"/>
      <c r="E74" s="20"/>
      <c r="F74" s="20"/>
      <c r="G74" s="20"/>
      <c r="H74" s="20"/>
      <c r="I74" s="20"/>
      <c r="J74" s="20"/>
      <c r="K74" s="20"/>
      <c r="L74" s="20"/>
      <c r="M74" s="20"/>
      <c r="N74" s="20"/>
      <c r="O74" s="20"/>
      <c r="P74" s="20"/>
      <c r="Q74" s="20"/>
      <c r="R74" s="20"/>
      <c r="S74" s="20"/>
    </row>
    <row r="75" spans="1:19" ht="15" x14ac:dyDescent="0.2">
      <c r="A75" s="20"/>
      <c r="B75" s="20"/>
      <c r="C75" s="20"/>
      <c r="D75" s="20"/>
      <c r="E75" s="20"/>
      <c r="F75" s="20"/>
      <c r="G75" s="20"/>
      <c r="H75" s="20"/>
      <c r="I75" s="20"/>
      <c r="J75" s="20"/>
      <c r="K75" s="20"/>
      <c r="L75" s="20"/>
      <c r="M75" s="20"/>
      <c r="N75" s="20"/>
      <c r="O75" s="20"/>
      <c r="P75" s="20"/>
      <c r="Q75" s="20"/>
      <c r="R75" s="20"/>
      <c r="S75" s="20"/>
    </row>
    <row r="76" spans="1:19" ht="15" x14ac:dyDescent="0.2">
      <c r="A76" s="20"/>
      <c r="B76" s="20"/>
      <c r="C76" s="20"/>
      <c r="D76" s="20"/>
      <c r="E76" s="20"/>
      <c r="F76" s="20"/>
      <c r="G76" s="20"/>
      <c r="H76" s="20"/>
      <c r="I76" s="20"/>
      <c r="J76" s="20"/>
      <c r="K76" s="20"/>
      <c r="L76" s="20"/>
      <c r="M76" s="20"/>
      <c r="N76" s="20"/>
      <c r="O76" s="20"/>
      <c r="P76" s="20"/>
      <c r="Q76" s="20"/>
      <c r="R76" s="20"/>
      <c r="S76" s="20"/>
    </row>
    <row r="77" spans="1:19" ht="15" x14ac:dyDescent="0.2">
      <c r="A77" s="20"/>
      <c r="B77" s="20"/>
      <c r="C77" s="20"/>
      <c r="D77" s="20"/>
      <c r="E77" s="20"/>
      <c r="F77" s="20"/>
      <c r="G77" s="20"/>
      <c r="H77" s="20"/>
      <c r="I77" s="20"/>
      <c r="J77" s="20"/>
      <c r="K77" s="20"/>
      <c r="L77" s="20"/>
      <c r="M77" s="20"/>
      <c r="N77" s="20"/>
      <c r="O77" s="20"/>
      <c r="P77" s="20"/>
      <c r="Q77" s="20"/>
      <c r="R77" s="20"/>
      <c r="S77" s="20"/>
    </row>
    <row r="78" spans="1:19" ht="15" x14ac:dyDescent="0.2">
      <c r="A78" s="20"/>
      <c r="B78" s="20"/>
      <c r="C78" s="20"/>
      <c r="D78" s="20"/>
      <c r="E78" s="20"/>
      <c r="F78" s="20"/>
      <c r="G78" s="20"/>
      <c r="H78" s="20"/>
      <c r="I78" s="20"/>
      <c r="J78" s="20"/>
      <c r="K78" s="20"/>
      <c r="L78" s="20"/>
      <c r="M78" s="20"/>
      <c r="N78" s="20"/>
      <c r="O78" s="20"/>
      <c r="P78" s="20"/>
      <c r="Q78" s="20"/>
      <c r="R78" s="20"/>
      <c r="S78" s="20"/>
    </row>
    <row r="79" spans="1:19" ht="15" x14ac:dyDescent="0.2">
      <c r="A79" s="20"/>
      <c r="B79" s="20"/>
      <c r="C79" s="20"/>
      <c r="D79" s="20"/>
      <c r="E79" s="20"/>
      <c r="F79" s="20"/>
      <c r="G79" s="20"/>
      <c r="H79" s="20"/>
      <c r="I79" s="20"/>
      <c r="J79" s="20"/>
      <c r="K79" s="20"/>
      <c r="L79" s="20"/>
      <c r="M79" s="20"/>
      <c r="N79" s="20"/>
      <c r="O79" s="20"/>
      <c r="P79" s="20"/>
      <c r="Q79" s="20"/>
      <c r="R79" s="20"/>
      <c r="S79" s="20"/>
    </row>
    <row r="80" spans="1:19" ht="15" x14ac:dyDescent="0.2">
      <c r="A80" s="20"/>
      <c r="B80" s="20"/>
      <c r="C80" s="20"/>
      <c r="D80" s="20"/>
      <c r="E80" s="20"/>
      <c r="F80" s="20"/>
      <c r="G80" s="20"/>
      <c r="H80" s="20"/>
      <c r="I80" s="20"/>
      <c r="J80" s="20"/>
      <c r="K80" s="20"/>
      <c r="L80" s="20"/>
      <c r="M80" s="20"/>
      <c r="N80" s="20"/>
      <c r="O80" s="20"/>
      <c r="P80" s="20"/>
      <c r="Q80" s="20"/>
      <c r="R80" s="20"/>
      <c r="S80" s="20"/>
    </row>
    <row r="81" spans="1:19" ht="15" x14ac:dyDescent="0.2">
      <c r="A81" s="20"/>
      <c r="B81" s="20"/>
      <c r="C81" s="20"/>
      <c r="D81" s="20"/>
      <c r="E81" s="20"/>
      <c r="F81" s="20"/>
      <c r="G81" s="20"/>
      <c r="H81" s="20"/>
      <c r="I81" s="20"/>
      <c r="J81" s="20"/>
      <c r="K81" s="20"/>
      <c r="L81" s="20"/>
      <c r="M81" s="20"/>
      <c r="N81" s="20"/>
      <c r="O81" s="20"/>
      <c r="P81" s="20"/>
      <c r="Q81" s="20"/>
      <c r="R81" s="20"/>
      <c r="S81" s="20"/>
    </row>
    <row r="82" spans="1:19" ht="15" x14ac:dyDescent="0.2">
      <c r="A82" s="20"/>
      <c r="B82" s="20"/>
      <c r="C82" s="20"/>
      <c r="D82" s="20"/>
      <c r="E82" s="20"/>
      <c r="F82" s="20"/>
      <c r="G82" s="20"/>
      <c r="H82" s="20"/>
      <c r="I82" s="20"/>
      <c r="J82" s="20"/>
      <c r="K82" s="20"/>
      <c r="L82" s="20"/>
      <c r="M82" s="20"/>
      <c r="N82" s="20"/>
      <c r="O82" s="20"/>
      <c r="P82" s="20"/>
      <c r="Q82" s="20"/>
      <c r="R82" s="20"/>
      <c r="S82" s="20"/>
    </row>
    <row r="83" spans="1:19" ht="15" x14ac:dyDescent="0.2">
      <c r="A83" s="20"/>
      <c r="B83" s="20"/>
      <c r="C83" s="20"/>
      <c r="D83" s="20"/>
      <c r="E83" s="20"/>
      <c r="F83" s="20"/>
      <c r="G83" s="20"/>
      <c r="H83" s="20"/>
      <c r="I83" s="20"/>
      <c r="J83" s="20"/>
      <c r="K83" s="20"/>
      <c r="L83" s="20"/>
      <c r="M83" s="20"/>
      <c r="N83" s="20"/>
      <c r="O83" s="20"/>
      <c r="P83" s="20"/>
      <c r="Q83" s="20"/>
      <c r="R83" s="20"/>
      <c r="S83" s="20"/>
    </row>
    <row r="84" spans="1:19" ht="15" x14ac:dyDescent="0.2">
      <c r="A84" s="20"/>
      <c r="B84" s="20"/>
      <c r="C84" s="20"/>
      <c r="D84" s="20"/>
      <c r="E84" s="20"/>
      <c r="F84" s="20"/>
      <c r="G84" s="20"/>
      <c r="H84" s="20"/>
      <c r="I84" s="20"/>
      <c r="J84" s="20"/>
      <c r="K84" s="20"/>
      <c r="L84" s="20"/>
      <c r="M84" s="20"/>
      <c r="N84" s="20"/>
      <c r="O84" s="20"/>
      <c r="P84" s="20"/>
      <c r="Q84" s="20"/>
      <c r="R84" s="20"/>
      <c r="S84" s="20"/>
    </row>
    <row r="85" spans="1:19" ht="15" x14ac:dyDescent="0.2">
      <c r="A85" s="20"/>
      <c r="B85" s="20"/>
      <c r="C85" s="20"/>
      <c r="D85" s="20"/>
      <c r="E85" s="20"/>
      <c r="F85" s="20"/>
      <c r="G85" s="20"/>
      <c r="H85" s="20"/>
      <c r="I85" s="20"/>
      <c r="J85" s="20"/>
      <c r="K85" s="20"/>
      <c r="L85" s="20"/>
      <c r="M85" s="20"/>
      <c r="N85" s="20"/>
      <c r="O85" s="20"/>
      <c r="P85" s="20"/>
      <c r="Q85" s="20"/>
      <c r="R85" s="20"/>
      <c r="S85" s="20"/>
    </row>
    <row r="86" spans="1:19" ht="15" x14ac:dyDescent="0.2">
      <c r="A86" s="20"/>
      <c r="B86" s="20"/>
      <c r="C86" s="20"/>
      <c r="D86" s="20"/>
      <c r="E86" s="20"/>
      <c r="F86" s="20"/>
      <c r="G86" s="20"/>
      <c r="H86" s="20"/>
      <c r="I86" s="20"/>
      <c r="J86" s="20"/>
      <c r="K86" s="20"/>
      <c r="L86" s="20"/>
      <c r="M86" s="20"/>
      <c r="N86" s="20"/>
      <c r="O86" s="20"/>
      <c r="P86" s="20"/>
      <c r="Q86" s="20"/>
      <c r="R86" s="20"/>
      <c r="S86" s="20"/>
    </row>
    <row r="87" spans="1:19" ht="15" x14ac:dyDescent="0.2">
      <c r="A87" s="20"/>
      <c r="B87" s="20"/>
      <c r="C87" s="20"/>
      <c r="D87" s="20"/>
      <c r="E87" s="20"/>
      <c r="F87" s="20"/>
      <c r="G87" s="20"/>
      <c r="H87" s="20"/>
      <c r="I87" s="20"/>
      <c r="J87" s="20"/>
      <c r="K87" s="20"/>
      <c r="L87" s="20"/>
      <c r="M87" s="20"/>
      <c r="N87" s="20"/>
      <c r="O87" s="20"/>
      <c r="P87" s="20"/>
      <c r="Q87" s="20"/>
      <c r="R87" s="20"/>
      <c r="S87" s="20"/>
    </row>
    <row r="88" spans="1:19" ht="15" x14ac:dyDescent="0.2">
      <c r="A88" s="20"/>
      <c r="B88" s="20"/>
      <c r="C88" s="20"/>
      <c r="D88" s="20"/>
      <c r="E88" s="20"/>
      <c r="F88" s="20"/>
      <c r="G88" s="20"/>
      <c r="H88" s="20"/>
      <c r="I88" s="20"/>
      <c r="J88" s="20"/>
      <c r="K88" s="20"/>
      <c r="L88" s="20"/>
      <c r="M88" s="20"/>
      <c r="N88" s="20"/>
      <c r="O88" s="20"/>
      <c r="P88" s="20"/>
      <c r="Q88" s="20"/>
      <c r="R88" s="20"/>
      <c r="S88" s="20"/>
    </row>
    <row r="89" spans="1:19" ht="15" x14ac:dyDescent="0.2">
      <c r="A89" s="20"/>
      <c r="B89" s="20"/>
      <c r="C89" s="20"/>
      <c r="D89" s="20"/>
      <c r="E89" s="20"/>
      <c r="F89" s="20"/>
      <c r="G89" s="20"/>
      <c r="H89" s="20"/>
      <c r="I89" s="20"/>
      <c r="J89" s="20"/>
      <c r="K89" s="20"/>
      <c r="L89" s="20"/>
      <c r="M89" s="20"/>
      <c r="N89" s="20"/>
      <c r="O89" s="20"/>
      <c r="P89" s="20"/>
      <c r="Q89" s="20"/>
      <c r="R89" s="20"/>
      <c r="S89" s="20"/>
    </row>
    <row r="90" spans="1:19" ht="15" x14ac:dyDescent="0.2">
      <c r="A90" s="20"/>
      <c r="B90" s="20"/>
      <c r="C90" s="20"/>
      <c r="D90" s="20"/>
      <c r="E90" s="20"/>
      <c r="F90" s="20"/>
      <c r="G90" s="20"/>
      <c r="H90" s="20"/>
      <c r="I90" s="20"/>
      <c r="J90" s="20"/>
      <c r="K90" s="20"/>
      <c r="L90" s="20"/>
      <c r="M90" s="20"/>
      <c r="N90" s="20"/>
      <c r="O90" s="20"/>
      <c r="P90" s="20"/>
      <c r="Q90" s="20"/>
      <c r="R90" s="20"/>
      <c r="S90" s="20"/>
    </row>
    <row r="91" spans="1:19" ht="15" x14ac:dyDescent="0.2">
      <c r="A91" s="20"/>
      <c r="B91" s="20"/>
      <c r="C91" s="20"/>
      <c r="D91" s="20"/>
      <c r="E91" s="20"/>
      <c r="F91" s="20"/>
      <c r="G91" s="20"/>
      <c r="H91" s="20"/>
      <c r="I91" s="20"/>
      <c r="J91" s="20"/>
      <c r="K91" s="20"/>
      <c r="L91" s="20"/>
      <c r="M91" s="20"/>
      <c r="N91" s="20"/>
      <c r="O91" s="20"/>
      <c r="P91" s="20"/>
      <c r="Q91" s="20"/>
      <c r="R91" s="20"/>
      <c r="S91" s="20"/>
    </row>
    <row r="92" spans="1:19" ht="15" x14ac:dyDescent="0.2">
      <c r="A92" s="20"/>
      <c r="B92" s="20"/>
      <c r="C92" s="20"/>
      <c r="D92" s="20"/>
      <c r="E92" s="20"/>
      <c r="F92" s="20"/>
      <c r="G92" s="20"/>
      <c r="H92" s="20"/>
      <c r="I92" s="20"/>
      <c r="J92" s="20"/>
      <c r="K92" s="20"/>
      <c r="L92" s="20"/>
      <c r="M92" s="20"/>
      <c r="N92" s="20"/>
      <c r="O92" s="20"/>
      <c r="P92" s="20"/>
      <c r="Q92" s="20"/>
      <c r="R92" s="20"/>
      <c r="S92" s="20"/>
    </row>
    <row r="93" spans="1:19" ht="15" x14ac:dyDescent="0.2">
      <c r="A93" s="20"/>
      <c r="B93" s="20"/>
      <c r="C93" s="20"/>
      <c r="D93" s="20"/>
      <c r="E93" s="20"/>
      <c r="F93" s="20"/>
      <c r="G93" s="20"/>
      <c r="H93" s="20"/>
      <c r="I93" s="20"/>
      <c r="J93" s="20"/>
      <c r="K93" s="20"/>
      <c r="L93" s="20"/>
      <c r="M93" s="20"/>
      <c r="N93" s="20"/>
      <c r="O93" s="20"/>
      <c r="P93" s="20"/>
      <c r="Q93" s="20"/>
      <c r="R93" s="20"/>
      <c r="S93" s="20"/>
    </row>
    <row r="94" spans="1:19" x14ac:dyDescent="0.2">
      <c r="A94" s="4"/>
      <c r="B94" s="4"/>
      <c r="C94" s="4"/>
      <c r="D94" s="4"/>
      <c r="E94" s="4"/>
      <c r="F94" s="4"/>
      <c r="G94" s="4"/>
      <c r="H94" s="4"/>
      <c r="I94" s="4"/>
      <c r="J94" s="4"/>
      <c r="K94" s="4"/>
      <c r="L94" s="4"/>
      <c r="M94" s="4"/>
      <c r="N94" s="4"/>
      <c r="O94" s="4"/>
      <c r="P94" s="4"/>
      <c r="Q94" s="4"/>
    </row>
    <row r="95" spans="1:19" x14ac:dyDescent="0.2">
      <c r="A95" s="4"/>
      <c r="B95" s="4"/>
      <c r="C95" s="4"/>
      <c r="D95" s="4"/>
      <c r="E95" s="4"/>
      <c r="F95" s="4"/>
      <c r="G95" s="4"/>
      <c r="H95" s="4"/>
      <c r="I95" s="4"/>
      <c r="J95" s="4"/>
      <c r="K95" s="4"/>
      <c r="L95" s="4"/>
      <c r="M95" s="4"/>
      <c r="N95" s="4"/>
      <c r="O95" s="4"/>
      <c r="P95" s="4"/>
      <c r="Q95" s="4"/>
    </row>
    <row r="96" spans="1:19" x14ac:dyDescent="0.2">
      <c r="A96" s="4"/>
      <c r="B96" s="4"/>
      <c r="C96" s="4"/>
      <c r="D96" s="4"/>
      <c r="E96" s="4"/>
      <c r="F96" s="4"/>
      <c r="G96" s="4"/>
      <c r="H96" s="4"/>
      <c r="I96" s="4"/>
      <c r="J96" s="4"/>
      <c r="K96" s="4"/>
      <c r="L96" s="4"/>
      <c r="M96" s="4"/>
      <c r="N96" s="4"/>
      <c r="O96" s="4"/>
      <c r="P96" s="4"/>
      <c r="Q96" s="4"/>
    </row>
    <row r="97" spans="1:17" x14ac:dyDescent="0.2">
      <c r="A97" s="4"/>
      <c r="B97" s="4"/>
      <c r="C97" s="4"/>
      <c r="D97" s="4"/>
      <c r="E97" s="4"/>
      <c r="F97" s="4"/>
      <c r="G97" s="4"/>
      <c r="H97" s="4"/>
      <c r="I97" s="4"/>
      <c r="J97" s="4"/>
      <c r="K97" s="4"/>
      <c r="L97" s="4"/>
      <c r="M97" s="4"/>
      <c r="N97" s="4"/>
      <c r="O97" s="4"/>
      <c r="P97" s="4"/>
      <c r="Q97" s="4"/>
    </row>
    <row r="98" spans="1:17" x14ac:dyDescent="0.2">
      <c r="A98" s="4"/>
      <c r="B98" s="4"/>
      <c r="C98" s="4"/>
      <c r="D98" s="4"/>
      <c r="E98" s="4"/>
      <c r="F98" s="4"/>
      <c r="G98" s="4"/>
      <c r="H98" s="4"/>
      <c r="I98" s="4"/>
      <c r="J98" s="4"/>
      <c r="K98" s="4"/>
      <c r="L98" s="4"/>
      <c r="M98" s="4"/>
      <c r="N98" s="4"/>
      <c r="O98" s="4"/>
      <c r="P98" s="4"/>
      <c r="Q98" s="4"/>
    </row>
    <row r="99" spans="1:17" x14ac:dyDescent="0.2">
      <c r="A99" s="4"/>
      <c r="B99" s="4"/>
      <c r="C99" s="4"/>
      <c r="D99" s="4"/>
      <c r="E99" s="4"/>
      <c r="F99" s="4"/>
      <c r="G99" s="4"/>
      <c r="H99" s="4"/>
      <c r="I99" s="4"/>
      <c r="J99" s="4"/>
      <c r="K99" s="4"/>
      <c r="L99" s="4"/>
      <c r="M99" s="4"/>
      <c r="N99" s="4"/>
      <c r="O99" s="4"/>
      <c r="P99" s="4"/>
      <c r="Q99" s="4"/>
    </row>
    <row r="100" spans="1:17" x14ac:dyDescent="0.2">
      <c r="A100" s="4"/>
      <c r="B100" s="4"/>
      <c r="C100" s="4"/>
      <c r="D100" s="4"/>
      <c r="E100" s="4"/>
      <c r="F100" s="4"/>
      <c r="G100" s="4"/>
      <c r="H100" s="4"/>
      <c r="I100" s="4"/>
      <c r="J100" s="4"/>
      <c r="K100" s="4"/>
      <c r="L100" s="4"/>
      <c r="M100" s="4"/>
      <c r="N100" s="4"/>
      <c r="O100" s="4"/>
      <c r="P100" s="4"/>
      <c r="Q100" s="4"/>
    </row>
    <row r="101" spans="1:17" x14ac:dyDescent="0.2">
      <c r="A101" s="4"/>
      <c r="B101" s="4"/>
      <c r="C101" s="4"/>
      <c r="D101" s="4"/>
      <c r="E101" s="4"/>
      <c r="F101" s="4"/>
      <c r="G101" s="4"/>
      <c r="H101" s="4"/>
      <c r="I101" s="4"/>
      <c r="J101" s="4"/>
      <c r="K101" s="4"/>
      <c r="L101" s="4"/>
      <c r="M101" s="4"/>
      <c r="N101" s="4"/>
      <c r="O101" s="4"/>
      <c r="P101" s="4"/>
      <c r="Q101" s="4"/>
    </row>
  </sheetData>
  <mergeCells count="11">
    <mergeCell ref="B6:B7"/>
    <mergeCell ref="C6:C7"/>
    <mergeCell ref="D6:D7"/>
    <mergeCell ref="I6:I7"/>
    <mergeCell ref="E6:E7"/>
    <mergeCell ref="F6:F7"/>
    <mergeCell ref="A1:G1"/>
    <mergeCell ref="A2:G2"/>
    <mergeCell ref="A3:G3"/>
    <mergeCell ref="A4:G4"/>
    <mergeCell ref="B5:E5"/>
  </mergeCells>
  <conditionalFormatting sqref="B47:G47">
    <cfRule type="cellIs" dxfId="42" priority="3" stopIfTrue="1" operator="notEqual">
      <formula>"Yes"</formula>
    </cfRule>
  </conditionalFormatting>
  <conditionalFormatting sqref="I9">
    <cfRule type="cellIs" dxfId="41" priority="2" stopIfTrue="1" operator="notEqual">
      <formula>"Yes"</formula>
    </cfRule>
  </conditionalFormatting>
  <conditionalFormatting sqref="I27:I34 I17:I25 I10:I14">
    <cfRule type="cellIs" dxfId="40" priority="1" stopIfTrue="1" operator="notEqual">
      <formula>"Yes"</formula>
    </cfRule>
  </conditionalFormatting>
  <pageMargins left="0.75" right="0.75" top="0.75" bottom="0.75" header="0.5" footer="0.5"/>
  <pageSetup scale="89" orientation="portrait" r:id="rId1"/>
  <headerFooter>
    <oddHeader>&amp;R&amp;12Statement 12</oddHeader>
    <oddFooter>&amp;L&amp;12Revised:  July 2020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39997558519241921"/>
  </sheetPr>
  <dimension ref="A1:I50"/>
  <sheetViews>
    <sheetView showGridLines="0" workbookViewId="0">
      <selection activeCell="A33" sqref="A33"/>
    </sheetView>
  </sheetViews>
  <sheetFormatPr defaultRowHeight="12.75" x14ac:dyDescent="0.2"/>
  <cols>
    <col min="1" max="1" width="60.7109375" customWidth="1"/>
    <col min="2" max="2" width="21.7109375" customWidth="1"/>
    <col min="3" max="5" width="16.7109375" hidden="1" customWidth="1"/>
    <col min="8" max="9" width="14.7109375" customWidth="1"/>
  </cols>
  <sheetData>
    <row r="1" spans="1:9" ht="15.75" x14ac:dyDescent="0.25">
      <c r="A1" s="342" t="str">
        <f>'GW Net Position Exh 1'!A1</f>
        <v>Owl Charter, Inc.</v>
      </c>
      <c r="B1" s="342"/>
      <c r="C1" s="342"/>
      <c r="D1" s="342"/>
      <c r="E1" s="342"/>
    </row>
    <row r="2" spans="1:9" ht="15.75" x14ac:dyDescent="0.25">
      <c r="A2" s="383" t="s">
        <v>347</v>
      </c>
      <c r="B2" s="383"/>
      <c r="C2" s="383"/>
      <c r="D2" s="383"/>
      <c r="E2" s="383"/>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3'!E7</f>
        <v>Owl - Discite</v>
      </c>
      <c r="C5" s="372"/>
      <c r="D5" s="372"/>
      <c r="E5" s="372"/>
    </row>
    <row r="6" spans="1:9" ht="17.25" customHeight="1" x14ac:dyDescent="0.35">
      <c r="A6" s="20"/>
      <c r="B6" s="26" t="s">
        <v>350</v>
      </c>
      <c r="C6" s="26"/>
      <c r="D6" s="26"/>
      <c r="E6" s="26"/>
    </row>
    <row r="7" spans="1:9" ht="36" customHeight="1" x14ac:dyDescent="0.35">
      <c r="A7" s="20"/>
      <c r="B7" s="27" t="s">
        <v>351</v>
      </c>
      <c r="C7" s="26" t="s">
        <v>408</v>
      </c>
      <c r="D7" s="26" t="s">
        <v>225</v>
      </c>
      <c r="E7" s="26" t="s">
        <v>373</v>
      </c>
      <c r="H7" s="320" t="s">
        <v>401</v>
      </c>
      <c r="I7" s="325" t="s">
        <v>391</v>
      </c>
    </row>
    <row r="8" spans="1:9" ht="17.25" x14ac:dyDescent="0.35">
      <c r="A8" s="28" t="s">
        <v>227</v>
      </c>
      <c r="B8" s="20"/>
      <c r="C8" s="20"/>
      <c r="D8" s="20"/>
      <c r="E8" s="20"/>
      <c r="H8" s="27"/>
    </row>
    <row r="9" spans="1:9" ht="15" x14ac:dyDescent="0.2">
      <c r="A9" s="30" t="s">
        <v>326</v>
      </c>
      <c r="B9" s="20"/>
      <c r="C9" s="20"/>
      <c r="D9" s="20"/>
      <c r="E9" s="20"/>
      <c r="H9" s="30"/>
      <c r="I9" s="321"/>
    </row>
    <row r="10" spans="1:9" ht="15" x14ac:dyDescent="0.2">
      <c r="A10" s="36" t="s">
        <v>1</v>
      </c>
      <c r="B10" s="138">
        <f>'Enterprise Net Position Exh 6'!M12</f>
        <v>888</v>
      </c>
      <c r="C10" s="138">
        <f>'Enterprise Net Position Exh 6'!P12</f>
        <v>0</v>
      </c>
      <c r="D10" s="138">
        <v>0</v>
      </c>
      <c r="E10" s="29">
        <f>SUM(B10:D10)</f>
        <v>888</v>
      </c>
      <c r="H10" s="146" t="str">
        <f>IF(E10-'Enterprise Net Position Exh 6'!D12=0,"Yes",E10-'Enterprise Net Position Exh 6'!D12)</f>
        <v>Yes</v>
      </c>
      <c r="I10" s="322" t="str">
        <f>IF(((ABS(B10)+ABS(C10)+ABS(D10)+ABS(E10))=0),"Hide Row?"," ")</f>
        <v xml:space="preserve"> </v>
      </c>
    </row>
    <row r="11" spans="1:9" ht="15" x14ac:dyDescent="0.2">
      <c r="A11" s="36" t="s">
        <v>46</v>
      </c>
      <c r="B11" s="139">
        <f>'Enterprise Net Position Exh 6'!M13</f>
        <v>3117</v>
      </c>
      <c r="C11" s="139">
        <f>'Enterprise Net Position Exh 6'!P13</f>
        <v>0</v>
      </c>
      <c r="D11" s="139">
        <v>0</v>
      </c>
      <c r="E11" s="47">
        <f>SUM(B11:D11)</f>
        <v>3117</v>
      </c>
      <c r="H11" s="146" t="str">
        <f>IF(E11-'Enterprise Net Position Exh 6'!D13=0,"Yes",E11-'Enterprise Net Position Exh 6'!D13)</f>
        <v>Yes</v>
      </c>
      <c r="I11" s="322" t="str">
        <f>IF(((ABS(B11)+ABS(C11)+ABS(D11)+ABS(E11))=0),"Hide Row?"," ")</f>
        <v xml:space="preserve"> </v>
      </c>
    </row>
    <row r="12" spans="1:9" ht="15" x14ac:dyDescent="0.2">
      <c r="A12" s="36" t="s">
        <v>88</v>
      </c>
      <c r="B12" s="139">
        <f>'Enterprise Net Position Exh 6'!M14</f>
        <v>784</v>
      </c>
      <c r="C12" s="139">
        <f>'Enterprise Net Position Exh 6'!P14</f>
        <v>0</v>
      </c>
      <c r="D12" s="139">
        <v>0</v>
      </c>
      <c r="E12" s="47">
        <f>SUM(B12:D12)</f>
        <v>784</v>
      </c>
      <c r="H12" s="146" t="str">
        <f>IF(E12-'Enterprise Net Position Exh 6'!D14=0,"Yes",E12-'Enterprise Net Position Exh 6'!D14)</f>
        <v>Yes</v>
      </c>
      <c r="I12" s="322" t="str">
        <f t="shared" ref="I12:I35" si="0">IF(((ABS(B12)+ABS(C12)+ABS(D12)+ABS(E12))=0),"Hide Row?"," ")</f>
        <v xml:space="preserve"> </v>
      </c>
    </row>
    <row r="13" spans="1:9" ht="17.25" x14ac:dyDescent="0.35">
      <c r="A13" s="36" t="s">
        <v>2</v>
      </c>
      <c r="B13" s="140">
        <f>'Enterprise Net Position Exh 6'!M15</f>
        <v>398</v>
      </c>
      <c r="C13" s="140">
        <f>'Enterprise Net Position Exh 6'!P15</f>
        <v>0</v>
      </c>
      <c r="D13" s="140">
        <v>0</v>
      </c>
      <c r="E13" s="140">
        <f>SUM(B13:D13)</f>
        <v>398</v>
      </c>
      <c r="H13" s="146" t="str">
        <f>IF(E13-'Enterprise Net Position Exh 6'!D15=0,"Yes",E13-'Enterprise Net Position Exh 6'!D15)</f>
        <v>Yes</v>
      </c>
      <c r="I13" s="322" t="str">
        <f t="shared" si="0"/>
        <v xml:space="preserve"> </v>
      </c>
    </row>
    <row r="14" spans="1:9" ht="17.25" x14ac:dyDescent="0.35">
      <c r="A14" s="73" t="s">
        <v>21</v>
      </c>
      <c r="B14" s="34">
        <f>SUM(B10:B13)</f>
        <v>5187</v>
      </c>
      <c r="C14" s="34">
        <f>SUM(C10:C13)</f>
        <v>0</v>
      </c>
      <c r="D14" s="34">
        <f>SUM(D10:D13)</f>
        <v>0</v>
      </c>
      <c r="E14" s="34">
        <f>SUM(E10:E13)</f>
        <v>5187</v>
      </c>
      <c r="H14" s="146" t="str">
        <f>IF(E14-'Enterprise Net Position Exh 6'!D16=0,"Yes",E14-'Enterprise Net Position Exh 6'!D16)</f>
        <v>Yes</v>
      </c>
      <c r="I14" s="322" t="str">
        <f t="shared" si="0"/>
        <v xml:space="preserve"> </v>
      </c>
    </row>
    <row r="15" spans="1:9" ht="20.100000000000001" customHeight="1" x14ac:dyDescent="0.2">
      <c r="A15" s="39" t="s">
        <v>327</v>
      </c>
      <c r="B15" s="71"/>
      <c r="C15" s="71"/>
      <c r="D15" s="71"/>
      <c r="E15" s="20"/>
      <c r="H15" s="20"/>
      <c r="I15" s="322"/>
    </row>
    <row r="16" spans="1:9" ht="15" x14ac:dyDescent="0.2">
      <c r="A16" s="70" t="s">
        <v>199</v>
      </c>
      <c r="B16" s="71"/>
      <c r="C16" s="71"/>
      <c r="D16" s="71"/>
      <c r="E16" s="20"/>
      <c r="H16" s="20"/>
      <c r="I16" s="322"/>
    </row>
    <row r="17" spans="1:9" ht="15" x14ac:dyDescent="0.2">
      <c r="A17" s="73" t="s">
        <v>200</v>
      </c>
      <c r="B17" s="139">
        <f>'Enterprise Net Position Exh 6'!M19</f>
        <v>5471</v>
      </c>
      <c r="C17" s="139">
        <f>'Enterprise Net Position Exh 6'!P19</f>
        <v>0</v>
      </c>
      <c r="D17" s="139">
        <v>0</v>
      </c>
      <c r="E17" s="47">
        <f>SUM(B17:D17)</f>
        <v>5471</v>
      </c>
      <c r="H17" s="146" t="str">
        <f>IF(E17-'Enterprise Net Position Exh 6'!D19=0,"Yes",E17-'Enterprise Net Position Exh 6'!D19)</f>
        <v>Yes</v>
      </c>
      <c r="I17" s="322" t="str">
        <f t="shared" si="0"/>
        <v xml:space="preserve"> </v>
      </c>
    </row>
    <row r="18" spans="1:9" ht="15" x14ac:dyDescent="0.2">
      <c r="A18" s="73" t="s">
        <v>150</v>
      </c>
      <c r="B18" s="139">
        <f>'Enterprise Net Position Exh 6'!M20</f>
        <v>980</v>
      </c>
      <c r="C18" s="139">
        <f>'Enterprise Net Position Exh 6'!P20</f>
        <v>0</v>
      </c>
      <c r="D18" s="139">
        <f>'Enterprise Net Position Exh 6'!P20</f>
        <v>0</v>
      </c>
      <c r="E18" s="47">
        <f>SUM(B18:D18)</f>
        <v>980</v>
      </c>
      <c r="H18" s="146" t="str">
        <f>IF(E18-'Enterprise Net Position Exh 6'!D20=0,"Yes",E18-'Enterprise Net Position Exh 6'!D20)</f>
        <v>Yes</v>
      </c>
      <c r="I18" s="322" t="str">
        <f t="shared" si="0"/>
        <v xml:space="preserve"> </v>
      </c>
    </row>
    <row r="19" spans="1:9" ht="17.25" x14ac:dyDescent="0.35">
      <c r="A19" s="73" t="s">
        <v>201</v>
      </c>
      <c r="B19" s="140">
        <f>'Enterprise Net Position Exh 6'!M21</f>
        <v>2660</v>
      </c>
      <c r="C19" s="140">
        <f>'Enterprise Net Position Exh 6'!P21</f>
        <v>0</v>
      </c>
      <c r="D19" s="140">
        <v>0</v>
      </c>
      <c r="E19" s="140">
        <f>SUM(B19:D19)</f>
        <v>2660</v>
      </c>
      <c r="H19" s="146" t="str">
        <f>IF(E19-'Enterprise Net Position Exh 6'!D21=0,"Yes",E19-'Enterprise Net Position Exh 6'!D21)</f>
        <v>Yes</v>
      </c>
      <c r="I19" s="322" t="str">
        <f t="shared" si="0"/>
        <v xml:space="preserve"> </v>
      </c>
    </row>
    <row r="20" spans="1:9" ht="17.25" x14ac:dyDescent="0.35">
      <c r="A20" s="100" t="s">
        <v>22</v>
      </c>
      <c r="B20" s="34">
        <f>SUM(B17:B19)</f>
        <v>9111</v>
      </c>
      <c r="C20" s="34">
        <f>SUM(C17:C19)</f>
        <v>0</v>
      </c>
      <c r="D20" s="34">
        <f>SUM(D17:D19)</f>
        <v>0</v>
      </c>
      <c r="E20" s="34">
        <f>SUM(E17:E19)</f>
        <v>9111</v>
      </c>
      <c r="H20" s="146" t="str">
        <f>IF(E20-'Enterprise Net Position Exh 6'!D22=0,"Yes",E20-'Enterprise Net Position Exh 6'!D22)</f>
        <v>Yes</v>
      </c>
      <c r="I20" s="322" t="str">
        <f t="shared" si="0"/>
        <v xml:space="preserve"> </v>
      </c>
    </row>
    <row r="21" spans="1:9" ht="17.25" x14ac:dyDescent="0.35">
      <c r="A21" s="69" t="s">
        <v>3</v>
      </c>
      <c r="B21" s="101">
        <f>+B20+B14</f>
        <v>14298</v>
      </c>
      <c r="C21" s="101">
        <f>+C20+C14</f>
        <v>0</v>
      </c>
      <c r="D21" s="101">
        <f>+D20+D14</f>
        <v>0</v>
      </c>
      <c r="E21" s="101">
        <f>+E20+E14</f>
        <v>14298</v>
      </c>
      <c r="H21" s="146" t="str">
        <f>IF(E21-'Enterprise Net Position Exh 6'!D23=0,"Yes",E21-'Enterprise Net Position Exh 6'!D23)</f>
        <v>Yes</v>
      </c>
      <c r="I21" s="322" t="str">
        <f t="shared" si="0"/>
        <v xml:space="preserve"> </v>
      </c>
    </row>
    <row r="22" spans="1:9" ht="21.95" customHeight="1" x14ac:dyDescent="0.25">
      <c r="A22" s="28" t="s">
        <v>228</v>
      </c>
      <c r="B22" s="33"/>
      <c r="C22" s="33"/>
      <c r="D22" s="33"/>
      <c r="E22" s="20"/>
      <c r="H22" s="20"/>
      <c r="I22" s="322"/>
    </row>
    <row r="23" spans="1:9" ht="15" x14ac:dyDescent="0.2">
      <c r="A23" s="20" t="s">
        <v>328</v>
      </c>
      <c r="B23" s="33"/>
      <c r="C23" s="33"/>
      <c r="D23" s="33"/>
      <c r="E23" s="20"/>
      <c r="H23" s="20"/>
      <c r="I23" s="322"/>
    </row>
    <row r="24" spans="1:9" ht="15" x14ac:dyDescent="0.2">
      <c r="A24" s="36" t="s">
        <v>89</v>
      </c>
      <c r="B24" s="139">
        <f>'Enterprise Net Position Exh 6'!M26</f>
        <v>1510</v>
      </c>
      <c r="C24" s="139">
        <f>'Enterprise Net Position Exh 6'!P26</f>
        <v>0</v>
      </c>
      <c r="D24" s="139">
        <v>0</v>
      </c>
      <c r="E24" s="139">
        <f>SUM(B24:D24)</f>
        <v>1510</v>
      </c>
      <c r="H24" s="146" t="str">
        <f>IF(E24-'Enterprise Net Position Exh 6'!D26=0,"Yes",E24-'Enterprise Net Position Exh 6'!D26)</f>
        <v>Yes</v>
      </c>
      <c r="I24" s="322" t="str">
        <f t="shared" si="0"/>
        <v xml:space="preserve"> </v>
      </c>
    </row>
    <row r="25" spans="1:9" ht="15" hidden="1" x14ac:dyDescent="0.2">
      <c r="A25" s="70" t="s">
        <v>9</v>
      </c>
      <c r="B25" s="139">
        <f>'Enterprise Net Position Exh 6'!M27</f>
        <v>0</v>
      </c>
      <c r="C25" s="139">
        <f>'Enterprise Net Position Exh 6'!N27</f>
        <v>0</v>
      </c>
      <c r="D25" s="139">
        <f>'Enterprise Net Position Exh 6'!O27</f>
        <v>0</v>
      </c>
      <c r="E25" s="139">
        <f>SUM(B25:D25)</f>
        <v>0</v>
      </c>
      <c r="H25" s="146" t="str">
        <f>IF(E25-'Enterprise Net Position Exh 6'!D27=0,"Yes",E25-'Enterprise Net Position Exh 6'!D27)</f>
        <v>Yes</v>
      </c>
      <c r="I25" s="322" t="str">
        <f t="shared" si="0"/>
        <v>Hide Row?</v>
      </c>
    </row>
    <row r="26" spans="1:9" ht="17.25" x14ac:dyDescent="0.35">
      <c r="A26" s="40" t="s">
        <v>379</v>
      </c>
      <c r="B26" s="140">
        <f>'Enterprise Net Position Exh 6'!M28</f>
        <v>108</v>
      </c>
      <c r="C26" s="140">
        <f>'Enterprise Net Position Exh 6'!N28</f>
        <v>0</v>
      </c>
      <c r="D26" s="140">
        <f>'Enterprise Net Position Exh 6'!O28</f>
        <v>0</v>
      </c>
      <c r="E26" s="140">
        <f>SUM(B26:D26)</f>
        <v>108</v>
      </c>
      <c r="H26" s="146" t="str">
        <f>IF(E26-'Enterprise Net Position Exh 6'!D28=0,"Yes",E26-'Enterprise Net Position Exh 6'!D28)</f>
        <v>Yes</v>
      </c>
      <c r="I26" s="322" t="str">
        <f t="shared" si="0"/>
        <v xml:space="preserve"> </v>
      </c>
    </row>
    <row r="27" spans="1:9" ht="17.25" x14ac:dyDescent="0.35">
      <c r="A27" s="73" t="s">
        <v>24</v>
      </c>
      <c r="B27" s="34">
        <f>SUM(B24:B26)</f>
        <v>1618</v>
      </c>
      <c r="C27" s="34">
        <f>SUM(C24:C26)</f>
        <v>0</v>
      </c>
      <c r="D27" s="34">
        <f>SUM(D24:D26)</f>
        <v>0</v>
      </c>
      <c r="E27" s="34">
        <f>SUM(E24:E26)</f>
        <v>1618</v>
      </c>
      <c r="H27" s="146" t="str">
        <f>IF(E27-'Enterprise Net Position Exh 6'!D29=0,"Yes",E27-'Enterprise Net Position Exh 6'!D29)</f>
        <v>Yes</v>
      </c>
      <c r="I27" s="322" t="str">
        <f t="shared" si="0"/>
        <v xml:space="preserve"> </v>
      </c>
    </row>
    <row r="28" spans="1:9" ht="20.100000000000001" customHeight="1" x14ac:dyDescent="0.2">
      <c r="A28" s="30" t="s">
        <v>329</v>
      </c>
      <c r="B28" s="46"/>
      <c r="C28" s="46"/>
      <c r="D28" s="46"/>
      <c r="E28" s="20"/>
      <c r="H28" s="20"/>
      <c r="I28" s="322"/>
    </row>
    <row r="29" spans="1:9" ht="17.25" x14ac:dyDescent="0.35">
      <c r="A29" s="40" t="s">
        <v>77</v>
      </c>
      <c r="B29" s="140">
        <f>'Enterprise Net Position Exh 6'!M31</f>
        <v>352</v>
      </c>
      <c r="C29" s="140">
        <f>'Enterprise Net Position Exh 6'!P31</f>
        <v>0</v>
      </c>
      <c r="D29" s="140">
        <f>'Enterprise Net Position Exh 6'!P31</f>
        <v>0</v>
      </c>
      <c r="E29" s="140">
        <f>SUM(B29:D29)</f>
        <v>352</v>
      </c>
      <c r="H29" s="146" t="str">
        <f>IF(E29-'Enterprise Net Position Exh 6'!D31=0,"Yes",E29-'Enterprise Net Position Exh 6'!D31)</f>
        <v>Yes</v>
      </c>
      <c r="I29" s="322" t="str">
        <f t="shared" si="0"/>
        <v xml:space="preserve"> </v>
      </c>
    </row>
    <row r="30" spans="1:9" ht="17.25" x14ac:dyDescent="0.35">
      <c r="A30" s="73" t="s">
        <v>147</v>
      </c>
      <c r="B30" s="34">
        <f>+B29</f>
        <v>352</v>
      </c>
      <c r="C30" s="34">
        <f>+C29</f>
        <v>0</v>
      </c>
      <c r="D30" s="34">
        <f>+D29</f>
        <v>0</v>
      </c>
      <c r="E30" s="34">
        <f>+E29</f>
        <v>352</v>
      </c>
      <c r="H30" s="146" t="str">
        <f>IF(E30-'Enterprise Net Position Exh 6'!D32=0,"Yes",E30-'Enterprise Net Position Exh 6'!D32)</f>
        <v>Yes</v>
      </c>
      <c r="I30" s="322" t="str">
        <f t="shared" si="0"/>
        <v xml:space="preserve"> </v>
      </c>
    </row>
    <row r="31" spans="1:9" ht="17.25" x14ac:dyDescent="0.35">
      <c r="A31" s="103" t="s">
        <v>4</v>
      </c>
      <c r="B31" s="34">
        <f>+B30+B27</f>
        <v>1970</v>
      </c>
      <c r="C31" s="34">
        <f>+C30+C27</f>
        <v>0</v>
      </c>
      <c r="D31" s="34">
        <f>+D30+D27</f>
        <v>0</v>
      </c>
      <c r="E31" s="34">
        <f>+E30+E27</f>
        <v>1970</v>
      </c>
      <c r="H31" s="146" t="str">
        <f>IF(E31-'Enterprise Net Position Exh 6'!D33=0,"Yes",E31-'Enterprise Net Position Exh 6'!D33)</f>
        <v>Yes</v>
      </c>
      <c r="I31" s="322" t="str">
        <f t="shared" si="0"/>
        <v xml:space="preserve"> </v>
      </c>
    </row>
    <row r="32" spans="1:9" ht="21.95" customHeight="1" x14ac:dyDescent="0.25">
      <c r="A32" s="42" t="s">
        <v>232</v>
      </c>
      <c r="B32" s="33"/>
      <c r="C32" s="33"/>
      <c r="D32" s="33"/>
      <c r="E32" s="20"/>
      <c r="H32" s="20"/>
      <c r="I32" s="322"/>
    </row>
    <row r="33" spans="1:9" ht="15" x14ac:dyDescent="0.2">
      <c r="A33" s="48" t="s">
        <v>166</v>
      </c>
      <c r="B33" s="139">
        <f>'Enterprise Net Position Exh 6'!M35</f>
        <v>9111</v>
      </c>
      <c r="C33" s="139">
        <f>'Enterprise Net Position Exh 6'!P35</f>
        <v>0</v>
      </c>
      <c r="D33" s="139">
        <v>0</v>
      </c>
      <c r="E33" s="47">
        <f>SUM(B33:D33)</f>
        <v>9111</v>
      </c>
      <c r="H33" s="146" t="str">
        <f>IF(E33-'Enterprise Net Position Exh 6'!D35=0,"Yes",E33-'Enterprise Net Position Exh 6'!D35)</f>
        <v>Yes</v>
      </c>
      <c r="I33" s="322" t="str">
        <f t="shared" si="0"/>
        <v xml:space="preserve"> </v>
      </c>
    </row>
    <row r="34" spans="1:9" ht="17.25" x14ac:dyDescent="0.35">
      <c r="A34" s="70" t="s">
        <v>163</v>
      </c>
      <c r="B34" s="140">
        <f>'Enterprise Net Position Exh 6'!M36</f>
        <v>3217</v>
      </c>
      <c r="C34" s="140">
        <f>'Enterprise Net Position Exh 6'!P36</f>
        <v>0</v>
      </c>
      <c r="D34" s="140">
        <v>0</v>
      </c>
      <c r="E34" s="140">
        <f>SUM(B34:D34)</f>
        <v>3217</v>
      </c>
      <c r="H34" s="146" t="str">
        <f>IF(E34-'Enterprise Net Position Exh 6'!D36=0,"Yes",E34-'Enterprise Net Position Exh 6'!D36)</f>
        <v>Yes</v>
      </c>
      <c r="I34" s="322" t="str">
        <f t="shared" si="0"/>
        <v xml:space="preserve"> </v>
      </c>
    </row>
    <row r="35" spans="1:9" ht="17.25" x14ac:dyDescent="0.35">
      <c r="A35" s="64" t="s">
        <v>167</v>
      </c>
      <c r="B35" s="37">
        <f>SUM(B33:B34)</f>
        <v>12328</v>
      </c>
      <c r="C35" s="37">
        <f>SUM(C33:C34)</f>
        <v>0</v>
      </c>
      <c r="D35" s="37">
        <f>SUM(D33:D34)</f>
        <v>0</v>
      </c>
      <c r="E35" s="37">
        <f>SUM(E33:E34)</f>
        <v>12328</v>
      </c>
      <c r="H35" s="146" t="str">
        <f>IF(E35-'Enterprise Net Position Exh 6'!D37=0,"Yes",E35-'Enterprise Net Position Exh 6'!D37)</f>
        <v>Yes</v>
      </c>
      <c r="I35" s="322" t="str">
        <f t="shared" si="0"/>
        <v xml:space="preserve"> </v>
      </c>
    </row>
    <row r="36" spans="1:9" ht="15" x14ac:dyDescent="0.2">
      <c r="A36" s="39"/>
      <c r="B36" s="20"/>
      <c r="C36" s="20"/>
      <c r="D36" s="20"/>
      <c r="E36" s="20"/>
    </row>
    <row r="37" spans="1:9" ht="15" x14ac:dyDescent="0.2">
      <c r="A37" s="20"/>
      <c r="B37" s="20"/>
      <c r="C37" s="20"/>
      <c r="D37" s="20"/>
      <c r="E37" s="20"/>
    </row>
    <row r="38" spans="1:9" ht="15" x14ac:dyDescent="0.2">
      <c r="A38" s="20"/>
      <c r="B38" s="20"/>
      <c r="C38" s="20"/>
      <c r="D38" s="20"/>
      <c r="E38" s="20"/>
    </row>
    <row r="39" spans="1:9" ht="15" x14ac:dyDescent="0.2">
      <c r="A39" s="78"/>
      <c r="B39" s="20"/>
      <c r="C39" s="20"/>
      <c r="D39" s="20"/>
      <c r="E39" s="20"/>
    </row>
    <row r="40" spans="1:9" ht="15" x14ac:dyDescent="0.2">
      <c r="A40" s="20"/>
      <c r="B40" s="20"/>
      <c r="C40" s="20"/>
      <c r="D40" s="20"/>
      <c r="E40" s="20"/>
    </row>
    <row r="41" spans="1:9" ht="15" x14ac:dyDescent="0.2">
      <c r="A41" s="20"/>
      <c r="B41" s="20"/>
      <c r="C41" s="20"/>
      <c r="D41" s="20"/>
      <c r="E41" s="20"/>
    </row>
    <row r="42" spans="1:9" ht="15" x14ac:dyDescent="0.2">
      <c r="A42" s="20"/>
      <c r="B42" s="20"/>
      <c r="C42" s="20"/>
      <c r="D42" s="20"/>
      <c r="E42" s="20"/>
    </row>
    <row r="43" spans="1:9" ht="15" x14ac:dyDescent="0.2">
      <c r="A43" s="20"/>
      <c r="B43" s="20"/>
      <c r="C43" s="20"/>
      <c r="D43" s="20"/>
      <c r="E43" s="20"/>
    </row>
    <row r="44" spans="1:9" ht="15" x14ac:dyDescent="0.2">
      <c r="A44" s="20"/>
      <c r="B44" s="20"/>
      <c r="C44" s="20"/>
      <c r="D44" s="20"/>
      <c r="E44" s="20"/>
    </row>
    <row r="45" spans="1:9" ht="30" x14ac:dyDescent="0.2">
      <c r="A45" s="104" t="s">
        <v>186</v>
      </c>
      <c r="B45" s="134" t="str">
        <f>IF(B21-(B31+B35)=0,"Yes",B21-(B31+B35))</f>
        <v>Yes</v>
      </c>
      <c r="C45" s="68" t="str">
        <f>IF(C21-(C31+C35)=0,"Yes",C21-(C31+C35))</f>
        <v>Yes</v>
      </c>
      <c r="D45" s="68" t="str">
        <f>IF(D21-(D31+D35)=0,"Yes",D21-(D31+D35))</f>
        <v>Yes</v>
      </c>
      <c r="E45" s="68" t="str">
        <f>IF(E21-(E31+E35)=0,"Yes",E21-(E31+E35))</f>
        <v>Yes</v>
      </c>
    </row>
    <row r="46" spans="1:9" ht="30" x14ac:dyDescent="0.2">
      <c r="A46" s="240" t="s">
        <v>207</v>
      </c>
      <c r="B46" s="134" t="str">
        <f>IF(B35-'Discite Enterprise Inc Stmt- SI'!B32=0,"Yes",B35-'Discite Enterprise Inc Stmt- SI'!B32)</f>
        <v>Yes</v>
      </c>
      <c r="C46" s="68" t="str">
        <f>IF(C35-'Discite Enterprise Inc Stmt- SI'!C32=0,"Yes",C35-'Discite Enterprise Inc Stmt- SI'!C32)</f>
        <v>Yes</v>
      </c>
      <c r="D46" s="68" t="str">
        <f>IF(D35-'Discite Enterprise Inc Stmt- SI'!D32=0,"Yes",D35-'Discite Enterprise Inc Stmt- SI'!D32)</f>
        <v>Yes</v>
      </c>
      <c r="E46" s="68" t="str">
        <f>IF(E35-'Discite Enterprise Inc Stmt- SI'!E32=0,"Yes",E35-'Discite Enterprise Inc Stmt- SI'!E32)</f>
        <v>Yes</v>
      </c>
    </row>
    <row r="47" spans="1:9" ht="15" x14ac:dyDescent="0.2">
      <c r="A47" s="36" t="s">
        <v>339</v>
      </c>
      <c r="B47" s="63"/>
      <c r="C47" s="63"/>
      <c r="D47" s="63"/>
      <c r="E47" s="63" t="str">
        <f>IF(E35-'Enterprise Net Position Exh 6'!D37=0,"Yes",E35-'Enterprise Net Position Exh 6'!D37)</f>
        <v>Yes</v>
      </c>
    </row>
    <row r="48" spans="1:9" ht="30" x14ac:dyDescent="0.2">
      <c r="A48" s="70" t="s">
        <v>384</v>
      </c>
      <c r="B48" s="315" t="str">
        <f>IF(B20-B33=0,"Yes",B20-B33)</f>
        <v>Yes</v>
      </c>
      <c r="C48" s="20"/>
      <c r="D48" s="20"/>
      <c r="E48" s="20"/>
      <c r="F48" s="315"/>
    </row>
    <row r="49" spans="1:5" ht="15" x14ac:dyDescent="0.2">
      <c r="A49" s="20"/>
      <c r="B49" s="20"/>
      <c r="C49" s="20"/>
      <c r="D49" s="20"/>
      <c r="E49" s="20"/>
    </row>
    <row r="50" spans="1:5" ht="15" x14ac:dyDescent="0.2">
      <c r="A50" s="20"/>
      <c r="B50" s="20"/>
      <c r="C50" s="20"/>
      <c r="D50" s="20"/>
      <c r="E50" s="20"/>
    </row>
  </sheetData>
  <mergeCells count="5">
    <mergeCell ref="A1:E1"/>
    <mergeCell ref="A2:E2"/>
    <mergeCell ref="A3:E3"/>
    <mergeCell ref="A4:E4"/>
    <mergeCell ref="B5:E5"/>
  </mergeCells>
  <conditionalFormatting sqref="B45">
    <cfRule type="cellIs" dxfId="39" priority="7" stopIfTrue="1" operator="notEqual">
      <formula>"Yes"</formula>
    </cfRule>
  </conditionalFormatting>
  <conditionalFormatting sqref="C45:E45">
    <cfRule type="cellIs" dxfId="38" priority="6" stopIfTrue="1" operator="notEqual">
      <formula>"Yes"</formula>
    </cfRule>
  </conditionalFormatting>
  <conditionalFormatting sqref="E47 B46:E46">
    <cfRule type="cellIs" dxfId="37" priority="5" stopIfTrue="1" operator="notEqual">
      <formula>"Yes"</formula>
    </cfRule>
  </conditionalFormatting>
  <conditionalFormatting sqref="B48">
    <cfRule type="cellIs" dxfId="36" priority="4" stopIfTrue="1" operator="notEqual">
      <formula>"Yes"</formula>
    </cfRule>
  </conditionalFormatting>
  <conditionalFormatting sqref="H10">
    <cfRule type="cellIs" dxfId="35" priority="2" stopIfTrue="1" operator="notEqual">
      <formula>"Yes"</formula>
    </cfRule>
  </conditionalFormatting>
  <conditionalFormatting sqref="H11:H14 H17:H21 H24:H27 H29:H31 H33:H35">
    <cfRule type="cellIs" dxfId="34" priority="1" stopIfTrue="1" operator="notEqual">
      <formula>"Yes"</formula>
    </cfRule>
  </conditionalFormatting>
  <pageMargins left="0.75" right="0.75" top="0.75" bottom="0.75" header="0.3" footer="0.3"/>
  <pageSetup orientation="portrait" r:id="rId1"/>
  <headerFooter>
    <oddHeader>&amp;R&amp;12Statement 13</oddHeader>
    <oddFooter>&amp;L&amp;12Revised:  July 2020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60.7109375" customWidth="1"/>
    <col min="2" max="2" width="21.7109375" customWidth="1"/>
    <col min="3" max="5" width="16.7109375" hidden="1" customWidth="1"/>
    <col min="8" max="9" width="14.7109375" customWidth="1"/>
  </cols>
  <sheetData>
    <row r="1" spans="1:9" ht="15.75" x14ac:dyDescent="0.25">
      <c r="A1" s="342" t="str">
        <f>'GW Net Position Exh 1'!A1</f>
        <v>Owl Charter, Inc.</v>
      </c>
      <c r="B1" s="342"/>
      <c r="C1" s="342"/>
      <c r="D1" s="342"/>
      <c r="E1" s="342"/>
    </row>
    <row r="2" spans="1:9" ht="15.75" x14ac:dyDescent="0.25">
      <c r="A2" s="383" t="s">
        <v>349</v>
      </c>
      <c r="B2" s="383"/>
      <c r="C2" s="383"/>
      <c r="D2" s="383"/>
      <c r="E2" s="383"/>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3'!E7</f>
        <v>Owl - Discite</v>
      </c>
      <c r="C5" s="372"/>
      <c r="D5" s="372"/>
      <c r="E5" s="372"/>
    </row>
    <row r="6" spans="1:9" ht="17.25" x14ac:dyDescent="0.35">
      <c r="A6" s="20"/>
      <c r="B6" s="24" t="s">
        <v>350</v>
      </c>
      <c r="C6" s="24"/>
      <c r="D6" s="24"/>
      <c r="E6" s="24"/>
    </row>
    <row r="7" spans="1:9" ht="36" customHeight="1" x14ac:dyDescent="0.35">
      <c r="A7" s="20"/>
      <c r="B7" s="27" t="s">
        <v>351</v>
      </c>
      <c r="C7" s="26" t="s">
        <v>408</v>
      </c>
      <c r="D7" s="26" t="s">
        <v>225</v>
      </c>
      <c r="E7" s="26" t="s">
        <v>373</v>
      </c>
      <c r="H7" s="320" t="s">
        <v>402</v>
      </c>
      <c r="I7" s="325" t="s">
        <v>391</v>
      </c>
    </row>
    <row r="8" spans="1:9" ht="17.25" x14ac:dyDescent="0.35">
      <c r="A8" s="28" t="s">
        <v>259</v>
      </c>
      <c r="H8" s="27"/>
    </row>
    <row r="9" spans="1:9" ht="17.25" x14ac:dyDescent="0.35">
      <c r="A9" s="40" t="s">
        <v>102</v>
      </c>
      <c r="B9" s="141">
        <f>'Enterprise Income Stmt Exh 7'!L11</f>
        <v>14062</v>
      </c>
      <c r="C9" s="138">
        <f>'Enterprise Income Stmt Exh 7'!O11</f>
        <v>0</v>
      </c>
      <c r="D9" s="138">
        <v>0</v>
      </c>
      <c r="E9" s="29">
        <f>SUM(B9:D9)</f>
        <v>14062</v>
      </c>
      <c r="H9" s="146" t="str">
        <f>IF(E9-'Enterprise Income Stmt Exh 7'!D11=0,"Yes",E9-'Enterprise Income Stmt Exh 7'!D11)</f>
        <v>Yes</v>
      </c>
      <c r="I9" s="322" t="str">
        <f>IF(((ABS(B9)+ABS(C9)+ABS(D9)+ABS(E9))=0),"Hide Row?"," ")</f>
        <v xml:space="preserve"> </v>
      </c>
    </row>
    <row r="10" spans="1:9" ht="17.25" hidden="1" x14ac:dyDescent="0.35">
      <c r="A10" s="36" t="s">
        <v>412</v>
      </c>
      <c r="B10" s="140">
        <f>'Enterprise Income Stmt Exh 7'!L12</f>
        <v>0</v>
      </c>
      <c r="C10" s="140">
        <f>'Enterprise Income Stmt Exh 7'!O12</f>
        <v>0</v>
      </c>
      <c r="D10" s="98">
        <v>0</v>
      </c>
      <c r="E10" s="98">
        <f>SUM(B10:D10)</f>
        <v>0</v>
      </c>
      <c r="H10" s="146" t="str">
        <f>IF(E10-'Enterprise Income Stmt Exh 7'!D12=0,"Yes",E10-'Enterprise Income Stmt Exh 7'!D12)</f>
        <v>Yes</v>
      </c>
      <c r="I10" s="322" t="str">
        <f t="shared" ref="I10:I32" si="0">IF(((ABS(B10)+ABS(C10)+ABS(D10)+ABS(E10))=0),"Hide Row?"," ")</f>
        <v>Hide Row?</v>
      </c>
    </row>
    <row r="11" spans="1:9" ht="15" x14ac:dyDescent="0.2">
      <c r="A11" s="73" t="s">
        <v>25</v>
      </c>
      <c r="B11" s="71">
        <f>SUM(B9:B10)</f>
        <v>14062</v>
      </c>
      <c r="C11" s="71">
        <f>SUM(C9:C10)</f>
        <v>0</v>
      </c>
      <c r="D11" s="71">
        <f>SUM(D9:D10)</f>
        <v>0</v>
      </c>
      <c r="E11" s="71">
        <f>SUM(E9:E10)</f>
        <v>14062</v>
      </c>
      <c r="H11" s="146" t="str">
        <f>IF(E11-'Enterprise Income Stmt Exh 7'!D13=0,"Yes",E11-'Enterprise Income Stmt Exh 7'!D13)</f>
        <v>Yes</v>
      </c>
      <c r="I11" s="322" t="str">
        <f t="shared" si="0"/>
        <v xml:space="preserve"> </v>
      </c>
    </row>
    <row r="12" spans="1:9" ht="24.95" customHeight="1" x14ac:dyDescent="0.25">
      <c r="A12" s="28" t="s">
        <v>260</v>
      </c>
      <c r="I12" s="322"/>
    </row>
    <row r="13" spans="1:9" ht="15" x14ac:dyDescent="0.2">
      <c r="A13" s="36" t="s">
        <v>330</v>
      </c>
      <c r="I13" s="322"/>
    </row>
    <row r="14" spans="1:9" ht="15" x14ac:dyDescent="0.2">
      <c r="A14" s="73" t="s">
        <v>103</v>
      </c>
      <c r="B14" s="139">
        <f>'Enterprise Income Stmt Exh 7'!L17</f>
        <v>12851</v>
      </c>
      <c r="C14" s="139">
        <f>'Enterprise Income Stmt Exh 7'!O17</f>
        <v>0</v>
      </c>
      <c r="D14" s="47">
        <v>0</v>
      </c>
      <c r="E14" s="47">
        <f t="shared" ref="E14:E20" si="1">SUM(B14:D14)</f>
        <v>12851</v>
      </c>
      <c r="H14" s="146" t="str">
        <f>IF(E14-'Enterprise Income Stmt Exh 7'!D17=0,"Yes",E14-'Enterprise Income Stmt Exh 7'!D17)</f>
        <v>Yes</v>
      </c>
      <c r="I14" s="322" t="str">
        <f t="shared" si="0"/>
        <v xml:space="preserve"> </v>
      </c>
    </row>
    <row r="15" spans="1:9" ht="15" hidden="1" x14ac:dyDescent="0.2">
      <c r="A15" s="73" t="s">
        <v>104</v>
      </c>
      <c r="B15" s="139">
        <f>'Enterprise Income Stmt Exh 7'!L18</f>
        <v>0</v>
      </c>
      <c r="C15" s="139">
        <f>'Enterprise Income Stmt Exh 7'!O18</f>
        <v>0</v>
      </c>
      <c r="D15" s="47">
        <v>0</v>
      </c>
      <c r="E15" s="47">
        <f t="shared" si="1"/>
        <v>0</v>
      </c>
      <c r="H15" s="146">
        <f>IF(E15-'Enterprise Income Stmt Exh 7'!D17=0,"Yes",E15-'Enterprise Income Stmt Exh 7'!D17)</f>
        <v>-12851</v>
      </c>
      <c r="I15" s="322" t="str">
        <f t="shared" si="0"/>
        <v>Hide Row?</v>
      </c>
    </row>
    <row r="16" spans="1:9" ht="15" x14ac:dyDescent="0.2">
      <c r="A16" s="36" t="s">
        <v>105</v>
      </c>
      <c r="B16" s="139">
        <f>'Enterprise Income Stmt Exh 7'!L19</f>
        <v>3321</v>
      </c>
      <c r="C16" s="139">
        <f>'Enterprise Income Stmt Exh 7'!O19</f>
        <v>0</v>
      </c>
      <c r="D16" s="47">
        <v>0</v>
      </c>
      <c r="E16" s="47">
        <f t="shared" si="1"/>
        <v>3321</v>
      </c>
      <c r="H16" s="146" t="str">
        <f>IF(E16-'Enterprise Income Stmt Exh 7'!D19=0,"Yes",E16-'Enterprise Income Stmt Exh 7'!D19)</f>
        <v>Yes</v>
      </c>
      <c r="I16" s="322" t="str">
        <f t="shared" si="0"/>
        <v xml:space="preserve"> </v>
      </c>
    </row>
    <row r="17" spans="1:9" ht="15" x14ac:dyDescent="0.2">
      <c r="A17" s="36" t="s">
        <v>106</v>
      </c>
      <c r="B17" s="139">
        <f>'Enterprise Income Stmt Exh 7'!L20</f>
        <v>32</v>
      </c>
      <c r="C17" s="139">
        <f>'Enterprise Income Stmt Exh 7'!O20</f>
        <v>0</v>
      </c>
      <c r="D17" s="47">
        <v>0</v>
      </c>
      <c r="E17" s="47">
        <f t="shared" si="1"/>
        <v>32</v>
      </c>
      <c r="H17" s="146" t="str">
        <f>IF(E17-'Enterprise Income Stmt Exh 7'!D20=0,"Yes",E17-'Enterprise Income Stmt Exh 7'!D20)</f>
        <v>Yes</v>
      </c>
      <c r="I17" s="322" t="str">
        <f t="shared" si="0"/>
        <v xml:space="preserve"> </v>
      </c>
    </row>
    <row r="18" spans="1:9" ht="15" x14ac:dyDescent="0.2">
      <c r="A18" s="36" t="s">
        <v>107</v>
      </c>
      <c r="B18" s="139">
        <f>'Enterprise Income Stmt Exh 7'!L21</f>
        <v>43</v>
      </c>
      <c r="C18" s="139">
        <f>'Enterprise Income Stmt Exh 7'!O21</f>
        <v>0</v>
      </c>
      <c r="D18" s="47">
        <v>0</v>
      </c>
      <c r="E18" s="47">
        <f t="shared" si="1"/>
        <v>43</v>
      </c>
      <c r="H18" s="146" t="str">
        <f>IF(E18-'Enterprise Income Stmt Exh 7'!D21=0,"Yes",E18-'Enterprise Income Stmt Exh 7'!D21)</f>
        <v>Yes</v>
      </c>
      <c r="I18" s="322" t="str">
        <f t="shared" si="0"/>
        <v xml:space="preserve"> </v>
      </c>
    </row>
    <row r="19" spans="1:9" ht="15" x14ac:dyDescent="0.2">
      <c r="A19" s="36" t="s">
        <v>26</v>
      </c>
      <c r="B19" s="139">
        <f>'Enterprise Income Stmt Exh 7'!L22</f>
        <v>266</v>
      </c>
      <c r="C19" s="139">
        <f>'Enterprise Income Stmt Exh 7'!O22</f>
        <v>0</v>
      </c>
      <c r="D19" s="47">
        <v>0</v>
      </c>
      <c r="E19" s="47">
        <f t="shared" si="1"/>
        <v>266</v>
      </c>
      <c r="H19" s="146" t="str">
        <f>IF(E19-'Enterprise Income Stmt Exh 7'!D22=0,"Yes",E19-'Enterprise Income Stmt Exh 7'!D22)</f>
        <v>Yes</v>
      </c>
      <c r="I19" s="322" t="str">
        <f t="shared" si="0"/>
        <v xml:space="preserve"> </v>
      </c>
    </row>
    <row r="20" spans="1:9" ht="15" x14ac:dyDescent="0.2">
      <c r="A20" s="36" t="s">
        <v>50</v>
      </c>
      <c r="B20" s="139">
        <f>'Enterprise Income Stmt Exh 7'!L23</f>
        <v>3912</v>
      </c>
      <c r="C20" s="139">
        <f>'Enterprise Income Stmt Exh 7'!O23</f>
        <v>0</v>
      </c>
      <c r="D20" s="47">
        <v>0</v>
      </c>
      <c r="E20" s="47">
        <f t="shared" si="1"/>
        <v>3912</v>
      </c>
      <c r="H20" s="146" t="str">
        <f>IF(E20-'Enterprise Income Stmt Exh 7'!D23=0,"Yes",E20-'Enterprise Income Stmt Exh 7'!D23)</f>
        <v>Yes</v>
      </c>
      <c r="I20" s="322" t="str">
        <f t="shared" si="0"/>
        <v xml:space="preserve"> </v>
      </c>
    </row>
    <row r="21" spans="1:9" ht="17.25" x14ac:dyDescent="0.35">
      <c r="A21" s="36" t="s">
        <v>91</v>
      </c>
      <c r="B21" s="140">
        <f>'Enterprise Income Stmt Exh 7'!L24</f>
        <v>23</v>
      </c>
      <c r="C21" s="140">
        <f>'Enterprise Income Stmt Exh 7'!O24</f>
        <v>0</v>
      </c>
      <c r="D21" s="98">
        <v>0</v>
      </c>
      <c r="E21" s="98">
        <f>SUM(B21:D21)</f>
        <v>23</v>
      </c>
      <c r="H21" s="146" t="str">
        <f>IF(E21-'Enterprise Income Stmt Exh 7'!D24=0,"Yes",E21-'Enterprise Income Stmt Exh 7'!D24)</f>
        <v>Yes</v>
      </c>
      <c r="I21" s="322" t="str">
        <f t="shared" si="0"/>
        <v xml:space="preserve"> </v>
      </c>
    </row>
    <row r="22" spans="1:9" ht="20.100000000000001" customHeight="1" x14ac:dyDescent="0.35">
      <c r="A22" s="73" t="s">
        <v>61</v>
      </c>
      <c r="B22" s="34">
        <f>SUM(B14:B21)</f>
        <v>20448</v>
      </c>
      <c r="C22" s="34">
        <f>SUM(C14:C21)</f>
        <v>0</v>
      </c>
      <c r="D22" s="34">
        <f>SUM(D14:D21)</f>
        <v>0</v>
      </c>
      <c r="E22" s="34">
        <f>SUM(E14:E21)</f>
        <v>20448</v>
      </c>
      <c r="H22" s="146" t="str">
        <f>IF(E22-'Enterprise Income Stmt Exh 7'!D25=0,"Yes",E22-'Enterprise Income Stmt Exh 7'!D25)</f>
        <v>Yes</v>
      </c>
      <c r="I22" s="322" t="str">
        <f t="shared" si="0"/>
        <v xml:space="preserve"> </v>
      </c>
    </row>
    <row r="23" spans="1:9" ht="20.100000000000001" customHeight="1" x14ac:dyDescent="0.35">
      <c r="A23" s="103" t="s">
        <v>27</v>
      </c>
      <c r="B23" s="34">
        <f>+B11-B22</f>
        <v>-6386</v>
      </c>
      <c r="C23" s="34">
        <f>+C11-C22</f>
        <v>0</v>
      </c>
      <c r="D23" s="34">
        <f>+D11-D22</f>
        <v>0</v>
      </c>
      <c r="E23" s="34">
        <f>+E11-E22</f>
        <v>-6386</v>
      </c>
      <c r="H23" s="146" t="str">
        <f>IF(E23-'Enterprise Income Stmt Exh 7'!D26=0,"Yes",E23-'Enterprise Income Stmt Exh 7'!D26)</f>
        <v>Yes</v>
      </c>
      <c r="I23" s="322" t="str">
        <f t="shared" si="0"/>
        <v xml:space="preserve"> </v>
      </c>
    </row>
    <row r="24" spans="1:9" ht="24.95" customHeight="1" x14ac:dyDescent="0.25">
      <c r="A24" s="28" t="s">
        <v>261</v>
      </c>
    </row>
    <row r="25" spans="1:9" ht="17.25" x14ac:dyDescent="0.35">
      <c r="A25" s="70" t="s">
        <v>108</v>
      </c>
      <c r="B25" s="140">
        <f>'Enterprise Income Stmt Exh 7'!L29</f>
        <v>12978</v>
      </c>
      <c r="C25" s="140">
        <f>'Enterprise Income Stmt Exh 7'!O29</f>
        <v>0</v>
      </c>
      <c r="D25" s="98">
        <v>0</v>
      </c>
      <c r="E25" s="98">
        <f>SUM(B25:D25)</f>
        <v>12978</v>
      </c>
      <c r="H25" s="146" t="str">
        <f>IF(E25-'Enterprise Income Stmt Exh 7'!D29=0,"Yes",E25-'Enterprise Income Stmt Exh 7'!D29)</f>
        <v>Yes</v>
      </c>
      <c r="I25" s="322" t="str">
        <f t="shared" si="0"/>
        <v xml:space="preserve"> </v>
      </c>
    </row>
    <row r="26" spans="1:9" ht="20.100000000000001" customHeight="1" x14ac:dyDescent="0.35">
      <c r="A26" s="69" t="s">
        <v>28</v>
      </c>
      <c r="B26" s="34">
        <f>SUM(B25:B25)</f>
        <v>12978</v>
      </c>
      <c r="C26" s="34">
        <f>SUM(C25:C25)</f>
        <v>0</v>
      </c>
      <c r="D26" s="34">
        <f>SUM(D25:D25)</f>
        <v>0</v>
      </c>
      <c r="E26" s="34">
        <f>SUM(E25:E25)</f>
        <v>12978</v>
      </c>
      <c r="H26" s="146" t="str">
        <f>IF(E26-'Enterprise Income Stmt Exh 7'!D29=0,"Yes",E26-'Enterprise Income Stmt Exh 7'!D29)</f>
        <v>Yes</v>
      </c>
      <c r="I26" s="322" t="str">
        <f t="shared" si="0"/>
        <v xml:space="preserve"> </v>
      </c>
    </row>
    <row r="27" spans="1:9" ht="15" hidden="1" x14ac:dyDescent="0.2">
      <c r="A27" s="175" t="s">
        <v>29</v>
      </c>
      <c r="B27" s="76">
        <f>+B23+B26</f>
        <v>6592</v>
      </c>
      <c r="C27" s="76">
        <f>+C23+C26</f>
        <v>0</v>
      </c>
      <c r="D27" s="76">
        <f>+D23+D26</f>
        <v>0</v>
      </c>
      <c r="E27" s="76">
        <f>+E23+E26</f>
        <v>6592</v>
      </c>
      <c r="H27" s="147" t="str">
        <f>IF(E27-'Enterprise Income Stmt Exh 7'!D31=0,"Yes",E27-'Enterprise Income Stmt Exh 7'!D31)</f>
        <v>Yes</v>
      </c>
      <c r="I27" s="322" t="str">
        <f t="shared" si="0"/>
        <v xml:space="preserve"> </v>
      </c>
    </row>
    <row r="28" spans="1:9" ht="17.25" hidden="1" x14ac:dyDescent="0.35">
      <c r="A28" s="54" t="s">
        <v>135</v>
      </c>
      <c r="B28" s="140">
        <f>'Enterprise Income Stmt Exh 7'!L32</f>
        <v>0</v>
      </c>
      <c r="C28" s="140">
        <f>'Enterprise Income Stmt Exh 7'!O32</f>
        <v>0</v>
      </c>
      <c r="D28" s="98">
        <v>0</v>
      </c>
      <c r="E28" s="98">
        <f>SUM(B28:D28)</f>
        <v>0</v>
      </c>
      <c r="H28" s="147" t="str">
        <f>IF(E28-'Enterprise Income Stmt Exh 7'!D32=0,"Yes",E28-'Enterprise Income Stmt Exh 7'!D32)</f>
        <v>Yes</v>
      </c>
      <c r="I28" s="322" t="str">
        <f t="shared" si="0"/>
        <v>Hide Row?</v>
      </c>
    </row>
    <row r="29" spans="1:9" ht="17.25" hidden="1" x14ac:dyDescent="0.35">
      <c r="A29" s="279" t="s">
        <v>83</v>
      </c>
      <c r="B29" s="140">
        <f>'Enterprise Income Stmt Exh 7'!L33</f>
        <v>0</v>
      </c>
      <c r="C29" s="140">
        <f>'Enterprise Income Stmt Exh 7'!O33</f>
        <v>0</v>
      </c>
      <c r="D29" s="98">
        <v>0</v>
      </c>
      <c r="E29" s="98">
        <f>SUM(B29:D29)</f>
        <v>0</v>
      </c>
      <c r="H29" s="147" t="str">
        <f>IF(E29-'Enterprise Income Stmt Exh 7'!D33=0,"Yes",E29-'Enterprise Income Stmt Exh 7'!D33)</f>
        <v>Yes</v>
      </c>
      <c r="I29" s="322" t="str">
        <f t="shared" si="0"/>
        <v>Hide Row?</v>
      </c>
    </row>
    <row r="30" spans="1:9" ht="21.95" customHeight="1" x14ac:dyDescent="0.2">
      <c r="A30" s="109" t="s">
        <v>170</v>
      </c>
      <c r="B30" s="110">
        <f>SUM(B27:B29)</f>
        <v>6592</v>
      </c>
      <c r="C30" s="110">
        <f>SUM(C27:C29)</f>
        <v>0</v>
      </c>
      <c r="D30" s="110">
        <f>SUM(D27:D29)</f>
        <v>0</v>
      </c>
      <c r="E30" s="110">
        <f>SUM(E27:E29)</f>
        <v>6592</v>
      </c>
      <c r="H30" s="147" t="str">
        <f>IF(E30-'Enterprise Income Stmt Exh 7'!D34=0,"Yes",E30-'Enterprise Income Stmt Exh 7'!D34)</f>
        <v>Yes</v>
      </c>
      <c r="I30" s="322" t="str">
        <f t="shared" si="0"/>
        <v xml:space="preserve"> </v>
      </c>
    </row>
    <row r="31" spans="1:9" ht="20.100000000000001" customHeight="1" x14ac:dyDescent="0.35">
      <c r="A31" s="56" t="s">
        <v>209</v>
      </c>
      <c r="B31" s="140">
        <f>'Enterprise Income Stmt Exh 7'!L35</f>
        <v>5736</v>
      </c>
      <c r="C31" s="140">
        <f>'Enterprise Income Stmt Exh 7'!O35</f>
        <v>0</v>
      </c>
      <c r="D31" s="98">
        <v>0</v>
      </c>
      <c r="E31" s="98">
        <f>SUM(B31:D31)</f>
        <v>5736</v>
      </c>
      <c r="H31" s="147" t="str">
        <f>IF(E31-'Enterprise Income Stmt Exh 7'!D35=0,"Yes",E31-'Enterprise Income Stmt Exh 7'!D35)</f>
        <v>Yes</v>
      </c>
      <c r="I31" s="322" t="str">
        <f t="shared" si="0"/>
        <v xml:space="preserve"> </v>
      </c>
    </row>
    <row r="32" spans="1:9" ht="17.25" x14ac:dyDescent="0.35">
      <c r="A32" s="30" t="s">
        <v>210</v>
      </c>
      <c r="B32" s="37">
        <f>+B30+B31</f>
        <v>12328</v>
      </c>
      <c r="C32" s="37">
        <f>+C30+C31</f>
        <v>0</v>
      </c>
      <c r="D32" s="37">
        <f>+D30+D31</f>
        <v>0</v>
      </c>
      <c r="E32" s="37">
        <f>+E30+E31</f>
        <v>12328</v>
      </c>
      <c r="H32" s="147" t="str">
        <f>IF(E32-'Enterprise Income Stmt Exh 7'!D36=0,"Yes",E32-'Enterprise Income Stmt Exh 7'!D36)</f>
        <v>Yes</v>
      </c>
      <c r="I32" s="322" t="str">
        <f t="shared" si="0"/>
        <v xml:space="preserve"> </v>
      </c>
    </row>
    <row r="33" spans="1:5" ht="15" x14ac:dyDescent="0.2">
      <c r="A33" s="20"/>
      <c r="B33" s="20"/>
      <c r="C33" s="20"/>
      <c r="D33" s="20"/>
      <c r="E33" s="20"/>
    </row>
    <row r="34" spans="1:5" ht="15" x14ac:dyDescent="0.2">
      <c r="A34" s="20"/>
      <c r="B34" s="20"/>
      <c r="C34" s="20"/>
      <c r="D34" s="20"/>
      <c r="E34" s="20"/>
    </row>
    <row r="35" spans="1:5" ht="15" x14ac:dyDescent="0.2">
      <c r="A35" s="78"/>
      <c r="B35" s="20"/>
      <c r="C35" s="20"/>
      <c r="D35" s="20"/>
      <c r="E35" s="20"/>
    </row>
    <row r="36" spans="1:5" ht="15" x14ac:dyDescent="0.2">
      <c r="A36" s="20"/>
      <c r="B36" s="20"/>
      <c r="C36" s="20"/>
      <c r="D36" s="20"/>
      <c r="E36" s="20"/>
    </row>
    <row r="37" spans="1:5" ht="15" x14ac:dyDescent="0.2">
      <c r="A37" s="20"/>
      <c r="B37" s="20"/>
      <c r="C37" s="20"/>
      <c r="D37" s="20"/>
      <c r="E37" s="20"/>
    </row>
    <row r="38" spans="1:5" ht="15" x14ac:dyDescent="0.2">
      <c r="A38" s="20"/>
      <c r="B38" s="20"/>
      <c r="C38" s="20"/>
      <c r="D38" s="20"/>
      <c r="E38" s="20"/>
    </row>
    <row r="39" spans="1:5" ht="15" x14ac:dyDescent="0.2">
      <c r="A39" s="20"/>
      <c r="B39" s="20"/>
      <c r="C39" s="20"/>
      <c r="D39" s="20"/>
      <c r="E39" s="20"/>
    </row>
    <row r="40" spans="1:5" ht="15" x14ac:dyDescent="0.2">
      <c r="A40" s="20"/>
      <c r="B40" s="20"/>
      <c r="C40" s="20"/>
      <c r="D40" s="20"/>
      <c r="E40" s="20"/>
    </row>
    <row r="41" spans="1:5" ht="15" x14ac:dyDescent="0.2">
      <c r="A41" s="20"/>
      <c r="B41" s="20"/>
      <c r="C41" s="20"/>
      <c r="D41" s="20"/>
      <c r="E41" s="20"/>
    </row>
    <row r="42" spans="1:5" ht="15" x14ac:dyDescent="0.2">
      <c r="A42" s="20"/>
      <c r="B42" s="20"/>
      <c r="C42" s="20"/>
      <c r="D42" s="20"/>
      <c r="E42" s="20"/>
    </row>
    <row r="43" spans="1:5" ht="30" x14ac:dyDescent="0.2">
      <c r="A43" s="240" t="s">
        <v>208</v>
      </c>
      <c r="B43" s="68" t="str">
        <f>IF(B32-'Discite Enterprise Net Pos - SI'!B35=0,"Yes",B32-'Discite Enterprise Net Pos - SI'!B35)</f>
        <v>Yes</v>
      </c>
      <c r="C43" s="68" t="str">
        <f>IF(C32-'Discite Enterprise Net Pos - SI'!C35=0,"Yes",C32-'Discite Enterprise Net Pos - SI'!C35)</f>
        <v>Yes</v>
      </c>
      <c r="D43" s="68" t="str">
        <f>IF(D32-'Discite Enterprise Net Pos - SI'!D35=0,"Yes",D32-'Discite Enterprise Net Pos - SI'!D35)</f>
        <v>Yes</v>
      </c>
      <c r="E43" s="68" t="str">
        <f>IF(E32-'Discite Enterprise Net Pos - SI'!E35=0,"Yes",E32-'Discite Enterprise Net Pos - SI'!E35)</f>
        <v>Yes</v>
      </c>
    </row>
    <row r="44" spans="1:5" ht="30" x14ac:dyDescent="0.2">
      <c r="A44" s="240" t="s">
        <v>340</v>
      </c>
      <c r="E44" s="68" t="str">
        <f>IF(E30-'Enterprise Income Stmt Exh 7'!D34=0,"Yes",E30-'Enterprise Income Stmt Exh 7'!D34)</f>
        <v>Yes</v>
      </c>
    </row>
    <row r="45" spans="1:5" ht="15" x14ac:dyDescent="0.2">
      <c r="A45" s="20"/>
    </row>
  </sheetData>
  <mergeCells count="5">
    <mergeCell ref="A1:E1"/>
    <mergeCell ref="A2:E2"/>
    <mergeCell ref="A3:E3"/>
    <mergeCell ref="A4:E4"/>
    <mergeCell ref="B5:E5"/>
  </mergeCells>
  <conditionalFormatting sqref="B43:E43">
    <cfRule type="cellIs" dxfId="33" priority="4" stopIfTrue="1" operator="notEqual">
      <formula>"Yes"</formula>
    </cfRule>
  </conditionalFormatting>
  <conditionalFormatting sqref="E44">
    <cfRule type="cellIs" dxfId="32" priority="3" stopIfTrue="1" operator="notEqual">
      <formula>"Yes"</formula>
    </cfRule>
  </conditionalFormatting>
  <conditionalFormatting sqref="H10:H11 H14:H23 H25:H32">
    <cfRule type="cellIs" dxfId="31" priority="1" stopIfTrue="1" operator="notEqual">
      <formula>"Yes"</formula>
    </cfRule>
  </conditionalFormatting>
  <conditionalFormatting sqref="H9">
    <cfRule type="cellIs" dxfId="30" priority="2" stopIfTrue="1" operator="notEqual">
      <formula>"Yes"</formula>
    </cfRule>
  </conditionalFormatting>
  <pageMargins left="0.75" right="0.75" top="0.75" bottom="0.75" header="0.3" footer="0.3"/>
  <pageSetup orientation="portrait" r:id="rId1"/>
  <headerFooter>
    <oddHeader>&amp;R&amp;12Statement 14</oddHeader>
    <oddFooter>&amp;L&amp;12Revised:  July 2020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pageSetUpPr fitToPage="1"/>
  </sheetPr>
  <dimension ref="A1:I45"/>
  <sheetViews>
    <sheetView showGridLines="0" workbookViewId="0">
      <selection activeCell="A33" sqref="A33"/>
    </sheetView>
  </sheetViews>
  <sheetFormatPr defaultRowHeight="12.75" x14ac:dyDescent="0.2"/>
  <cols>
    <col min="1" max="1" width="60.7109375" customWidth="1"/>
    <col min="2" max="2" width="21.7109375" customWidth="1"/>
    <col min="3" max="5" width="16.7109375" hidden="1" customWidth="1"/>
    <col min="6" max="6" width="16.7109375" customWidth="1"/>
    <col min="8" max="9" width="14.7109375" customWidth="1"/>
  </cols>
  <sheetData>
    <row r="1" spans="1:9" ht="15.75" x14ac:dyDescent="0.25">
      <c r="A1" s="342" t="str">
        <f>'GW Net Position Exh 1'!A1</f>
        <v>Owl Charter, Inc.</v>
      </c>
      <c r="B1" s="342"/>
      <c r="C1" s="342"/>
      <c r="D1" s="342"/>
      <c r="E1" s="342"/>
    </row>
    <row r="2" spans="1:9" ht="15.75" x14ac:dyDescent="0.25">
      <c r="A2" s="383" t="s">
        <v>352</v>
      </c>
      <c r="B2" s="383"/>
      <c r="C2" s="383"/>
      <c r="D2" s="383"/>
      <c r="E2" s="383"/>
      <c r="F2" s="21"/>
    </row>
    <row r="3" spans="1:9" ht="15.75" hidden="1" x14ac:dyDescent="0.25">
      <c r="A3" s="342" t="s">
        <v>19</v>
      </c>
      <c r="B3" s="342"/>
      <c r="C3" s="342"/>
      <c r="D3" s="342"/>
      <c r="E3" s="342"/>
    </row>
    <row r="4" spans="1:9" ht="15.75" x14ac:dyDescent="0.25">
      <c r="A4" s="374" t="str">
        <f>+'GW Net Position Exh 1'!A3</f>
        <v>June 30, 2020</v>
      </c>
      <c r="B4" s="374"/>
      <c r="C4" s="374"/>
      <c r="D4" s="374"/>
      <c r="E4" s="374"/>
    </row>
    <row r="5" spans="1:9" ht="21.95" customHeight="1" x14ac:dyDescent="0.35">
      <c r="A5" s="20"/>
      <c r="B5" s="372" t="str">
        <f>'Govt Funds Bal Sh Exh 3'!E7</f>
        <v>Owl - Discite</v>
      </c>
      <c r="C5" s="372"/>
      <c r="D5" s="372"/>
      <c r="E5" s="372"/>
    </row>
    <row r="6" spans="1:9" ht="17.25" customHeight="1" x14ac:dyDescent="0.35">
      <c r="A6" s="20"/>
      <c r="B6" s="26" t="s">
        <v>350</v>
      </c>
      <c r="C6" s="26"/>
      <c r="D6" s="26"/>
      <c r="E6" s="26"/>
    </row>
    <row r="7" spans="1:9" ht="36" customHeight="1" x14ac:dyDescent="0.35">
      <c r="A7" s="20"/>
      <c r="B7" s="27" t="s">
        <v>351</v>
      </c>
      <c r="C7" s="26" t="s">
        <v>408</v>
      </c>
      <c r="D7" s="26" t="s">
        <v>225</v>
      </c>
      <c r="E7" s="26" t="s">
        <v>373</v>
      </c>
      <c r="H7" s="320" t="s">
        <v>403</v>
      </c>
      <c r="I7" s="325" t="s">
        <v>391</v>
      </c>
    </row>
    <row r="8" spans="1:9" ht="17.25" x14ac:dyDescent="0.35">
      <c r="A8" s="113" t="s">
        <v>262</v>
      </c>
      <c r="H8" s="27"/>
    </row>
    <row r="9" spans="1:9" ht="15" x14ac:dyDescent="0.2">
      <c r="A9" s="104" t="s">
        <v>79</v>
      </c>
      <c r="B9" s="138">
        <f>'Enterprise Cash Flow Exh 8'!L11</f>
        <v>10418</v>
      </c>
      <c r="C9" s="138">
        <f>'Enterprise Cash Flow Exh 8'!O11</f>
        <v>0</v>
      </c>
      <c r="D9" s="138">
        <v>0</v>
      </c>
      <c r="E9" s="29">
        <f>SUM(B9:D9)</f>
        <v>10418</v>
      </c>
      <c r="H9" s="146" t="str">
        <f>IF(E9-'Enterprise Cash Flow Exh 8'!D11=0,"Yes",E9-'Enterprise Cash Flow Exh 8'!D11)</f>
        <v>Yes</v>
      </c>
      <c r="I9" s="322" t="str">
        <f>IF(((ABS(B9)+ABS(C9)+ABS(D9)+ABS(E9))=0),"Hide Row?"," ")</f>
        <v xml:space="preserve"> </v>
      </c>
    </row>
    <row r="10" spans="1:9" ht="15" x14ac:dyDescent="0.2">
      <c r="A10" s="240" t="s">
        <v>55</v>
      </c>
      <c r="B10" s="139">
        <f>'Enterprise Cash Flow Exh 8'!L12</f>
        <v>-17626</v>
      </c>
      <c r="C10" s="139">
        <f>'Enterprise Cash Flow Exh 8'!O12</f>
        <v>0</v>
      </c>
      <c r="D10" s="139">
        <v>0</v>
      </c>
      <c r="E10" s="47">
        <f>SUM(B10:D10)</f>
        <v>-17626</v>
      </c>
      <c r="H10" s="146" t="str">
        <f>IF(E10-'Enterprise Cash Flow Exh 8'!D12=0,"Yes",E10-'Enterprise Cash Flow Exh 8'!D12)</f>
        <v>Yes</v>
      </c>
      <c r="I10" s="322" t="str">
        <f t="shared" ref="I10:I33" si="0">IF(((ABS(B10)+ABS(C10)+ABS(D10)+ABS(E10))=0),"Hide Row?"," ")</f>
        <v xml:space="preserve"> </v>
      </c>
    </row>
    <row r="11" spans="1:9" ht="17.25" x14ac:dyDescent="0.35">
      <c r="A11" s="240" t="s">
        <v>109</v>
      </c>
      <c r="B11" s="140">
        <f>'Enterprise Cash Flow Exh 8'!L13</f>
        <v>-2826</v>
      </c>
      <c r="C11" s="140">
        <f>'Enterprise Cash Flow Exh 8'!O13</f>
        <v>0</v>
      </c>
      <c r="D11" s="140">
        <v>0</v>
      </c>
      <c r="E11" s="98">
        <f>SUM(B11:D11)</f>
        <v>-2826</v>
      </c>
      <c r="H11" s="146" t="str">
        <f>IF(E11-'Enterprise Cash Flow Exh 8'!D13=0,"Yes",E11-'Enterprise Cash Flow Exh 8'!D13)</f>
        <v>Yes</v>
      </c>
      <c r="I11" s="322" t="str">
        <f t="shared" si="0"/>
        <v xml:space="preserve"> </v>
      </c>
    </row>
    <row r="12" spans="1:9" ht="17.25" x14ac:dyDescent="0.35">
      <c r="A12" s="175" t="s">
        <v>56</v>
      </c>
      <c r="B12" s="94">
        <f>SUM(B9:B11)</f>
        <v>-10034</v>
      </c>
      <c r="C12" s="94">
        <f>SUM(C9:C11)</f>
        <v>0</v>
      </c>
      <c r="D12" s="94">
        <f>SUM(D9:D11)</f>
        <v>0</v>
      </c>
      <c r="E12" s="94">
        <f>SUM(E9:E11)</f>
        <v>-10034</v>
      </c>
      <c r="F12" s="94"/>
      <c r="H12" s="146" t="str">
        <f>IF(E12-'Enterprise Cash Flow Exh 8'!D14=0,"Yes",E12-'Enterprise Cash Flow Exh 8'!D14)</f>
        <v>Yes</v>
      </c>
      <c r="I12" s="322" t="str">
        <f t="shared" si="0"/>
        <v xml:space="preserve"> </v>
      </c>
    </row>
    <row r="13" spans="1:9" ht="24.95" customHeight="1" x14ac:dyDescent="0.2">
      <c r="A13" s="281" t="s">
        <v>263</v>
      </c>
      <c r="I13" s="322"/>
    </row>
    <row r="14" spans="1:9" ht="17.25" x14ac:dyDescent="0.35">
      <c r="A14" s="240" t="s">
        <v>108</v>
      </c>
      <c r="B14" s="140">
        <f>'Enterprise Cash Flow Exh 8'!L16</f>
        <v>12978</v>
      </c>
      <c r="C14" s="140">
        <f>'Enterprise Cash Flow Exh 8'!O16</f>
        <v>0</v>
      </c>
      <c r="D14" s="140">
        <v>0</v>
      </c>
      <c r="E14" s="98">
        <f>SUM(B14:D14)</f>
        <v>12978</v>
      </c>
      <c r="H14" s="146" t="str">
        <f>IF(E14-'Enterprise Cash Flow Exh 8'!D16=0,"Yes",E14-'Enterprise Cash Flow Exh 8'!D16)</f>
        <v>Yes</v>
      </c>
      <c r="I14" s="322" t="str">
        <f t="shared" si="0"/>
        <v xml:space="preserve"> </v>
      </c>
    </row>
    <row r="15" spans="1:9" ht="36" customHeight="1" x14ac:dyDescent="0.2">
      <c r="A15" s="281" t="s">
        <v>264</v>
      </c>
      <c r="I15" s="322"/>
    </row>
    <row r="16" spans="1:9" ht="15" hidden="1" x14ac:dyDescent="0.2">
      <c r="A16" s="240" t="s">
        <v>135</v>
      </c>
      <c r="B16" s="139">
        <f>'Enterprise Cash Flow Exh 8'!L18</f>
        <v>0</v>
      </c>
      <c r="C16" s="139">
        <f>'Enterprise Cash Flow Exh 8'!O18</f>
        <v>0</v>
      </c>
      <c r="D16" s="139">
        <v>0</v>
      </c>
      <c r="E16" s="47">
        <f>SUM(B16:D16)</f>
        <v>0</v>
      </c>
      <c r="H16" s="146" t="str">
        <f>IF(E16-'Enterprise Cash Flow Exh 8'!D18=0,"Yes",E16-'Enterprise Cash Flow Exh 8'!D18)</f>
        <v>Yes</v>
      </c>
      <c r="I16" s="322" t="str">
        <f t="shared" si="0"/>
        <v>Hide Row?</v>
      </c>
    </row>
    <row r="17" spans="1:9" ht="17.25" x14ac:dyDescent="0.35">
      <c r="A17" s="240" t="s">
        <v>110</v>
      </c>
      <c r="B17" s="140">
        <f>'Enterprise Cash Flow Exh 8'!L19</f>
        <v>-2320</v>
      </c>
      <c r="C17" s="140">
        <f>'Enterprise Cash Flow Exh 8'!O19</f>
        <v>0</v>
      </c>
      <c r="D17" s="140">
        <v>0</v>
      </c>
      <c r="E17" s="98">
        <f>SUM(B17:D17)</f>
        <v>-2320</v>
      </c>
      <c r="H17" s="146" t="str">
        <f>IF(E17-'Enterprise Cash Flow Exh 8'!D19=0,"Yes",E17-'Enterprise Cash Flow Exh 8'!D19)</f>
        <v>Yes</v>
      </c>
      <c r="I17" s="322" t="str">
        <f t="shared" si="0"/>
        <v xml:space="preserve"> </v>
      </c>
    </row>
    <row r="18" spans="1:9" ht="24.95" customHeight="1" x14ac:dyDescent="0.35">
      <c r="A18" s="175" t="s">
        <v>136</v>
      </c>
      <c r="B18" s="94">
        <f>SUM(B16:B17)</f>
        <v>-2320</v>
      </c>
      <c r="C18" s="94">
        <f>SUM(C16:C17)</f>
        <v>0</v>
      </c>
      <c r="D18" s="94">
        <f>SUM(D16:D17)</f>
        <v>0</v>
      </c>
      <c r="E18" s="94">
        <f>SUM(E16:E17)</f>
        <v>-2320</v>
      </c>
      <c r="F18" s="94"/>
      <c r="H18" s="146" t="str">
        <f>IF(E18-'Enterprise Cash Flow Exh 8'!D20=0,"Yes",E18-'Enterprise Cash Flow Exh 8'!D20)</f>
        <v>Yes</v>
      </c>
      <c r="I18" s="322" t="str">
        <f t="shared" si="0"/>
        <v xml:space="preserve"> </v>
      </c>
    </row>
    <row r="19" spans="1:9" ht="24.95" customHeight="1" x14ac:dyDescent="0.2">
      <c r="A19" s="175" t="s">
        <v>57</v>
      </c>
      <c r="B19" s="47">
        <f>+B18+B14+B12</f>
        <v>624</v>
      </c>
      <c r="C19" s="47">
        <f>+C18+C14+C12</f>
        <v>0</v>
      </c>
      <c r="D19" s="47">
        <f>+D18+D14+D12</f>
        <v>0</v>
      </c>
      <c r="E19" s="47">
        <f>+E18+E14+E12</f>
        <v>624</v>
      </c>
      <c r="F19" s="47"/>
      <c r="H19" s="146" t="str">
        <f>IF(E19-'Enterprise Cash Flow Exh 8'!D21=0,"Yes",E19-'Enterprise Cash Flow Exh 8'!D21)</f>
        <v>Yes</v>
      </c>
      <c r="I19" s="322" t="str">
        <f t="shared" si="0"/>
        <v xml:space="preserve"> </v>
      </c>
    </row>
    <row r="20" spans="1:9" ht="17.25" x14ac:dyDescent="0.35">
      <c r="A20" s="39" t="s">
        <v>212</v>
      </c>
      <c r="B20" s="140">
        <f>'Enterprise Cash Flow Exh 8'!L22</f>
        <v>264</v>
      </c>
      <c r="C20" s="140">
        <f>'Enterprise Cash Flow Exh 8'!O22</f>
        <v>0</v>
      </c>
      <c r="D20" s="140">
        <v>0</v>
      </c>
      <c r="E20" s="98">
        <f>SUM(B20:D20)</f>
        <v>264</v>
      </c>
      <c r="H20" s="146" t="str">
        <f>IF(E20-'Enterprise Cash Flow Exh 8'!D22=0,"Yes",E20-'Enterprise Cash Flow Exh 8'!D22)</f>
        <v>Yes</v>
      </c>
      <c r="I20" s="322" t="str">
        <f t="shared" si="0"/>
        <v xml:space="preserve"> </v>
      </c>
    </row>
    <row r="21" spans="1:9" ht="17.25" x14ac:dyDescent="0.35">
      <c r="A21" s="39" t="s">
        <v>213</v>
      </c>
      <c r="B21" s="95">
        <f>+B19+B20</f>
        <v>888</v>
      </c>
      <c r="C21" s="95">
        <f>+C19+C20</f>
        <v>0</v>
      </c>
      <c r="D21" s="95">
        <f>+D19+D20</f>
        <v>0</v>
      </c>
      <c r="E21" s="95">
        <f>+E19+E20</f>
        <v>888</v>
      </c>
      <c r="F21" s="95"/>
      <c r="H21" s="146" t="str">
        <f>IF(E21-'Enterprise Cash Flow Exh 8'!D23=0,"Yes",E21-'Enterprise Cash Flow Exh 8'!D23)</f>
        <v>Yes</v>
      </c>
      <c r="I21" s="322" t="str">
        <f t="shared" si="0"/>
        <v xml:space="preserve"> </v>
      </c>
    </row>
    <row r="22" spans="1:9" ht="35.1" customHeight="1" x14ac:dyDescent="0.2">
      <c r="A22" s="39" t="s">
        <v>58</v>
      </c>
      <c r="I22" s="322"/>
    </row>
    <row r="23" spans="1:9" ht="20.100000000000001" customHeight="1" x14ac:dyDescent="0.2">
      <c r="A23" s="75" t="s">
        <v>59</v>
      </c>
      <c r="B23" s="138">
        <f>'Enterprise Cash Flow Exh 8'!L25</f>
        <v>-6386</v>
      </c>
      <c r="C23" s="138">
        <f>'Enterprise Cash Flow Exh 8'!O25</f>
        <v>0</v>
      </c>
      <c r="D23" s="138">
        <v>0</v>
      </c>
      <c r="E23" s="29">
        <f>SUM(B23:D23)</f>
        <v>-6386</v>
      </c>
      <c r="H23" s="146" t="str">
        <f>IF(E23-'Enterprise Cash Flow Exh 8'!D25=0,"Yes",E23-'Enterprise Cash Flow Exh 8'!D25)</f>
        <v>Yes</v>
      </c>
      <c r="I23" s="322" t="str">
        <f t="shared" si="0"/>
        <v xml:space="preserve"> </v>
      </c>
    </row>
    <row r="24" spans="1:9" ht="30" customHeight="1" x14ac:dyDescent="0.2">
      <c r="A24" s="39" t="s">
        <v>332</v>
      </c>
      <c r="I24" s="322"/>
    </row>
    <row r="25" spans="1:9" ht="15" x14ac:dyDescent="0.2">
      <c r="A25" s="104" t="s">
        <v>26</v>
      </c>
      <c r="B25" s="139">
        <f>'Enterprise Cash Flow Exh 8'!L27</f>
        <v>266</v>
      </c>
      <c r="C25" s="139">
        <f>'Enterprise Cash Flow Exh 8'!O27</f>
        <v>0</v>
      </c>
      <c r="D25" s="139">
        <v>0</v>
      </c>
      <c r="E25" s="47">
        <f>SUM(B25:D25)</f>
        <v>266</v>
      </c>
      <c r="H25" s="146" t="str">
        <f>IF(E25-'Enterprise Cash Flow Exh 8'!D27=0,"Yes",E25-'Enterprise Cash Flow Exh 8'!D27)</f>
        <v>Yes</v>
      </c>
      <c r="I25" s="322" t="str">
        <f t="shared" si="0"/>
        <v xml:space="preserve"> </v>
      </c>
    </row>
    <row r="26" spans="1:9" ht="15" x14ac:dyDescent="0.2">
      <c r="A26" s="240" t="s">
        <v>331</v>
      </c>
      <c r="I26" s="322"/>
    </row>
    <row r="27" spans="1:9" ht="18" customHeight="1" x14ac:dyDescent="0.2">
      <c r="A27" s="175" t="s">
        <v>152</v>
      </c>
      <c r="B27" s="139">
        <f>'Enterprise Cash Flow Exh 8'!L29</f>
        <v>-2402</v>
      </c>
      <c r="C27" s="139">
        <f>'Enterprise Cash Flow Exh 8'!O29</f>
        <v>0</v>
      </c>
      <c r="D27" s="139">
        <v>0</v>
      </c>
      <c r="E27" s="47">
        <f>SUM(B27:D27)</f>
        <v>-2402</v>
      </c>
      <c r="H27" s="146" t="str">
        <f>IF(E27-'Enterprise Cash Flow Exh 8'!D29=0,"Yes",E27-'Enterprise Cash Flow Exh 8'!D29)</f>
        <v>Yes</v>
      </c>
      <c r="I27" s="322" t="str">
        <f t="shared" si="0"/>
        <v xml:space="preserve"> </v>
      </c>
    </row>
    <row r="28" spans="1:9" ht="15" x14ac:dyDescent="0.2">
      <c r="A28" s="175" t="s">
        <v>154</v>
      </c>
      <c r="B28" s="139">
        <f>'Enterprise Cash Flow Exh 8'!L30</f>
        <v>-784</v>
      </c>
      <c r="C28" s="139">
        <f>'Enterprise Cash Flow Exh 8'!O30</f>
        <v>0</v>
      </c>
      <c r="D28" s="139">
        <v>0</v>
      </c>
      <c r="E28" s="47">
        <f>SUM(B28:D28)</f>
        <v>-784</v>
      </c>
      <c r="H28" s="146" t="str">
        <f>IF(E28-'Enterprise Cash Flow Exh 8'!D30=0,"Yes",E28-'Enterprise Cash Flow Exh 8'!D30)</f>
        <v>Yes</v>
      </c>
      <c r="I28" s="322" t="str">
        <f t="shared" si="0"/>
        <v xml:space="preserve"> </v>
      </c>
    </row>
    <row r="29" spans="1:9" ht="15" x14ac:dyDescent="0.2">
      <c r="A29" s="175" t="s">
        <v>153</v>
      </c>
      <c r="B29" s="139">
        <f>'Enterprise Cash Flow Exh 8'!L31</f>
        <v>-220</v>
      </c>
      <c r="C29" s="139">
        <f>'Enterprise Cash Flow Exh 8'!O31</f>
        <v>0</v>
      </c>
      <c r="D29" s="139">
        <v>0</v>
      </c>
      <c r="E29" s="47">
        <f>SUM(B29:D29)</f>
        <v>-220</v>
      </c>
      <c r="H29" s="146" t="str">
        <f>IF(E29-'Enterprise Cash Flow Exh 8'!D31=0,"Yes",E29-'Enterprise Cash Flow Exh 8'!D31)</f>
        <v>Yes</v>
      </c>
      <c r="I29" s="322" t="str">
        <f t="shared" si="0"/>
        <v xml:space="preserve"> </v>
      </c>
    </row>
    <row r="30" spans="1:9" ht="30" x14ac:dyDescent="0.2">
      <c r="A30" s="175" t="s">
        <v>60</v>
      </c>
      <c r="B30" s="139">
        <f>'Enterprise Cash Flow Exh 8'!L32</f>
        <v>-542</v>
      </c>
      <c r="C30" s="139">
        <f>'Enterprise Cash Flow Exh 8'!O32</f>
        <v>0</v>
      </c>
      <c r="D30" s="139">
        <v>0</v>
      </c>
      <c r="E30" s="47">
        <f>SUM(B30:D30)</f>
        <v>-542</v>
      </c>
      <c r="H30" s="146" t="str">
        <f>IF(E30-'Enterprise Cash Flow Exh 8'!D32=0,"Yes",E30-'Enterprise Cash Flow Exh 8'!D32)</f>
        <v>Yes</v>
      </c>
      <c r="I30" s="322" t="str">
        <f t="shared" si="0"/>
        <v xml:space="preserve"> </v>
      </c>
    </row>
    <row r="31" spans="1:9" ht="17.25" x14ac:dyDescent="0.35">
      <c r="A31" s="175" t="s">
        <v>164</v>
      </c>
      <c r="B31" s="140">
        <f>'Enterprise Cash Flow Exh 8'!L33</f>
        <v>34</v>
      </c>
      <c r="C31" s="140">
        <f>'Enterprise Cash Flow Exh 8'!O33</f>
        <v>0</v>
      </c>
      <c r="D31" s="140">
        <v>0</v>
      </c>
      <c r="E31" s="98">
        <f>SUM(B31:D31)</f>
        <v>34</v>
      </c>
      <c r="H31" s="146" t="str">
        <f>IF(E31-'Enterprise Cash Flow Exh 8'!D33=0,"Yes",E31-'Enterprise Cash Flow Exh 8'!D33)</f>
        <v>Yes</v>
      </c>
      <c r="I31" s="322" t="str">
        <f t="shared" si="0"/>
        <v xml:space="preserve"> </v>
      </c>
    </row>
    <row r="32" spans="1:9" ht="20.100000000000001" customHeight="1" x14ac:dyDescent="0.35">
      <c r="A32" s="282" t="s">
        <v>211</v>
      </c>
      <c r="B32" s="94">
        <f>SUM(B25:B31)</f>
        <v>-3648</v>
      </c>
      <c r="C32" s="94">
        <f>SUM(C25:C31)</f>
        <v>0</v>
      </c>
      <c r="D32" s="94">
        <f>SUM(D25:D31)</f>
        <v>0</v>
      </c>
      <c r="E32" s="94">
        <f>SUM(E25:E31)</f>
        <v>-3648</v>
      </c>
      <c r="F32" s="94"/>
      <c r="H32" s="146" t="str">
        <f>IF(E32-'Enterprise Cash Flow Exh 8'!D34=0,"Yes",E32-'Enterprise Cash Flow Exh 8'!D34)</f>
        <v>Yes</v>
      </c>
      <c r="I32" s="322" t="str">
        <f t="shared" si="0"/>
        <v xml:space="preserve"> </v>
      </c>
    </row>
    <row r="33" spans="1:9" ht="24.95" customHeight="1" x14ac:dyDescent="0.35">
      <c r="A33" s="69" t="s">
        <v>56</v>
      </c>
      <c r="B33" s="95">
        <f>+B32+B23</f>
        <v>-10034</v>
      </c>
      <c r="C33" s="95">
        <f>+C32+C23</f>
        <v>0</v>
      </c>
      <c r="D33" s="95">
        <f>+D32+D23</f>
        <v>0</v>
      </c>
      <c r="E33" s="95">
        <f>+E32+E23</f>
        <v>-10034</v>
      </c>
      <c r="F33" s="95"/>
      <c r="H33" s="146" t="str">
        <f>IF(E33-'Enterprise Cash Flow Exh 8'!D35=0,"Yes",E33-'Enterprise Cash Flow Exh 8'!D35)</f>
        <v>Yes</v>
      </c>
      <c r="I33" s="322" t="str">
        <f t="shared" si="0"/>
        <v xml:space="preserve"> </v>
      </c>
    </row>
    <row r="34" spans="1:9" ht="15" x14ac:dyDescent="0.2">
      <c r="A34" s="20"/>
    </row>
    <row r="35" spans="1:9" ht="15" x14ac:dyDescent="0.2">
      <c r="A35" s="20" t="s">
        <v>180</v>
      </c>
    </row>
    <row r="36" spans="1:9" ht="15" x14ac:dyDescent="0.2">
      <c r="A36" s="20"/>
    </row>
    <row r="37" spans="1:9" ht="15" x14ac:dyDescent="0.2">
      <c r="A37" s="20"/>
    </row>
    <row r="38" spans="1:9" ht="15" x14ac:dyDescent="0.2">
      <c r="A38" s="20"/>
    </row>
    <row r="39" spans="1:9" ht="15" x14ac:dyDescent="0.2">
      <c r="A39" s="20"/>
    </row>
    <row r="40" spans="1:9" ht="15" x14ac:dyDescent="0.2">
      <c r="A40" s="20"/>
    </row>
    <row r="41" spans="1:9" ht="15" x14ac:dyDescent="0.2">
      <c r="A41" s="20"/>
    </row>
    <row r="42" spans="1:9" ht="15" x14ac:dyDescent="0.2">
      <c r="A42" s="39" t="s">
        <v>214</v>
      </c>
      <c r="B42" s="68" t="str">
        <f>IF(B21-'Discite Enterprise Net Pos - SI'!B10=0,"Yes",B21-'Discite Enterprise Net Pos - SI'!B10)</f>
        <v>Yes</v>
      </c>
      <c r="C42" s="68" t="str">
        <f>IF(C21-'Discite Enterprise Net Pos - SI'!C10=0,"Yes",C21-'Discite Enterprise Net Pos - SI'!C10)</f>
        <v>Yes</v>
      </c>
      <c r="D42" s="68" t="str">
        <f>IF(D21-'Discite Enterprise Net Pos - SI'!D10=0,"Yes",D21-'Discite Enterprise Net Pos - SI'!D10)</f>
        <v>Yes</v>
      </c>
      <c r="E42" s="68" t="str">
        <f>IF(E21-'Discite Enterprise Net Pos - SI'!E10=0,"Yes",E21-'Discite Enterprise Net Pos - SI'!E10)</f>
        <v>Yes</v>
      </c>
    </row>
    <row r="43" spans="1:9" ht="30" x14ac:dyDescent="0.2">
      <c r="A43" s="39" t="s">
        <v>215</v>
      </c>
      <c r="B43" s="68" t="str">
        <f>IF(B23-'Discite Enterprise Inc Stmt- SI'!B23=0,"Yes",B23-'Discite Enterprise Inc Stmt- SI'!B23)</f>
        <v>Yes</v>
      </c>
      <c r="C43" s="68" t="str">
        <f>IF(C23-'Discite Enterprise Inc Stmt- SI'!C23=0,"Yes",C23-'Discite Enterprise Inc Stmt- SI'!C23)</f>
        <v>Yes</v>
      </c>
      <c r="D43" s="68" t="str">
        <f>IF(D23-'Discite Enterprise Inc Stmt- SI'!D23=0,"Yes",D23-'Discite Enterprise Inc Stmt- SI'!D23)</f>
        <v>Yes</v>
      </c>
      <c r="E43" s="68" t="str">
        <f>IF(E23-'Discite Enterprise Inc Stmt- SI'!E23=0,"Yes",E23-'Discite Enterprise Inc Stmt- SI'!E23)</f>
        <v>Yes</v>
      </c>
    </row>
    <row r="44" spans="1:9" ht="30" x14ac:dyDescent="0.2">
      <c r="A44" s="39" t="s">
        <v>265</v>
      </c>
      <c r="B44" s="68" t="str">
        <f>IF(B12-B33=0,"Yes",B12-B33)</f>
        <v>Yes</v>
      </c>
      <c r="C44" s="68" t="str">
        <f>IF(C12-C33=0,"Yes",C12-C33)</f>
        <v>Yes</v>
      </c>
      <c r="D44" s="68" t="str">
        <f>IF(D12-D33=0,"Yes",D12-D33)</f>
        <v>Yes</v>
      </c>
      <c r="E44" s="68" t="str">
        <f>IF(E12-E33=0,"Yes",E12-E33)</f>
        <v>Yes</v>
      </c>
    </row>
    <row r="45" spans="1:9" ht="15" x14ac:dyDescent="0.2">
      <c r="A45" s="20"/>
    </row>
  </sheetData>
  <mergeCells count="5">
    <mergeCell ref="A1:E1"/>
    <mergeCell ref="A2:E2"/>
    <mergeCell ref="A3:E3"/>
    <mergeCell ref="A4:E4"/>
    <mergeCell ref="B5:E5"/>
  </mergeCells>
  <conditionalFormatting sqref="B42:E44">
    <cfRule type="cellIs" dxfId="29" priority="3" stopIfTrue="1" operator="notEqual">
      <formula>"Yes"</formula>
    </cfRule>
  </conditionalFormatting>
  <conditionalFormatting sqref="H9">
    <cfRule type="cellIs" dxfId="28" priority="2" stopIfTrue="1" operator="notEqual">
      <formula>"Yes"</formula>
    </cfRule>
  </conditionalFormatting>
  <conditionalFormatting sqref="H10:H12 H14 H16:H21 H23 H25 H27:H33">
    <cfRule type="cellIs" dxfId="27" priority="1" stopIfTrue="1" operator="notEqual">
      <formula>"Yes"</formula>
    </cfRule>
  </conditionalFormatting>
  <pageMargins left="0.75" right="0.75" top="0.75" bottom="0.75" header="0.3" footer="0.3"/>
  <pageSetup orientation="portrait" r:id="rId1"/>
  <headerFooter>
    <oddHeader>&amp;R&amp;12Statement 15</oddHeader>
    <oddFooter>&amp;L&amp;12Revised:  July 2020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00B050"/>
  </sheetPr>
  <dimension ref="A2:D2"/>
  <sheetViews>
    <sheetView showGridLines="0" workbookViewId="0">
      <selection activeCell="A33" sqref="A33"/>
    </sheetView>
  </sheetViews>
  <sheetFormatPr defaultRowHeight="12.75" x14ac:dyDescent="0.2"/>
  <sheetData>
    <row r="2" spans="1:4" ht="15" x14ac:dyDescent="0.2">
      <c r="A2" s="379" t="s">
        <v>271</v>
      </c>
      <c r="B2" s="379"/>
      <c r="C2" s="379"/>
      <c r="D2" s="379"/>
    </row>
  </sheetData>
  <mergeCells count="1">
    <mergeCell ref="A2:D2"/>
  </mergeCells>
  <printOptions horizontalCentered="1" verticalCentered="1"/>
  <pageMargins left="0.75" right="0.75" top="0.75" bottom="0.75" header="0.5" footer="0.5"/>
  <pageSetup orientation="portrait" r:id="rId1"/>
  <headerFooter>
    <oddHeader>&amp;C&amp;"Arial,Bold"&amp;12Owl Charter, Inc.</oddHeader>
    <oddFooter>&amp;L&amp;12Revised:  July 2020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tabColor theme="7" tint="0.59999389629810485"/>
    <pageSetUpPr fitToPage="1"/>
  </sheetPr>
  <dimension ref="A1:AC79"/>
  <sheetViews>
    <sheetView showGridLines="0" workbookViewId="0">
      <selection activeCell="A6" sqref="A6"/>
    </sheetView>
  </sheetViews>
  <sheetFormatPr defaultRowHeight="12.75" x14ac:dyDescent="0.2"/>
  <cols>
    <col min="1" max="1" width="42.7109375" customWidth="1"/>
    <col min="2" max="4" width="14.7109375" customWidth="1"/>
  </cols>
  <sheetData>
    <row r="1" spans="1:29" ht="15.75" x14ac:dyDescent="0.25">
      <c r="A1" s="341" t="str">
        <f>'GW Net Position Exh 1'!A1</f>
        <v>Owl Charter, Inc.</v>
      </c>
      <c r="B1" s="341"/>
      <c r="C1" s="341"/>
      <c r="D1" s="341"/>
      <c r="E1" s="20"/>
      <c r="F1" s="20"/>
      <c r="G1" s="20"/>
      <c r="H1" s="20"/>
      <c r="I1" s="20"/>
      <c r="J1" s="20"/>
      <c r="K1" s="20"/>
      <c r="L1" s="20"/>
      <c r="M1" s="20"/>
      <c r="N1" s="20"/>
      <c r="O1" s="20"/>
      <c r="P1" s="20"/>
      <c r="Q1" s="20"/>
      <c r="R1" s="20"/>
      <c r="S1" s="20"/>
      <c r="T1" s="20"/>
      <c r="U1" s="20"/>
      <c r="V1" s="20"/>
      <c r="W1" s="20"/>
      <c r="X1" s="20"/>
      <c r="Y1" s="20"/>
      <c r="Z1" s="20"/>
      <c r="AA1" s="20"/>
      <c r="AB1" s="20"/>
      <c r="AC1" s="20"/>
    </row>
    <row r="2" spans="1:29" ht="15.75" x14ac:dyDescent="0.25">
      <c r="A2" s="342" t="s">
        <v>249</v>
      </c>
      <c r="B2" s="342"/>
      <c r="C2" s="342"/>
      <c r="D2" s="342"/>
      <c r="E2" s="20"/>
      <c r="F2" s="20"/>
      <c r="G2" s="20"/>
      <c r="H2" s="20"/>
      <c r="I2" s="20"/>
      <c r="J2" s="20"/>
      <c r="K2" s="20"/>
      <c r="L2" s="20"/>
      <c r="M2" s="20"/>
      <c r="N2" s="20"/>
      <c r="O2" s="20"/>
      <c r="P2" s="20"/>
      <c r="Q2" s="20"/>
      <c r="R2" s="20"/>
      <c r="S2" s="20"/>
      <c r="T2" s="20"/>
      <c r="U2" s="20"/>
      <c r="V2" s="20"/>
      <c r="W2" s="20"/>
      <c r="X2" s="20"/>
      <c r="Y2" s="20"/>
      <c r="Z2" s="20"/>
      <c r="AA2" s="20"/>
      <c r="AB2" s="20"/>
      <c r="AC2" s="20"/>
    </row>
    <row r="3" spans="1:29" ht="15.75" x14ac:dyDescent="0.25">
      <c r="A3" s="342" t="s">
        <v>251</v>
      </c>
      <c r="B3" s="342"/>
      <c r="C3" s="342"/>
      <c r="D3" s="342"/>
      <c r="E3" s="20"/>
      <c r="F3" s="20"/>
      <c r="G3" s="20"/>
      <c r="H3" s="20"/>
      <c r="I3" s="20"/>
      <c r="J3" s="20"/>
      <c r="K3" s="20"/>
      <c r="L3" s="20"/>
      <c r="M3" s="20"/>
      <c r="N3" s="20"/>
      <c r="O3" s="20"/>
      <c r="P3" s="20"/>
      <c r="Q3" s="20"/>
      <c r="R3" s="20"/>
      <c r="S3" s="20"/>
      <c r="T3" s="20"/>
      <c r="U3" s="20"/>
      <c r="V3" s="20"/>
      <c r="W3" s="20"/>
      <c r="X3" s="20"/>
      <c r="Y3" s="20"/>
      <c r="Z3" s="20"/>
      <c r="AA3" s="20"/>
      <c r="AB3" s="20"/>
      <c r="AC3" s="20"/>
    </row>
    <row r="4" spans="1:29" ht="15.75" x14ac:dyDescent="0.25">
      <c r="A4" s="342" t="s">
        <v>273</v>
      </c>
      <c r="B4" s="342"/>
      <c r="C4" s="342"/>
      <c r="D4" s="342"/>
      <c r="E4" s="20"/>
      <c r="F4" s="20"/>
      <c r="G4" s="20"/>
      <c r="H4" s="20"/>
      <c r="I4" s="20"/>
      <c r="J4" s="20"/>
      <c r="K4" s="20"/>
      <c r="L4" s="20"/>
      <c r="M4" s="20"/>
      <c r="N4" s="20"/>
      <c r="O4" s="20"/>
      <c r="P4" s="20"/>
      <c r="Q4" s="20"/>
      <c r="R4" s="20"/>
      <c r="S4" s="20"/>
      <c r="T4" s="20"/>
      <c r="U4" s="20"/>
      <c r="V4" s="20"/>
      <c r="W4" s="20"/>
      <c r="X4" s="20"/>
      <c r="Y4" s="20"/>
      <c r="Z4" s="20"/>
      <c r="AA4" s="20"/>
      <c r="AB4" s="20"/>
      <c r="AC4" s="20"/>
    </row>
    <row r="5" spans="1:29" ht="15.75" x14ac:dyDescent="0.25">
      <c r="A5" s="342" t="str">
        <f>+'GW Stmt Activities Exh 2'!A3</f>
        <v>For the Year Ended June 30, 2020</v>
      </c>
      <c r="B5" s="342"/>
      <c r="C5" s="342"/>
      <c r="D5" s="342"/>
      <c r="E5" s="20"/>
      <c r="F5" s="20"/>
      <c r="G5" s="20"/>
      <c r="H5" s="20"/>
      <c r="I5" s="20"/>
      <c r="J5" s="20"/>
      <c r="K5" s="20"/>
      <c r="L5" s="20"/>
      <c r="M5" s="20"/>
      <c r="N5" s="20"/>
      <c r="O5" s="20"/>
      <c r="P5" s="20"/>
      <c r="Q5" s="20"/>
      <c r="R5" s="20"/>
      <c r="S5" s="20"/>
      <c r="T5" s="20"/>
      <c r="U5" s="20"/>
      <c r="V5" s="20"/>
      <c r="W5" s="20"/>
      <c r="X5" s="20"/>
      <c r="Y5" s="20"/>
      <c r="Z5" s="20"/>
      <c r="AA5" s="20"/>
      <c r="AB5" s="20"/>
      <c r="AC5" s="20"/>
    </row>
    <row r="6" spans="1:29" ht="21.95" customHeight="1" x14ac:dyDescent="0.35">
      <c r="A6" s="160"/>
      <c r="B6" s="67"/>
      <c r="C6" s="67"/>
      <c r="D6" s="67" t="s">
        <v>48</v>
      </c>
      <c r="E6" s="20"/>
      <c r="F6" s="20"/>
      <c r="G6" s="20"/>
      <c r="H6" s="20"/>
      <c r="I6" s="20"/>
      <c r="J6" s="20"/>
      <c r="K6" s="20"/>
      <c r="L6" s="20"/>
      <c r="M6" s="20"/>
      <c r="N6" s="20"/>
      <c r="O6" s="20"/>
      <c r="P6" s="20"/>
      <c r="Q6" s="20"/>
      <c r="R6" s="20"/>
      <c r="S6" s="20"/>
      <c r="T6" s="20"/>
      <c r="U6" s="20"/>
      <c r="V6" s="20"/>
      <c r="W6" s="20"/>
      <c r="X6" s="20"/>
      <c r="Y6" s="20"/>
      <c r="Z6" s="20"/>
      <c r="AA6" s="20"/>
      <c r="AB6" s="20"/>
      <c r="AC6" s="20"/>
    </row>
    <row r="7" spans="1:29" ht="34.5" x14ac:dyDescent="0.35">
      <c r="A7" s="20"/>
      <c r="B7" s="27" t="s">
        <v>248</v>
      </c>
      <c r="C7" s="27" t="s">
        <v>47</v>
      </c>
      <c r="D7" s="27" t="s">
        <v>250</v>
      </c>
      <c r="E7" s="20"/>
      <c r="F7" s="20"/>
      <c r="G7" s="20"/>
      <c r="H7" s="20"/>
      <c r="I7" s="20"/>
      <c r="J7" s="20"/>
      <c r="K7" s="20"/>
      <c r="L7" s="20"/>
      <c r="M7" s="20"/>
      <c r="N7" s="20"/>
      <c r="O7" s="20"/>
      <c r="P7" s="20"/>
      <c r="Q7" s="20"/>
      <c r="R7" s="20"/>
      <c r="S7" s="20"/>
      <c r="T7" s="20"/>
      <c r="U7" s="20"/>
      <c r="V7" s="20"/>
      <c r="W7" s="20"/>
      <c r="X7" s="20"/>
      <c r="Y7" s="20"/>
      <c r="Z7" s="20"/>
      <c r="AA7" s="20"/>
      <c r="AB7" s="20"/>
      <c r="AC7" s="20"/>
    </row>
    <row r="8" spans="1:29" ht="15.75" customHeight="1" x14ac:dyDescent="0.25">
      <c r="A8" s="28" t="s">
        <v>233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ht="15.75" hidden="1" customHeight="1" x14ac:dyDescent="0.2">
      <c r="A9" s="20" t="s">
        <v>97</v>
      </c>
      <c r="B9" s="38">
        <v>0</v>
      </c>
      <c r="C9" s="125">
        <f>'Govt Funds Inc Stmt Exh 4'!B9</f>
        <v>0</v>
      </c>
      <c r="D9" s="38">
        <f t="shared" ref="D9:D14" si="0">C9-B9</f>
        <v>0</v>
      </c>
      <c r="E9" s="20"/>
      <c r="F9" s="20"/>
      <c r="G9" s="20"/>
      <c r="H9" s="20"/>
      <c r="I9" s="20"/>
      <c r="J9" s="20"/>
      <c r="K9" s="20"/>
      <c r="L9" s="20"/>
      <c r="M9" s="20"/>
      <c r="N9" s="20"/>
      <c r="O9" s="20"/>
      <c r="P9" s="20"/>
      <c r="Q9" s="20"/>
      <c r="R9" s="20"/>
      <c r="S9" s="20"/>
      <c r="T9" s="20"/>
      <c r="U9" s="20"/>
      <c r="V9" s="20"/>
      <c r="W9" s="20"/>
      <c r="X9" s="20"/>
      <c r="Y9" s="20"/>
      <c r="Z9" s="20"/>
      <c r="AA9" s="20"/>
      <c r="AB9" s="20"/>
      <c r="AC9" s="20"/>
    </row>
    <row r="10" spans="1:29" ht="15.75" hidden="1" customHeight="1" x14ac:dyDescent="0.2">
      <c r="A10" s="30" t="s">
        <v>98</v>
      </c>
      <c r="B10" s="125">
        <v>0</v>
      </c>
      <c r="C10" s="125">
        <f>'Govt Funds Inc Stmt Exh 4'!B10</f>
        <v>0</v>
      </c>
      <c r="D10" s="125">
        <f t="shared" si="0"/>
        <v>0</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5.75" hidden="1" customHeight="1" x14ac:dyDescent="0.2">
      <c r="A11" s="20" t="s">
        <v>99</v>
      </c>
      <c r="B11" s="125">
        <v>0</v>
      </c>
      <c r="C11" s="125">
        <f>'Govt Funds Inc Stmt Exh 4'!B11</f>
        <v>0</v>
      </c>
      <c r="D11" s="125">
        <f t="shared" si="0"/>
        <v>0</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5.75" customHeight="1" x14ac:dyDescent="0.2">
      <c r="A12" s="20" t="s">
        <v>100</v>
      </c>
      <c r="B12" s="38">
        <v>25000</v>
      </c>
      <c r="C12" s="38">
        <f>'Govt Funds Inc Stmt Exh 4'!B12</f>
        <v>28925</v>
      </c>
      <c r="D12" s="38">
        <f t="shared" si="0"/>
        <v>3925</v>
      </c>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7.25" customHeight="1" x14ac:dyDescent="0.35">
      <c r="A13" s="164" t="s">
        <v>91</v>
      </c>
      <c r="B13" s="161">
        <v>0</v>
      </c>
      <c r="C13" s="161">
        <f>'Govt Funds Inc Stmt Exh 4'!B13</f>
        <v>40500</v>
      </c>
      <c r="D13" s="161">
        <f t="shared" si="0"/>
        <v>40500</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29" ht="20.100000000000001" customHeight="1" x14ac:dyDescent="0.35">
      <c r="A14" s="36" t="s">
        <v>13</v>
      </c>
      <c r="B14" s="41">
        <f>SUM(B9:B13)</f>
        <v>25000</v>
      </c>
      <c r="C14" s="41">
        <f>SUM(C9:C13)</f>
        <v>69425</v>
      </c>
      <c r="D14" s="161">
        <f t="shared" si="0"/>
        <v>44425</v>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row>
    <row r="15" spans="1:29" ht="21.95" customHeight="1" x14ac:dyDescent="0.25">
      <c r="A15" s="28" t="s">
        <v>234</v>
      </c>
      <c r="B15" s="31"/>
      <c r="C15" s="31"/>
      <c r="D15" s="31"/>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29" ht="20.100000000000001" customHeight="1" x14ac:dyDescent="0.25">
      <c r="A16" s="28" t="s">
        <v>280</v>
      </c>
      <c r="B16" s="31"/>
      <c r="C16" s="31"/>
      <c r="D16" s="31"/>
      <c r="E16" s="20"/>
      <c r="F16" s="20"/>
      <c r="G16" s="20"/>
      <c r="H16" s="20"/>
      <c r="I16" s="20"/>
      <c r="J16" s="20"/>
      <c r="K16" s="20"/>
      <c r="L16" s="20"/>
      <c r="M16" s="20"/>
      <c r="N16" s="20"/>
      <c r="O16" s="20"/>
      <c r="P16" s="20"/>
      <c r="Q16" s="20"/>
      <c r="R16" s="20"/>
      <c r="S16" s="20"/>
      <c r="T16" s="20"/>
      <c r="U16" s="20"/>
      <c r="V16" s="20"/>
      <c r="W16" s="20"/>
      <c r="X16" s="20"/>
      <c r="Y16" s="20"/>
      <c r="Z16" s="20"/>
      <c r="AA16" s="20"/>
      <c r="AB16" s="20"/>
      <c r="AC16" s="20"/>
    </row>
    <row r="17" spans="1:29" ht="15.75" hidden="1" customHeight="1" x14ac:dyDescent="0.2">
      <c r="A17" s="70" t="s">
        <v>143</v>
      </c>
      <c r="B17" s="125">
        <v>0</v>
      </c>
      <c r="C17" s="125">
        <f>'Govt Funds Inc Stmt Exh 4'!B17</f>
        <v>0</v>
      </c>
      <c r="D17" s="125">
        <f>+B17-C17</f>
        <v>0</v>
      </c>
      <c r="E17" s="20"/>
      <c r="F17" s="20"/>
      <c r="G17" s="20"/>
      <c r="H17" s="20"/>
      <c r="I17" s="20"/>
      <c r="J17" s="20"/>
      <c r="K17" s="20"/>
      <c r="L17" s="20"/>
      <c r="M17" s="20"/>
      <c r="N17" s="20"/>
      <c r="O17" s="20"/>
      <c r="P17" s="20"/>
      <c r="Q17" s="20"/>
      <c r="R17" s="20"/>
      <c r="S17" s="20"/>
      <c r="T17" s="20"/>
      <c r="U17" s="20"/>
      <c r="V17" s="20"/>
      <c r="W17" s="20"/>
      <c r="X17" s="20"/>
      <c r="Y17" s="20"/>
      <c r="Z17" s="20"/>
      <c r="AA17" s="20"/>
      <c r="AB17" s="20"/>
      <c r="AC17" s="20"/>
    </row>
    <row r="18" spans="1:29" ht="15.75" hidden="1" customHeight="1" x14ac:dyDescent="0.2">
      <c r="A18" s="70" t="s">
        <v>155</v>
      </c>
      <c r="B18" s="125">
        <v>0</v>
      </c>
      <c r="C18" s="125">
        <f>'Govt Funds Inc Stmt Exh 4'!B18</f>
        <v>0</v>
      </c>
      <c r="D18" s="125">
        <f>+B18-C18</f>
        <v>0</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row>
    <row r="19" spans="1:29" ht="17.25" customHeight="1" x14ac:dyDescent="0.35">
      <c r="A19" s="70" t="s">
        <v>238</v>
      </c>
      <c r="B19" s="161">
        <v>3500</v>
      </c>
      <c r="C19" s="161">
        <f>'Govt Funds Inc Stmt Exh 4'!B19</f>
        <v>0</v>
      </c>
      <c r="D19" s="161">
        <f>+B19-C19</f>
        <v>3500</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row>
    <row r="20" spans="1:29" ht="18" hidden="1" customHeight="1" x14ac:dyDescent="0.25">
      <c r="A20" s="28" t="s">
        <v>51</v>
      </c>
      <c r="B20" s="125">
        <v>0</v>
      </c>
      <c r="C20" s="125">
        <f>'Govt Funds Inc Stmt Exh 4'!B20</f>
        <v>0</v>
      </c>
      <c r="D20" s="125">
        <f>+B20-C20</f>
        <v>0</v>
      </c>
      <c r="E20" s="20"/>
      <c r="F20" s="20"/>
      <c r="G20" s="20"/>
      <c r="H20" s="20"/>
      <c r="I20" s="20"/>
      <c r="J20" s="20"/>
      <c r="K20" s="20"/>
      <c r="L20" s="20"/>
      <c r="M20" s="20"/>
      <c r="N20" s="20"/>
      <c r="O20" s="20"/>
      <c r="P20" s="20"/>
      <c r="Q20" s="20"/>
      <c r="R20" s="20"/>
      <c r="S20" s="20"/>
      <c r="T20" s="20"/>
      <c r="U20" s="20"/>
      <c r="V20" s="20"/>
      <c r="W20" s="20"/>
      <c r="X20" s="20"/>
      <c r="Y20" s="20"/>
      <c r="Z20" s="20"/>
      <c r="AA20" s="20"/>
      <c r="AB20" s="20"/>
      <c r="AC20" s="20"/>
    </row>
    <row r="21" spans="1:29" ht="18" hidden="1" customHeight="1" x14ac:dyDescent="0.25">
      <c r="A21" s="28" t="s">
        <v>14</v>
      </c>
      <c r="B21" s="31"/>
      <c r="C21" s="125"/>
      <c r="D21" s="125"/>
      <c r="E21" s="20"/>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1:29" ht="15.75" hidden="1" customHeight="1" x14ac:dyDescent="0.2">
      <c r="A22" s="36" t="s">
        <v>15</v>
      </c>
      <c r="B22" s="125">
        <v>0</v>
      </c>
      <c r="C22" s="125">
        <f>'Govt Funds Inc Stmt Exh 4'!B22</f>
        <v>0</v>
      </c>
      <c r="D22" s="125">
        <f>+B22-C22</f>
        <v>0</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row>
    <row r="23" spans="1:29" ht="17.25" hidden="1" customHeight="1" x14ac:dyDescent="0.35">
      <c r="A23" s="36" t="s">
        <v>16</v>
      </c>
      <c r="B23" s="161">
        <v>0</v>
      </c>
      <c r="C23" s="161">
        <f>'Govt Funds Inc Stmt Exh 4'!B23</f>
        <v>0</v>
      </c>
      <c r="D23" s="161">
        <f>+B23-C23</f>
        <v>0</v>
      </c>
      <c r="E23" s="20"/>
      <c r="F23" s="20"/>
      <c r="G23" s="20"/>
      <c r="H23" s="20"/>
      <c r="I23" s="20"/>
      <c r="J23" s="20"/>
      <c r="K23" s="20"/>
      <c r="L23" s="20"/>
      <c r="M23" s="20"/>
      <c r="N23" s="20"/>
      <c r="O23" s="20"/>
      <c r="P23" s="20"/>
      <c r="Q23" s="20"/>
      <c r="R23" s="20"/>
      <c r="S23" s="20"/>
      <c r="T23" s="20"/>
      <c r="U23" s="20"/>
      <c r="V23" s="20"/>
      <c r="W23" s="20"/>
      <c r="X23" s="20"/>
      <c r="Y23" s="20"/>
      <c r="Z23" s="20"/>
      <c r="AA23" s="20"/>
      <c r="AB23" s="20"/>
      <c r="AC23" s="20"/>
    </row>
    <row r="24" spans="1:29" ht="20.100000000000001" customHeight="1" x14ac:dyDescent="0.35">
      <c r="A24" s="73" t="s">
        <v>18</v>
      </c>
      <c r="B24" s="41">
        <f>SUM(B17:B23)</f>
        <v>3500</v>
      </c>
      <c r="C24" s="41">
        <f>SUM(C17:C23)</f>
        <v>0</v>
      </c>
      <c r="D24" s="161">
        <f>B24-C24</f>
        <v>3500</v>
      </c>
      <c r="E24" s="20"/>
      <c r="F24" s="20"/>
      <c r="G24" s="20"/>
      <c r="H24" s="20"/>
      <c r="I24" s="20"/>
      <c r="J24" s="20"/>
      <c r="K24" s="20"/>
      <c r="L24" s="20"/>
      <c r="M24" s="20"/>
      <c r="N24" s="20"/>
      <c r="O24" s="20"/>
      <c r="P24" s="20"/>
      <c r="Q24" s="20"/>
      <c r="R24" s="20"/>
      <c r="S24" s="20"/>
      <c r="T24" s="20"/>
      <c r="U24" s="20"/>
      <c r="V24" s="20"/>
      <c r="W24" s="20"/>
      <c r="X24" s="20"/>
      <c r="Y24" s="20"/>
      <c r="Z24" s="20"/>
      <c r="AA24" s="20"/>
      <c r="AB24" s="20"/>
      <c r="AC24" s="20"/>
    </row>
    <row r="25" spans="1:29" ht="35.1" customHeight="1" x14ac:dyDescent="0.35">
      <c r="A25" s="74" t="s">
        <v>190</v>
      </c>
      <c r="B25" s="41">
        <f>+B14-B24</f>
        <v>21500</v>
      </c>
      <c r="C25" s="41">
        <f>+C14-C24</f>
        <v>69425</v>
      </c>
      <c r="D25" s="41">
        <f>IF(C25&lt;=0,+C25-B25,IF(B25-C25,C25-B25))</f>
        <v>47925</v>
      </c>
      <c r="E25" s="30"/>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spans="1:29" ht="21.95" customHeight="1" x14ac:dyDescent="0.25">
      <c r="A26" s="28" t="s">
        <v>235</v>
      </c>
      <c r="B26" s="31"/>
      <c r="C26" s="31"/>
      <c r="D26" s="31"/>
      <c r="E26" s="20"/>
      <c r="F26" s="20"/>
      <c r="G26" s="20"/>
      <c r="H26" s="20"/>
      <c r="I26" s="20"/>
      <c r="J26" s="20"/>
      <c r="K26" s="20"/>
      <c r="L26" s="20"/>
      <c r="M26" s="20"/>
      <c r="N26" s="20"/>
      <c r="O26" s="20"/>
      <c r="P26" s="20"/>
      <c r="Q26" s="20"/>
      <c r="R26" s="20"/>
      <c r="S26" s="20"/>
      <c r="T26" s="20"/>
      <c r="U26" s="20"/>
      <c r="V26" s="20"/>
      <c r="W26" s="20"/>
      <c r="X26" s="20"/>
      <c r="Y26" s="20"/>
      <c r="Z26" s="20"/>
      <c r="AA26" s="20"/>
      <c r="AB26" s="20"/>
      <c r="AC26" s="20"/>
    </row>
    <row r="27" spans="1:29" ht="15.75" hidden="1" customHeight="1" x14ac:dyDescent="0.2">
      <c r="A27" s="39" t="s">
        <v>83</v>
      </c>
      <c r="B27" s="125">
        <v>0</v>
      </c>
      <c r="C27" s="125">
        <f>'Govt Funds Inc Stmt Exh 4'!B27</f>
        <v>0</v>
      </c>
      <c r="D27" s="125">
        <f>C27-B27</f>
        <v>0</v>
      </c>
      <c r="E27" s="20"/>
      <c r="F27" s="20"/>
      <c r="G27" s="20"/>
      <c r="H27" s="20"/>
      <c r="I27" s="20"/>
      <c r="J27" s="20"/>
      <c r="K27" s="20"/>
      <c r="L27" s="20"/>
      <c r="M27" s="20"/>
      <c r="N27" s="20"/>
      <c r="O27" s="20"/>
      <c r="P27" s="20"/>
      <c r="Q27" s="20"/>
      <c r="R27" s="20"/>
      <c r="S27" s="20"/>
      <c r="T27" s="20"/>
      <c r="U27" s="20"/>
      <c r="V27" s="20"/>
      <c r="W27" s="20"/>
      <c r="X27" s="20"/>
      <c r="Y27" s="20"/>
      <c r="Z27" s="20"/>
      <c r="AA27" s="20"/>
      <c r="AB27" s="20"/>
      <c r="AC27" s="20"/>
    </row>
    <row r="28" spans="1:29" ht="17.25" customHeight="1" x14ac:dyDescent="0.35">
      <c r="A28" s="39" t="s">
        <v>84</v>
      </c>
      <c r="B28" s="161">
        <v>-21500</v>
      </c>
      <c r="C28" s="161">
        <f>'Govt Funds Inc Stmt Exh 4'!B28</f>
        <v>-5000</v>
      </c>
      <c r="D28" s="161">
        <f>+B28-C28</f>
        <v>-16500</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29" ht="15.75" hidden="1" customHeight="1" x14ac:dyDescent="0.2">
      <c r="A29" s="56" t="s">
        <v>148</v>
      </c>
      <c r="B29" s="125">
        <v>0</v>
      </c>
      <c r="C29" s="125">
        <f>'Govt Funds Inc Stmt Exh 4'!B29</f>
        <v>0</v>
      </c>
      <c r="D29" s="125">
        <f>C29-B29</f>
        <v>0</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spans="1:29" ht="17.25" hidden="1" customHeight="1" x14ac:dyDescent="0.35">
      <c r="A30" s="93" t="s">
        <v>124</v>
      </c>
      <c r="B30" s="161">
        <v>0</v>
      </c>
      <c r="C30" s="161">
        <f>'Govt Funds Inc Stmt Exh 4'!B30</f>
        <v>0</v>
      </c>
      <c r="D30" s="161">
        <f>C30-B30</f>
        <v>0</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spans="1:29" ht="20.100000000000001" customHeight="1" x14ac:dyDescent="0.35">
      <c r="A31" s="75" t="s">
        <v>222</v>
      </c>
      <c r="B31" s="41">
        <f>SUM(B27:B30)</f>
        <v>-21500</v>
      </c>
      <c r="C31" s="41">
        <f>SUM(C27:C30)</f>
        <v>-5000</v>
      </c>
      <c r="D31" s="41">
        <f>SUM(D27:D30)</f>
        <v>-16500</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spans="1:29" ht="21.95" customHeight="1" x14ac:dyDescent="0.2">
      <c r="A32" s="234" t="s">
        <v>303</v>
      </c>
      <c r="B32" s="168">
        <f>+B25+B31</f>
        <v>0</v>
      </c>
      <c r="C32" s="130">
        <f>+C25+C31</f>
        <v>64425</v>
      </c>
      <c r="D32" s="168">
        <f>+D25+D31</f>
        <v>31425</v>
      </c>
      <c r="E32" s="20"/>
      <c r="F32" s="20"/>
      <c r="G32" s="20"/>
      <c r="H32" s="20"/>
      <c r="I32" s="20"/>
      <c r="J32" s="20"/>
      <c r="K32" s="20"/>
      <c r="L32" s="20"/>
      <c r="M32" s="20"/>
      <c r="N32" s="20"/>
      <c r="O32" s="20"/>
      <c r="P32" s="20"/>
      <c r="Q32" s="20"/>
      <c r="R32" s="20"/>
      <c r="S32" s="20"/>
      <c r="T32" s="20"/>
      <c r="U32" s="20"/>
      <c r="V32" s="20"/>
      <c r="W32" s="20"/>
      <c r="X32" s="20"/>
      <c r="Y32" s="20"/>
      <c r="Z32" s="20"/>
      <c r="AA32" s="20"/>
      <c r="AB32" s="20"/>
      <c r="AC32" s="20"/>
    </row>
    <row r="33" spans="1:29" ht="21.95" customHeight="1" x14ac:dyDescent="0.2">
      <c r="A33" s="165" t="s">
        <v>191</v>
      </c>
      <c r="B33" s="166"/>
      <c r="C33" s="166">
        <f>'Govt Funds Inc Stmt Exh 4'!B33</f>
        <v>352491</v>
      </c>
      <c r="D33" s="166"/>
      <c r="E33" s="20"/>
      <c r="F33" s="20"/>
      <c r="G33" s="20"/>
      <c r="H33" s="20"/>
      <c r="I33" s="20"/>
      <c r="J33" s="20"/>
      <c r="K33" s="20"/>
      <c r="L33" s="20"/>
      <c r="M33" s="20"/>
      <c r="N33" s="20"/>
      <c r="O33" s="20"/>
      <c r="P33" s="20"/>
      <c r="Q33" s="20"/>
      <c r="R33" s="20"/>
      <c r="S33" s="20"/>
      <c r="T33" s="20"/>
      <c r="U33" s="20"/>
      <c r="V33" s="20"/>
      <c r="W33" s="20"/>
      <c r="X33" s="20"/>
      <c r="Y33" s="20"/>
      <c r="Z33" s="20"/>
      <c r="AA33" s="20"/>
      <c r="AB33" s="20"/>
      <c r="AC33" s="20"/>
    </row>
    <row r="34" spans="1:29" ht="20.100000000000001" customHeight="1" x14ac:dyDescent="0.35">
      <c r="A34" s="20" t="s">
        <v>194</v>
      </c>
      <c r="B34" s="49"/>
      <c r="C34" s="49">
        <f>+C32+C33</f>
        <v>416916</v>
      </c>
      <c r="D34" s="49"/>
      <c r="E34" s="20"/>
      <c r="F34" s="20"/>
      <c r="G34" s="20"/>
      <c r="H34" s="20"/>
      <c r="I34" s="20"/>
      <c r="J34" s="20"/>
      <c r="K34" s="20"/>
      <c r="L34" s="20"/>
      <c r="M34" s="20"/>
      <c r="N34" s="20"/>
      <c r="O34" s="20"/>
      <c r="P34" s="20"/>
      <c r="Q34" s="20"/>
      <c r="R34" s="20"/>
      <c r="S34" s="20"/>
      <c r="T34" s="20"/>
      <c r="U34" s="20"/>
      <c r="V34" s="20"/>
      <c r="W34" s="20"/>
      <c r="X34" s="20"/>
      <c r="Y34" s="20"/>
      <c r="Z34" s="20"/>
      <c r="AA34" s="20"/>
      <c r="AB34" s="20"/>
      <c r="AC34" s="20"/>
    </row>
    <row r="35" spans="1:29" ht="15" x14ac:dyDescent="0.2">
      <c r="A35" s="20"/>
      <c r="B35" s="20"/>
      <c r="C35" s="20"/>
      <c r="D35" s="3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spans="1:29" ht="15" x14ac:dyDescent="0.2">
      <c r="A36" s="4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spans="1:29" ht="18" x14ac:dyDescent="0.2">
      <c r="A37" s="162"/>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spans="1:29" ht="15.75" thickBot="1"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spans="1:29" ht="17.25" customHeight="1" x14ac:dyDescent="0.2">
      <c r="A39" s="397" t="s">
        <v>292</v>
      </c>
      <c r="B39" s="398"/>
      <c r="C39" s="399"/>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spans="1:29" ht="21" customHeight="1" thickBot="1" x14ac:dyDescent="0.25">
      <c r="A40" s="400"/>
      <c r="B40" s="401"/>
      <c r="C40" s="402"/>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row>
    <row r="41" spans="1:29" ht="12.75" customHeight="1" x14ac:dyDescent="0.2">
      <c r="A41" s="167"/>
      <c r="B41" s="25"/>
      <c r="C41" s="25"/>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1:29" ht="12.75" customHeight="1" x14ac:dyDescent="0.2">
      <c r="A42" s="167"/>
      <c r="B42" s="25"/>
      <c r="C42" s="25"/>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1:29" ht="13.5" customHeight="1" x14ac:dyDescent="0.2">
      <c r="A43" s="167"/>
      <c r="B43" s="25"/>
      <c r="C43" s="25"/>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1:29" ht="15"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spans="1:29" ht="15"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1:29" ht="15"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spans="1:29" ht="15"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spans="1:29" ht="15"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1:29" ht="15"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spans="1:29" ht="35.1" customHeight="1" x14ac:dyDescent="0.2">
      <c r="A50" s="75" t="s">
        <v>252</v>
      </c>
      <c r="B50" s="75"/>
      <c r="C50" s="135" t="str">
        <f>IF(C32-'Govt Funds Inc Stmt Exh 4'!B32=0,"Yes",C32-'Govt Funds Inc Stmt Exh 4'!B32)</f>
        <v>Yes</v>
      </c>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row>
    <row r="51" spans="1:29" ht="35.1" customHeight="1" x14ac:dyDescent="0.2">
      <c r="A51" s="75" t="s">
        <v>270</v>
      </c>
      <c r="B51" s="91"/>
      <c r="C51" s="135" t="str">
        <f>IF(C34-'Govt Funds Inc Stmt Exh 4'!B34=0,"Yes",C34-'Govt Funds Inc Stmt Exh 4'!B34)</f>
        <v>Yes</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1:29" ht="21.95" customHeight="1" x14ac:dyDescent="0.2">
      <c r="A52" s="165" t="s">
        <v>305</v>
      </c>
      <c r="B52" s="134" t="str">
        <f>IF(B32=0,"Yes",B32)</f>
        <v>Yes</v>
      </c>
      <c r="C52" s="164"/>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29" ht="15"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spans="1:29" ht="15"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spans="1:29" ht="15"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spans="1:29" ht="15"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spans="1:29" ht="15"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spans="1:29" ht="15"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spans="1:29" ht="15"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1:29" ht="15"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row r="61" spans="1:29" ht="15"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spans="1:29" ht="15"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row>
    <row r="63" spans="1:29" ht="15"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29" ht="15"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spans="1:29" ht="15"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spans="1:29" ht="15"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spans="1:29" ht="15"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row>
    <row r="68" spans="1:29" ht="15"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row r="69" spans="1:29" ht="15"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row>
    <row r="70" spans="1:29" ht="15"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row>
    <row r="71" spans="1:29" ht="15"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row>
    <row r="72" spans="1:29" ht="15"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row>
    <row r="73" spans="1:29" ht="15"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row>
    <row r="74" spans="1:29" ht="15"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row>
    <row r="75" spans="1:29" ht="15"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row>
    <row r="76" spans="1:29" x14ac:dyDescent="0.2">
      <c r="A76" s="4"/>
      <c r="B76" s="4"/>
      <c r="C76" s="4"/>
      <c r="D76" s="4"/>
      <c r="E76" s="4"/>
      <c r="F76" s="4"/>
      <c r="G76" s="4"/>
      <c r="H76" s="4"/>
      <c r="I76" s="4"/>
      <c r="J76" s="4"/>
      <c r="K76" s="4"/>
      <c r="L76" s="4"/>
      <c r="M76" s="4"/>
      <c r="N76" s="4"/>
      <c r="O76" s="4"/>
      <c r="P76" s="4"/>
      <c r="Q76" s="4"/>
      <c r="R76" s="4"/>
      <c r="S76" s="4"/>
      <c r="T76" s="4"/>
      <c r="U76" s="4"/>
    </row>
    <row r="77" spans="1:29" x14ac:dyDescent="0.2">
      <c r="A77" s="4"/>
      <c r="B77" s="4"/>
      <c r="C77" s="4"/>
      <c r="D77" s="4"/>
      <c r="E77" s="4"/>
      <c r="F77" s="4"/>
      <c r="G77" s="4"/>
      <c r="H77" s="4"/>
      <c r="I77" s="4"/>
      <c r="J77" s="4"/>
      <c r="K77" s="4"/>
      <c r="L77" s="4"/>
      <c r="M77" s="4"/>
      <c r="N77" s="4"/>
      <c r="O77" s="4"/>
      <c r="P77" s="4"/>
      <c r="Q77" s="4"/>
      <c r="R77" s="4"/>
      <c r="S77" s="4"/>
      <c r="T77" s="4"/>
      <c r="U77" s="4"/>
    </row>
    <row r="78" spans="1:29" x14ac:dyDescent="0.2">
      <c r="A78" s="4"/>
      <c r="B78" s="4"/>
      <c r="C78" s="4"/>
      <c r="D78" s="4"/>
      <c r="E78" s="4"/>
      <c r="F78" s="4"/>
      <c r="G78" s="4"/>
      <c r="H78" s="4"/>
      <c r="I78" s="4"/>
      <c r="J78" s="4"/>
      <c r="K78" s="4"/>
      <c r="L78" s="4"/>
      <c r="M78" s="4"/>
      <c r="N78" s="4"/>
      <c r="O78" s="4"/>
      <c r="P78" s="4"/>
      <c r="Q78" s="4"/>
      <c r="R78" s="4"/>
      <c r="S78" s="4"/>
      <c r="T78" s="4"/>
      <c r="U78" s="4"/>
    </row>
    <row r="79" spans="1:29" x14ac:dyDescent="0.2">
      <c r="A79" s="4"/>
      <c r="B79" s="4"/>
      <c r="C79" s="4"/>
      <c r="D79" s="4"/>
      <c r="E79" s="4"/>
      <c r="F79" s="4"/>
      <c r="G79" s="4"/>
      <c r="H79" s="4"/>
      <c r="I79" s="4"/>
      <c r="J79" s="4"/>
      <c r="K79" s="4"/>
      <c r="L79" s="4"/>
      <c r="M79" s="4"/>
      <c r="N79" s="4"/>
      <c r="O79" s="4"/>
      <c r="P79" s="4"/>
      <c r="Q79" s="4"/>
      <c r="R79" s="4"/>
      <c r="S79" s="4"/>
      <c r="T79" s="4"/>
      <c r="U79" s="4"/>
    </row>
  </sheetData>
  <mergeCells count="6">
    <mergeCell ref="A39:C40"/>
    <mergeCell ref="A1:D1"/>
    <mergeCell ref="A2:D2"/>
    <mergeCell ref="A3:D3"/>
    <mergeCell ref="A4:D4"/>
    <mergeCell ref="A5:D5"/>
  </mergeCells>
  <conditionalFormatting sqref="C50:C51">
    <cfRule type="cellIs" dxfId="26" priority="2" stopIfTrue="1" operator="notEqual">
      <formula>"Yes"</formula>
    </cfRule>
  </conditionalFormatting>
  <conditionalFormatting sqref="B52">
    <cfRule type="cellIs" dxfId="25" priority="1" stopIfTrue="1" operator="notEqual">
      <formula>"Yes"</formula>
    </cfRule>
  </conditionalFormatting>
  <pageMargins left="0.75" right="0.75" top="0.75" bottom="0.75" header="0.5" footer="0.5"/>
  <pageSetup orientation="portrait" r:id="rId1"/>
  <headerFooter>
    <oddHeader>&amp;R&amp;12Schedule 1</oddHeader>
    <oddFooter>&amp;L&amp;12Revised:  July 2020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tabColor theme="7" tint="0.59999389629810485"/>
    <pageSetUpPr fitToPage="1"/>
  </sheetPr>
  <dimension ref="A1:AA103"/>
  <sheetViews>
    <sheetView showGridLines="0" workbookViewId="0">
      <selection activeCell="A6" sqref="A6"/>
    </sheetView>
  </sheetViews>
  <sheetFormatPr defaultRowHeight="12.75" x14ac:dyDescent="0.2"/>
  <cols>
    <col min="1" max="1" width="40.7109375" customWidth="1"/>
    <col min="2" max="4" width="14.7109375" customWidth="1"/>
    <col min="5" max="5" width="1.7109375" customWidth="1"/>
    <col min="6" max="8" width="14.7109375" customWidth="1"/>
    <col min="9" max="9" width="1.7109375" customWidth="1"/>
    <col min="10" max="12" width="14.7109375" customWidth="1"/>
  </cols>
  <sheetData>
    <row r="1" spans="1:27" ht="15.75" x14ac:dyDescent="0.25">
      <c r="A1" s="341" t="str">
        <f>'GW Net Position Exh 1'!A1</f>
        <v>Owl Charter, Inc.</v>
      </c>
      <c r="B1" s="341"/>
      <c r="C1" s="341"/>
      <c r="D1" s="341"/>
      <c r="E1" s="341"/>
      <c r="F1" s="341"/>
      <c r="G1" s="341"/>
      <c r="H1" s="341"/>
      <c r="I1" s="341"/>
      <c r="J1" s="341"/>
      <c r="K1" s="341"/>
      <c r="L1" s="341"/>
      <c r="M1" s="4"/>
      <c r="N1" s="4"/>
      <c r="O1" s="4"/>
      <c r="P1" s="4"/>
      <c r="Q1" s="4"/>
      <c r="R1" s="4"/>
      <c r="S1" s="4"/>
      <c r="T1" s="4"/>
      <c r="U1" s="4"/>
      <c r="V1" s="4"/>
      <c r="W1" s="4"/>
      <c r="X1" s="4"/>
      <c r="Y1" s="4"/>
      <c r="Z1" s="4"/>
      <c r="AA1" s="4"/>
    </row>
    <row r="2" spans="1:27" ht="15.75" x14ac:dyDescent="0.25">
      <c r="A2" s="383" t="s">
        <v>364</v>
      </c>
      <c r="B2" s="383"/>
      <c r="C2" s="383"/>
      <c r="D2" s="383"/>
      <c r="E2" s="383"/>
      <c r="F2" s="383"/>
      <c r="G2" s="383"/>
      <c r="H2" s="383"/>
      <c r="I2" s="383"/>
      <c r="J2" s="383"/>
      <c r="K2" s="383"/>
      <c r="L2" s="383"/>
      <c r="M2" s="4"/>
      <c r="N2" s="4"/>
      <c r="O2" s="4"/>
      <c r="P2" s="4"/>
      <c r="Q2" s="4"/>
      <c r="R2" s="4"/>
      <c r="S2" s="4"/>
      <c r="T2" s="4"/>
      <c r="U2" s="4"/>
      <c r="V2" s="4"/>
      <c r="W2" s="4"/>
      <c r="X2" s="4"/>
      <c r="Y2" s="4"/>
      <c r="Z2" s="4"/>
      <c r="AA2" s="4"/>
    </row>
    <row r="3" spans="1:27" ht="15.75" x14ac:dyDescent="0.25">
      <c r="A3" s="383" t="s">
        <v>251</v>
      </c>
      <c r="B3" s="383"/>
      <c r="C3" s="383"/>
      <c r="D3" s="383"/>
      <c r="E3" s="383"/>
      <c r="F3" s="383"/>
      <c r="G3" s="383"/>
      <c r="H3" s="383"/>
      <c r="I3" s="383"/>
      <c r="J3" s="383"/>
      <c r="K3" s="383"/>
      <c r="L3" s="383"/>
      <c r="M3" s="4"/>
      <c r="N3" s="4"/>
      <c r="O3" s="4"/>
      <c r="P3" s="4"/>
      <c r="Q3" s="4"/>
      <c r="R3" s="4"/>
      <c r="S3" s="4"/>
      <c r="T3" s="4"/>
      <c r="U3" s="4"/>
      <c r="V3" s="4"/>
      <c r="W3" s="4"/>
      <c r="X3" s="4"/>
      <c r="Y3" s="4"/>
      <c r="Z3" s="4"/>
      <c r="AA3" s="4"/>
    </row>
    <row r="4" spans="1:27" ht="15.75" x14ac:dyDescent="0.25">
      <c r="A4" s="383" t="s">
        <v>361</v>
      </c>
      <c r="B4" s="383"/>
      <c r="C4" s="383"/>
      <c r="D4" s="383"/>
      <c r="E4" s="383"/>
      <c r="F4" s="383"/>
      <c r="G4" s="383"/>
      <c r="H4" s="383"/>
      <c r="I4" s="383"/>
      <c r="J4" s="383"/>
      <c r="K4" s="383"/>
      <c r="L4" s="383"/>
      <c r="M4" s="4"/>
      <c r="N4" s="4"/>
      <c r="O4" s="4"/>
      <c r="P4" s="4"/>
      <c r="Q4" s="4"/>
      <c r="R4" s="4"/>
      <c r="S4" s="4"/>
      <c r="T4" s="4"/>
      <c r="U4" s="4"/>
      <c r="V4" s="4"/>
      <c r="W4" s="4"/>
      <c r="X4" s="4"/>
      <c r="Y4" s="4"/>
      <c r="Z4" s="4"/>
      <c r="AA4" s="4"/>
    </row>
    <row r="5" spans="1:27" ht="15.75" x14ac:dyDescent="0.25">
      <c r="A5" s="342" t="str">
        <f>+'GW Stmt Activities Exh 2'!A3</f>
        <v>For the Year Ended June 30, 2020</v>
      </c>
      <c r="B5" s="342"/>
      <c r="C5" s="342"/>
      <c r="D5" s="342"/>
      <c r="E5" s="342"/>
      <c r="F5" s="342"/>
      <c r="G5" s="342"/>
      <c r="H5" s="342"/>
      <c r="I5" s="342"/>
      <c r="J5" s="342"/>
      <c r="K5" s="342"/>
      <c r="L5" s="342"/>
      <c r="M5" s="4"/>
      <c r="N5" s="4"/>
      <c r="O5" s="4"/>
      <c r="P5" s="4"/>
      <c r="Q5" s="4"/>
      <c r="R5" s="4"/>
      <c r="S5" s="4"/>
      <c r="T5" s="4"/>
      <c r="U5" s="4"/>
      <c r="V5" s="4"/>
      <c r="W5" s="4"/>
      <c r="X5" s="4"/>
      <c r="Y5" s="4"/>
      <c r="Z5" s="4"/>
      <c r="AA5" s="4"/>
    </row>
    <row r="6" spans="1:27" ht="21.95" customHeight="1" x14ac:dyDescent="0.35">
      <c r="A6" s="160"/>
      <c r="B6" s="365" t="str">
        <f>'Govt Funds Bal Sh Exh 3'!C7</f>
        <v>Owl - Doceo</v>
      </c>
      <c r="C6" s="365"/>
      <c r="D6" s="365"/>
      <c r="E6" s="67"/>
      <c r="F6" s="365" t="str">
        <f>'Govt Funds Bal Sh Exh 3'!D7</f>
        <v>Owl - Erudio</v>
      </c>
      <c r="G6" s="365"/>
      <c r="H6" s="365"/>
      <c r="I6" s="67"/>
      <c r="J6" s="372" t="str">
        <f>'Govt Funds Bal Sh Exh 3'!E7</f>
        <v>Owl - Discite</v>
      </c>
      <c r="K6" s="372"/>
      <c r="L6" s="372"/>
      <c r="M6" s="24"/>
      <c r="N6" s="4"/>
      <c r="O6" s="4"/>
      <c r="P6" s="4"/>
      <c r="Q6" s="4"/>
      <c r="R6" s="4"/>
      <c r="S6" s="4"/>
      <c r="T6" s="4"/>
      <c r="U6" s="4"/>
      <c r="V6" s="4"/>
      <c r="W6" s="4"/>
      <c r="X6" s="4"/>
      <c r="Y6" s="4"/>
      <c r="Z6" s="4"/>
      <c r="AA6" s="4"/>
    </row>
    <row r="7" spans="1:27" ht="17.25" x14ac:dyDescent="0.35">
      <c r="A7" s="160"/>
      <c r="B7" s="67"/>
      <c r="C7" s="67"/>
      <c r="D7" s="67" t="s">
        <v>48</v>
      </c>
      <c r="E7" s="67"/>
      <c r="F7" s="67"/>
      <c r="G7" s="67"/>
      <c r="H7" s="67" t="s">
        <v>48</v>
      </c>
      <c r="I7" s="67"/>
      <c r="J7" s="67"/>
      <c r="K7" s="67"/>
      <c r="L7" s="67" t="s">
        <v>48</v>
      </c>
      <c r="M7" s="4"/>
      <c r="N7" s="4"/>
      <c r="O7" s="4"/>
      <c r="P7" s="4"/>
      <c r="Q7" s="4"/>
      <c r="R7" s="4"/>
      <c r="S7" s="4"/>
      <c r="T7" s="4"/>
      <c r="U7" s="4"/>
      <c r="V7" s="4"/>
      <c r="W7" s="4"/>
      <c r="X7" s="4"/>
      <c r="Y7" s="4"/>
      <c r="Z7" s="4"/>
      <c r="AA7" s="4"/>
    </row>
    <row r="8" spans="1:27" ht="34.5" x14ac:dyDescent="0.35">
      <c r="A8" s="20"/>
      <c r="B8" s="27" t="s">
        <v>248</v>
      </c>
      <c r="C8" s="27" t="s">
        <v>47</v>
      </c>
      <c r="D8" s="27" t="s">
        <v>250</v>
      </c>
      <c r="E8" s="27"/>
      <c r="F8" s="27" t="s">
        <v>248</v>
      </c>
      <c r="G8" s="27" t="s">
        <v>47</v>
      </c>
      <c r="H8" s="27" t="s">
        <v>250</v>
      </c>
      <c r="I8" s="27"/>
      <c r="J8" s="27" t="s">
        <v>248</v>
      </c>
      <c r="K8" s="27" t="s">
        <v>47</v>
      </c>
      <c r="L8" s="27" t="s">
        <v>250</v>
      </c>
      <c r="M8" s="4"/>
      <c r="N8" s="4"/>
      <c r="O8" s="4"/>
      <c r="P8" s="4"/>
      <c r="Q8" s="4"/>
      <c r="R8" s="4"/>
      <c r="S8" s="4"/>
      <c r="T8" s="4"/>
      <c r="U8" s="4"/>
      <c r="V8" s="4"/>
      <c r="W8" s="4"/>
      <c r="X8" s="4"/>
      <c r="Y8" s="4"/>
      <c r="Z8" s="4"/>
      <c r="AA8" s="4"/>
    </row>
    <row r="9" spans="1:27" ht="15.75" x14ac:dyDescent="0.25">
      <c r="A9" s="28" t="s">
        <v>233</v>
      </c>
      <c r="B9" s="20"/>
      <c r="C9" s="20"/>
      <c r="D9" s="20"/>
      <c r="E9" s="20"/>
      <c r="F9" s="20"/>
      <c r="G9" s="20"/>
      <c r="H9" s="20"/>
      <c r="I9" s="20"/>
      <c r="J9" s="20"/>
      <c r="K9" s="20"/>
      <c r="L9" s="20"/>
      <c r="M9" s="4"/>
      <c r="N9" s="4"/>
      <c r="O9" s="4"/>
      <c r="P9" s="4"/>
      <c r="Q9" s="4"/>
      <c r="R9" s="4"/>
      <c r="S9" s="4"/>
      <c r="T9" s="4"/>
      <c r="U9" s="4"/>
      <c r="V9" s="4"/>
      <c r="W9" s="4"/>
      <c r="X9" s="4"/>
      <c r="Y9" s="4"/>
      <c r="Z9" s="4"/>
      <c r="AA9" s="4"/>
    </row>
    <row r="10" spans="1:27" ht="15" hidden="1" customHeight="1" x14ac:dyDescent="0.2">
      <c r="A10" s="20" t="s">
        <v>97</v>
      </c>
      <c r="B10" s="38">
        <v>0</v>
      </c>
      <c r="C10" s="38">
        <f>'Govt Funds Inc Stmt Exh 4'!M9</f>
        <v>0</v>
      </c>
      <c r="D10" s="38">
        <f t="shared" ref="D10:D15" si="0">C10-B10</f>
        <v>0</v>
      </c>
      <c r="E10" s="38"/>
      <c r="F10" s="38">
        <v>0</v>
      </c>
      <c r="G10" s="38">
        <f>'Govt Funds Inc Stmt Exh 4'!N9</f>
        <v>0</v>
      </c>
      <c r="H10" s="38">
        <f t="shared" ref="H10:H15" si="1">G10-F10</f>
        <v>0</v>
      </c>
      <c r="I10" s="38"/>
      <c r="J10" s="38">
        <v>0</v>
      </c>
      <c r="K10" s="38">
        <f>'Govt Funds Inc Stmt Exh 4'!O9</f>
        <v>0</v>
      </c>
      <c r="L10" s="38">
        <f t="shared" ref="L10:L15" si="2">K10-J10</f>
        <v>0</v>
      </c>
      <c r="M10" s="4"/>
      <c r="N10" s="4"/>
      <c r="O10" s="4"/>
      <c r="P10" s="4"/>
      <c r="Q10" s="4"/>
      <c r="R10" s="4"/>
      <c r="S10" s="4"/>
      <c r="T10" s="4"/>
      <c r="U10" s="4"/>
      <c r="V10" s="4"/>
      <c r="W10" s="4"/>
      <c r="X10" s="4"/>
      <c r="Y10" s="4"/>
      <c r="Z10" s="4"/>
      <c r="AA10" s="4"/>
    </row>
    <row r="11" spans="1:27" ht="15" x14ac:dyDescent="0.2">
      <c r="A11" s="30" t="s">
        <v>98</v>
      </c>
      <c r="B11" s="38">
        <v>425000</v>
      </c>
      <c r="C11" s="38">
        <f>'Govt Funds Inc Stmt Exh 4'!M10</f>
        <v>405332</v>
      </c>
      <c r="D11" s="38">
        <f t="shared" si="0"/>
        <v>-19668</v>
      </c>
      <c r="E11" s="38"/>
      <c r="F11" s="38">
        <v>450000</v>
      </c>
      <c r="G11" s="38">
        <f>'Govt Funds Inc Stmt Exh 4'!N10</f>
        <v>479029</v>
      </c>
      <c r="H11" s="38">
        <f t="shared" si="1"/>
        <v>29029</v>
      </c>
      <c r="I11" s="38"/>
      <c r="J11" s="38">
        <v>350000</v>
      </c>
      <c r="K11" s="38">
        <f>'Govt Funds Inc Stmt Exh 4'!O10</f>
        <v>343918</v>
      </c>
      <c r="L11" s="38">
        <f t="shared" si="2"/>
        <v>-6082</v>
      </c>
      <c r="M11" s="4"/>
      <c r="N11" s="4"/>
      <c r="O11" s="4"/>
      <c r="P11" s="4"/>
      <c r="Q11" s="4"/>
      <c r="R11" s="4"/>
      <c r="S11" s="4"/>
      <c r="T11" s="4"/>
      <c r="U11" s="4"/>
      <c r="V11" s="4"/>
      <c r="W11" s="4"/>
      <c r="X11" s="4"/>
      <c r="Y11" s="4"/>
      <c r="Z11" s="4"/>
      <c r="AA11" s="4"/>
    </row>
    <row r="12" spans="1:27" ht="15" hidden="1" x14ac:dyDescent="0.2">
      <c r="A12" s="20" t="s">
        <v>99</v>
      </c>
      <c r="B12" s="125">
        <v>0</v>
      </c>
      <c r="C12" s="125">
        <f>'Govt Funds Inc Stmt Exh 4'!M11</f>
        <v>0</v>
      </c>
      <c r="D12" s="125">
        <f t="shared" si="0"/>
        <v>0</v>
      </c>
      <c r="E12" s="125"/>
      <c r="F12" s="125">
        <v>0</v>
      </c>
      <c r="G12" s="125">
        <f>'Govt Funds Inc Stmt Exh 4'!N11</f>
        <v>0</v>
      </c>
      <c r="H12" s="125">
        <f t="shared" si="1"/>
        <v>0</v>
      </c>
      <c r="I12" s="125"/>
      <c r="J12" s="125">
        <v>0</v>
      </c>
      <c r="K12" s="125">
        <f>'Govt Funds Inc Stmt Exh 4'!O11</f>
        <v>0</v>
      </c>
      <c r="L12" s="125">
        <f t="shared" si="2"/>
        <v>0</v>
      </c>
      <c r="M12" s="4"/>
      <c r="N12" s="4"/>
      <c r="O12" s="4"/>
      <c r="P12" s="4"/>
      <c r="Q12" s="4"/>
      <c r="R12" s="4"/>
      <c r="S12" s="4"/>
      <c r="T12" s="4"/>
      <c r="U12" s="4"/>
      <c r="V12" s="4"/>
      <c r="W12" s="4"/>
      <c r="X12" s="4"/>
      <c r="Y12" s="4"/>
      <c r="Z12" s="4"/>
      <c r="AA12" s="4"/>
    </row>
    <row r="13" spans="1:27" ht="15" x14ac:dyDescent="0.2">
      <c r="A13" s="20" t="s">
        <v>100</v>
      </c>
      <c r="B13" s="125">
        <v>100000</v>
      </c>
      <c r="C13" s="125">
        <f>'Govt Funds Inc Stmt Exh 4'!M12</f>
        <v>100468</v>
      </c>
      <c r="D13" s="125">
        <f t="shared" si="0"/>
        <v>468</v>
      </c>
      <c r="E13" s="125"/>
      <c r="F13" s="125">
        <v>125000</v>
      </c>
      <c r="G13" s="125">
        <f>'Govt Funds Inc Stmt Exh 4'!N12</f>
        <v>118735</v>
      </c>
      <c r="H13" s="125">
        <f t="shared" si="1"/>
        <v>-6265</v>
      </c>
      <c r="I13" s="125"/>
      <c r="J13" s="125">
        <v>90000</v>
      </c>
      <c r="K13" s="125">
        <f>'Govt Funds Inc Stmt Exh 4'!O12</f>
        <v>85245</v>
      </c>
      <c r="L13" s="125">
        <f t="shared" si="2"/>
        <v>-4755</v>
      </c>
      <c r="M13" s="4"/>
      <c r="N13" s="4"/>
      <c r="O13" s="4"/>
      <c r="P13" s="4"/>
      <c r="Q13" s="4"/>
      <c r="R13" s="4"/>
      <c r="S13" s="4"/>
      <c r="T13" s="4"/>
      <c r="U13" s="4"/>
      <c r="V13" s="4"/>
      <c r="W13" s="4"/>
      <c r="X13" s="4"/>
      <c r="Y13" s="4"/>
      <c r="Z13" s="4"/>
      <c r="AA13" s="4"/>
    </row>
    <row r="14" spans="1:27" ht="18" customHeight="1" x14ac:dyDescent="0.35">
      <c r="A14" s="20" t="s">
        <v>91</v>
      </c>
      <c r="B14" s="161">
        <v>25000</v>
      </c>
      <c r="C14" s="161">
        <f>'Govt Funds Inc Stmt Exh 4'!M13</f>
        <v>26822</v>
      </c>
      <c r="D14" s="161">
        <f t="shared" si="0"/>
        <v>1822</v>
      </c>
      <c r="E14" s="161"/>
      <c r="F14" s="161">
        <v>25000</v>
      </c>
      <c r="G14" s="161">
        <f>'Govt Funds Inc Stmt Exh 4'!N13</f>
        <v>31699</v>
      </c>
      <c r="H14" s="161">
        <f t="shared" si="1"/>
        <v>6699</v>
      </c>
      <c r="I14" s="161"/>
      <c r="J14" s="161">
        <v>10000</v>
      </c>
      <c r="K14" s="161">
        <f>'Govt Funds Inc Stmt Exh 4'!O13</f>
        <v>22758</v>
      </c>
      <c r="L14" s="161">
        <f t="shared" si="2"/>
        <v>12758</v>
      </c>
      <c r="M14" s="4"/>
      <c r="N14" s="4"/>
      <c r="O14" s="4"/>
      <c r="P14" s="4"/>
      <c r="Q14" s="4"/>
      <c r="R14" s="4"/>
      <c r="S14" s="4"/>
      <c r="T14" s="4"/>
      <c r="U14" s="4"/>
      <c r="V14" s="4"/>
      <c r="W14" s="4"/>
      <c r="X14" s="4"/>
      <c r="Y14" s="4"/>
      <c r="Z14" s="4"/>
      <c r="AA14" s="4"/>
    </row>
    <row r="15" spans="1:27" ht="20.100000000000001" customHeight="1" x14ac:dyDescent="0.35">
      <c r="A15" s="36" t="s">
        <v>13</v>
      </c>
      <c r="B15" s="41">
        <f>SUM(B10:B14)</f>
        <v>550000</v>
      </c>
      <c r="C15" s="41">
        <f>SUM(C10:C14)</f>
        <v>532622</v>
      </c>
      <c r="D15" s="161">
        <f t="shared" si="0"/>
        <v>-17378</v>
      </c>
      <c r="E15" s="161"/>
      <c r="F15" s="41">
        <f>SUM(F10:F14)</f>
        <v>600000</v>
      </c>
      <c r="G15" s="41">
        <f>SUM(G10:G14)</f>
        <v>629463</v>
      </c>
      <c r="H15" s="161">
        <f t="shared" si="1"/>
        <v>29463</v>
      </c>
      <c r="I15" s="161"/>
      <c r="J15" s="41">
        <f>SUM(J10:J14)</f>
        <v>450000</v>
      </c>
      <c r="K15" s="41">
        <f>SUM(K10:K14)</f>
        <v>451921</v>
      </c>
      <c r="L15" s="161">
        <f t="shared" si="2"/>
        <v>1921</v>
      </c>
      <c r="M15" s="4"/>
      <c r="N15" s="4"/>
      <c r="O15" s="4"/>
      <c r="P15" s="4"/>
      <c r="Q15" s="4"/>
      <c r="R15" s="4"/>
      <c r="S15" s="4"/>
      <c r="T15" s="4"/>
      <c r="U15" s="4"/>
      <c r="V15" s="4"/>
      <c r="W15" s="4"/>
      <c r="X15" s="4"/>
      <c r="Y15" s="4"/>
      <c r="Z15" s="4"/>
      <c r="AA15" s="4"/>
    </row>
    <row r="16" spans="1:27" ht="21.95" customHeight="1" x14ac:dyDescent="0.25">
      <c r="A16" s="28" t="s">
        <v>234</v>
      </c>
      <c r="B16" s="31"/>
      <c r="C16" s="31"/>
      <c r="D16" s="31"/>
      <c r="E16" s="31"/>
      <c r="F16" s="31"/>
      <c r="G16" s="31"/>
      <c r="H16" s="31"/>
      <c r="I16" s="31"/>
      <c r="J16" s="31"/>
      <c r="K16" s="31"/>
      <c r="L16" s="31"/>
      <c r="M16" s="4"/>
      <c r="N16" s="4"/>
      <c r="O16" s="4"/>
      <c r="P16" s="4"/>
      <c r="Q16" s="4"/>
      <c r="R16" s="4"/>
      <c r="S16" s="4"/>
      <c r="T16" s="4"/>
      <c r="U16" s="4"/>
      <c r="V16" s="4"/>
      <c r="W16" s="4"/>
      <c r="X16" s="4"/>
      <c r="Y16" s="4"/>
      <c r="Z16" s="4"/>
      <c r="AA16" s="4"/>
    </row>
    <row r="17" spans="1:27" ht="18" customHeight="1" x14ac:dyDescent="0.25">
      <c r="A17" s="28" t="s">
        <v>280</v>
      </c>
      <c r="B17" s="31"/>
      <c r="C17" s="31"/>
      <c r="D17" s="31"/>
      <c r="E17" s="31"/>
      <c r="F17" s="31"/>
      <c r="G17" s="31"/>
      <c r="H17" s="31"/>
      <c r="I17" s="31"/>
      <c r="J17" s="31"/>
      <c r="K17" s="31"/>
      <c r="L17" s="31"/>
      <c r="M17" s="4"/>
      <c r="N17" s="4"/>
      <c r="O17" s="4"/>
      <c r="P17" s="4"/>
      <c r="Q17" s="4"/>
      <c r="R17" s="4"/>
      <c r="S17" s="4"/>
      <c r="T17" s="4"/>
      <c r="U17" s="4"/>
      <c r="V17" s="4"/>
      <c r="W17" s="4"/>
      <c r="X17" s="4"/>
      <c r="Y17" s="4"/>
      <c r="Z17" s="4"/>
      <c r="AA17" s="4"/>
    </row>
    <row r="18" spans="1:27" ht="15" x14ac:dyDescent="0.2">
      <c r="A18" s="70" t="s">
        <v>143</v>
      </c>
      <c r="B18" s="125">
        <v>375000</v>
      </c>
      <c r="C18" s="125">
        <f>'Govt Funds Inc Stmt Exh 4'!M17</f>
        <v>356406</v>
      </c>
      <c r="D18" s="125">
        <f>+B18-C18</f>
        <v>18594</v>
      </c>
      <c r="E18" s="125"/>
      <c r="F18" s="125">
        <v>400000</v>
      </c>
      <c r="G18" s="125">
        <f>'Govt Funds Inc Stmt Exh 4'!N17</f>
        <v>420427</v>
      </c>
      <c r="H18" s="125">
        <f>+F18-G18</f>
        <v>-20427</v>
      </c>
      <c r="I18" s="125"/>
      <c r="J18" s="125">
        <v>250000</v>
      </c>
      <c r="K18" s="125">
        <f>'Govt Funds Inc Stmt Exh 4'!O17</f>
        <v>302403</v>
      </c>
      <c r="L18" s="125">
        <f>+J18-K18</f>
        <v>-52403</v>
      </c>
      <c r="M18" s="4"/>
      <c r="N18" s="4"/>
      <c r="O18" s="4"/>
      <c r="P18" s="4"/>
      <c r="Q18" s="4"/>
      <c r="R18" s="4"/>
      <c r="S18" s="4"/>
      <c r="T18" s="4"/>
      <c r="U18" s="4"/>
      <c r="V18" s="4"/>
      <c r="W18" s="4"/>
      <c r="X18" s="4"/>
      <c r="Y18" s="4"/>
      <c r="Z18" s="4"/>
      <c r="AA18" s="4"/>
    </row>
    <row r="19" spans="1:27" ht="15" x14ac:dyDescent="0.2">
      <c r="A19" s="70" t="s">
        <v>155</v>
      </c>
      <c r="B19" s="125">
        <v>80000</v>
      </c>
      <c r="C19" s="125">
        <f>'Govt Funds Inc Stmt Exh 4'!M18</f>
        <v>83345</v>
      </c>
      <c r="D19" s="125">
        <f>+B19-C19</f>
        <v>-3345</v>
      </c>
      <c r="E19" s="125"/>
      <c r="F19" s="125">
        <v>100000</v>
      </c>
      <c r="G19" s="125">
        <f>'Govt Funds Inc Stmt Exh 4'!N18</f>
        <v>98499</v>
      </c>
      <c r="H19" s="125">
        <f>+F19-G19</f>
        <v>1501</v>
      </c>
      <c r="I19" s="125"/>
      <c r="J19" s="125">
        <v>0</v>
      </c>
      <c r="K19" s="125">
        <f>'Govt Funds Inc Stmt Exh 4'!O18</f>
        <v>70718</v>
      </c>
      <c r="L19" s="125">
        <f>+J19-K19</f>
        <v>-70718</v>
      </c>
      <c r="M19" s="4"/>
      <c r="N19" s="4"/>
      <c r="O19" s="4"/>
      <c r="P19" s="4"/>
      <c r="Q19" s="4"/>
      <c r="R19" s="4"/>
      <c r="S19" s="4"/>
      <c r="T19" s="4"/>
      <c r="U19" s="4"/>
      <c r="V19" s="4"/>
      <c r="W19" s="4"/>
      <c r="X19" s="4"/>
      <c r="Y19" s="4"/>
      <c r="Z19" s="4"/>
      <c r="AA19" s="4"/>
    </row>
    <row r="20" spans="1:27" ht="15" hidden="1" x14ac:dyDescent="0.2">
      <c r="A20" s="70" t="s">
        <v>238</v>
      </c>
      <c r="B20" s="125">
        <v>0</v>
      </c>
      <c r="C20" s="125">
        <f>'Govt Funds Inc Stmt Exh 4'!M19</f>
        <v>0</v>
      </c>
      <c r="D20" s="125">
        <f>+B20-C20</f>
        <v>0</v>
      </c>
      <c r="E20" s="125"/>
      <c r="F20" s="125">
        <v>0</v>
      </c>
      <c r="G20" s="125">
        <f>'Govt Funds Inc Stmt Exh 4'!N19</f>
        <v>0</v>
      </c>
      <c r="H20" s="125">
        <f>+F20-G20</f>
        <v>0</v>
      </c>
      <c r="I20" s="125"/>
      <c r="J20" s="125">
        <v>0</v>
      </c>
      <c r="K20" s="125">
        <f>'Govt Funds Inc Stmt Exh 4'!O19</f>
        <v>0</v>
      </c>
      <c r="L20" s="125">
        <f>+J20-K20</f>
        <v>0</v>
      </c>
      <c r="M20" s="4"/>
      <c r="N20" s="4"/>
      <c r="O20" s="4"/>
      <c r="P20" s="4"/>
      <c r="Q20" s="4"/>
      <c r="R20" s="4"/>
      <c r="S20" s="4"/>
      <c r="T20" s="4"/>
      <c r="U20" s="4"/>
      <c r="V20" s="4"/>
      <c r="W20" s="4"/>
      <c r="X20" s="4"/>
      <c r="Y20" s="4"/>
      <c r="Z20" s="4"/>
      <c r="AA20" s="4"/>
    </row>
    <row r="21" spans="1:27" ht="18" customHeight="1" x14ac:dyDescent="0.25">
      <c r="A21" s="28" t="s">
        <v>17</v>
      </c>
      <c r="B21" s="125">
        <v>250000</v>
      </c>
      <c r="C21" s="125">
        <f>'Govt Funds Inc Stmt Exh 4'!M20</f>
        <v>247500</v>
      </c>
      <c r="D21" s="125">
        <f>+B21-C21</f>
        <v>2500</v>
      </c>
      <c r="E21" s="125"/>
      <c r="F21" s="125">
        <v>300000</v>
      </c>
      <c r="G21" s="125">
        <f>'Govt Funds Inc Stmt Exh 4'!N20</f>
        <v>292500</v>
      </c>
      <c r="H21" s="125">
        <f>+F21-G21</f>
        <v>7500</v>
      </c>
      <c r="I21" s="125"/>
      <c r="J21" s="125">
        <v>200000</v>
      </c>
      <c r="K21" s="125">
        <f>'Govt Funds Inc Stmt Exh 4'!O20</f>
        <v>210000</v>
      </c>
      <c r="L21" s="125">
        <f>+J21-K21</f>
        <v>-10000</v>
      </c>
      <c r="M21" s="4"/>
      <c r="N21" s="4"/>
      <c r="O21" s="4"/>
      <c r="P21" s="4"/>
      <c r="Q21" s="4"/>
      <c r="R21" s="4"/>
      <c r="S21" s="4"/>
      <c r="T21" s="4"/>
      <c r="U21" s="4"/>
      <c r="V21" s="4"/>
      <c r="W21" s="4"/>
      <c r="X21" s="4"/>
      <c r="Y21" s="4"/>
      <c r="Z21" s="4"/>
      <c r="AA21" s="4"/>
    </row>
    <row r="22" spans="1:27" ht="18" customHeight="1" x14ac:dyDescent="0.25">
      <c r="A22" s="28" t="s">
        <v>281</v>
      </c>
      <c r="B22" s="125"/>
      <c r="C22" s="125"/>
      <c r="D22" s="125"/>
      <c r="E22" s="125"/>
      <c r="F22" s="125"/>
      <c r="G22" s="125"/>
      <c r="H22" s="125"/>
      <c r="I22" s="125"/>
      <c r="J22" s="125"/>
      <c r="K22" s="125"/>
      <c r="L22" s="125"/>
      <c r="M22" s="4"/>
      <c r="N22" s="4"/>
      <c r="O22" s="4"/>
      <c r="P22" s="4"/>
      <c r="Q22" s="4"/>
      <c r="R22" s="4"/>
      <c r="S22" s="4"/>
      <c r="T22" s="4"/>
      <c r="U22" s="4"/>
      <c r="V22" s="4"/>
      <c r="W22" s="4"/>
      <c r="X22" s="4"/>
      <c r="Y22" s="4"/>
      <c r="Z22" s="4"/>
      <c r="AA22" s="4"/>
    </row>
    <row r="23" spans="1:27" ht="15" x14ac:dyDescent="0.2">
      <c r="A23" s="36" t="s">
        <v>15</v>
      </c>
      <c r="B23" s="125">
        <v>58000</v>
      </c>
      <c r="C23" s="125">
        <f>'Govt Funds Inc Stmt Exh 4'!M22</f>
        <v>57090</v>
      </c>
      <c r="D23" s="125">
        <f>+B23-C23</f>
        <v>910</v>
      </c>
      <c r="E23" s="125"/>
      <c r="F23" s="125">
        <v>70000</v>
      </c>
      <c r="G23" s="125">
        <f>'Govt Funds Inc Stmt Exh 4'!N22</f>
        <v>67470</v>
      </c>
      <c r="H23" s="125">
        <f>+F23-G23</f>
        <v>2530</v>
      </c>
      <c r="I23" s="125"/>
      <c r="J23" s="125">
        <v>0</v>
      </c>
      <c r="K23" s="125">
        <f>'Govt Funds Inc Stmt Exh 4'!O22</f>
        <v>48440</v>
      </c>
      <c r="L23" s="125">
        <f>+J23-K23</f>
        <v>-48440</v>
      </c>
      <c r="M23" s="4"/>
      <c r="N23" s="4"/>
      <c r="O23" s="4"/>
      <c r="P23" s="4"/>
      <c r="Q23" s="4"/>
      <c r="R23" s="4"/>
      <c r="S23" s="4"/>
      <c r="T23" s="4"/>
      <c r="U23" s="4"/>
      <c r="V23" s="4"/>
      <c r="W23" s="4"/>
      <c r="X23" s="4"/>
      <c r="Y23" s="4"/>
      <c r="Z23" s="4"/>
      <c r="AA23" s="4"/>
    </row>
    <row r="24" spans="1:27" ht="18" customHeight="1" x14ac:dyDescent="0.35">
      <c r="A24" s="36" t="s">
        <v>16</v>
      </c>
      <c r="B24" s="161">
        <v>80000</v>
      </c>
      <c r="C24" s="161">
        <f>'Govt Funds Inc Stmt Exh 4'!M23</f>
        <v>79328</v>
      </c>
      <c r="D24" s="161">
        <f>+B24-C24</f>
        <v>672</v>
      </c>
      <c r="E24" s="161"/>
      <c r="F24" s="161">
        <v>95000</v>
      </c>
      <c r="G24" s="161">
        <f>'Govt Funds Inc Stmt Exh 4'!N23</f>
        <v>94531</v>
      </c>
      <c r="H24" s="161">
        <f>+F24-G24</f>
        <v>469</v>
      </c>
      <c r="I24" s="161"/>
      <c r="J24" s="161">
        <v>0</v>
      </c>
      <c r="K24" s="161">
        <f>'Govt Funds Inc Stmt Exh 4'!O23</f>
        <v>67308</v>
      </c>
      <c r="L24" s="161">
        <f>+J24-K24</f>
        <v>-67308</v>
      </c>
      <c r="M24" s="4"/>
      <c r="N24" s="4"/>
      <c r="O24" s="4"/>
      <c r="P24" s="4"/>
      <c r="Q24" s="4"/>
      <c r="R24" s="4"/>
      <c r="S24" s="4"/>
      <c r="T24" s="4"/>
      <c r="U24" s="4"/>
      <c r="V24" s="4"/>
      <c r="W24" s="4"/>
      <c r="X24" s="4"/>
      <c r="Y24" s="4"/>
      <c r="Z24" s="4"/>
      <c r="AA24" s="4"/>
    </row>
    <row r="25" spans="1:27" ht="20.100000000000001" customHeight="1" x14ac:dyDescent="0.35">
      <c r="A25" s="73" t="s">
        <v>18</v>
      </c>
      <c r="B25" s="41">
        <f>SUM(B18:B24)</f>
        <v>843000</v>
      </c>
      <c r="C25" s="41">
        <f>SUM(C18:C24)</f>
        <v>823669</v>
      </c>
      <c r="D25" s="161">
        <f>B25-C25</f>
        <v>19331</v>
      </c>
      <c r="E25" s="161"/>
      <c r="F25" s="41">
        <f>SUM(F18:F24)</f>
        <v>965000</v>
      </c>
      <c r="G25" s="41">
        <f>SUM(G18:G24)</f>
        <v>973427</v>
      </c>
      <c r="H25" s="161">
        <f>F25-G25</f>
        <v>-8427</v>
      </c>
      <c r="I25" s="161"/>
      <c r="J25" s="41">
        <f>SUM(J18:J24)</f>
        <v>450000</v>
      </c>
      <c r="K25" s="41">
        <f>SUM(K18:K24)</f>
        <v>698869</v>
      </c>
      <c r="L25" s="161">
        <f>J25-K25</f>
        <v>-248869</v>
      </c>
      <c r="M25" s="4"/>
      <c r="N25" s="4"/>
      <c r="O25" s="4"/>
      <c r="P25" s="4"/>
      <c r="Q25" s="4"/>
      <c r="R25" s="4"/>
      <c r="S25" s="4"/>
      <c r="T25" s="4"/>
      <c r="U25" s="4"/>
      <c r="V25" s="4"/>
      <c r="W25" s="4"/>
      <c r="X25" s="4"/>
      <c r="Y25" s="4"/>
      <c r="Z25" s="4"/>
      <c r="AA25" s="4"/>
    </row>
    <row r="26" spans="1:27" ht="38.1" customHeight="1" x14ac:dyDescent="0.35">
      <c r="A26" s="74" t="s">
        <v>190</v>
      </c>
      <c r="B26" s="41">
        <f>+B15-B25</f>
        <v>-293000</v>
      </c>
      <c r="C26" s="41">
        <f>+C15-C25</f>
        <v>-291047</v>
      </c>
      <c r="D26" s="41">
        <f>IF(C26&lt;=0,+C26-B26,IF(B26-C26,C26-B26))</f>
        <v>1953</v>
      </c>
      <c r="E26" s="41"/>
      <c r="F26" s="41">
        <f>+F15-F25</f>
        <v>-365000</v>
      </c>
      <c r="G26" s="41">
        <f>+G15-G25</f>
        <v>-343964</v>
      </c>
      <c r="H26" s="41">
        <f>IF(G26&lt;=0,+G26-F26,IF(F26-G26,G26-F26))</f>
        <v>21036</v>
      </c>
      <c r="I26" s="41"/>
      <c r="J26" s="41">
        <f>+J15-J25</f>
        <v>0</v>
      </c>
      <c r="K26" s="41">
        <f>+K15-K25</f>
        <v>-246948</v>
      </c>
      <c r="L26" s="41">
        <f>IF(K26&lt;=0,+K26-J26,IF(J26-K26,K26-J26))</f>
        <v>-246948</v>
      </c>
      <c r="M26" s="88"/>
      <c r="N26" s="4"/>
      <c r="O26" s="4"/>
      <c r="P26" s="4"/>
      <c r="Q26" s="4"/>
      <c r="R26" s="4"/>
      <c r="S26" s="4"/>
      <c r="T26" s="4"/>
      <c r="U26" s="4"/>
      <c r="V26" s="4"/>
      <c r="W26" s="4"/>
      <c r="X26" s="4"/>
      <c r="Y26" s="4"/>
      <c r="Z26" s="4"/>
      <c r="AA26" s="4"/>
    </row>
    <row r="27" spans="1:27" ht="20.100000000000001" customHeight="1" x14ac:dyDescent="0.25">
      <c r="A27" s="28" t="s">
        <v>235</v>
      </c>
      <c r="B27" s="31"/>
      <c r="C27" s="31"/>
      <c r="D27" s="31"/>
      <c r="E27" s="31"/>
      <c r="F27" s="31"/>
      <c r="G27" s="31"/>
      <c r="H27" s="31"/>
      <c r="I27" s="31"/>
      <c r="J27" s="31"/>
      <c r="K27" s="31"/>
      <c r="L27" s="31"/>
      <c r="M27" s="4"/>
      <c r="N27" s="4"/>
      <c r="O27" s="4"/>
      <c r="P27" s="4"/>
      <c r="Q27" s="4"/>
      <c r="R27" s="4"/>
      <c r="S27" s="4"/>
      <c r="T27" s="4"/>
      <c r="U27" s="4"/>
      <c r="V27" s="4"/>
      <c r="W27" s="4"/>
      <c r="X27" s="4"/>
      <c r="Y27" s="4"/>
      <c r="Z27" s="4"/>
      <c r="AA27" s="4"/>
    </row>
    <row r="28" spans="1:27" ht="15" customHeight="1" x14ac:dyDescent="0.2">
      <c r="A28" s="39" t="s">
        <v>83</v>
      </c>
      <c r="B28" s="125">
        <v>293000</v>
      </c>
      <c r="C28" s="125">
        <f>'Govt Funds Inc Stmt Exh 4'!M27</f>
        <v>0</v>
      </c>
      <c r="D28" s="125">
        <f>C28-B28</f>
        <v>-293000</v>
      </c>
      <c r="E28" s="125"/>
      <c r="F28" s="125">
        <v>365000</v>
      </c>
      <c r="G28" s="125">
        <f>'Govt Funds Inc Stmt Exh 4'!N27</f>
        <v>0</v>
      </c>
      <c r="H28" s="125">
        <f>G28-F28</f>
        <v>-365000</v>
      </c>
      <c r="I28" s="125"/>
      <c r="J28" s="125">
        <v>0</v>
      </c>
      <c r="K28" s="125">
        <f>'Govt Funds Inc Stmt Exh 4'!O27</f>
        <v>0</v>
      </c>
      <c r="L28" s="125">
        <f>K28-J28</f>
        <v>0</v>
      </c>
      <c r="M28" s="4"/>
      <c r="N28" s="4"/>
      <c r="O28" s="4"/>
      <c r="P28" s="4"/>
      <c r="Q28" s="4"/>
      <c r="R28" s="4"/>
      <c r="S28" s="4"/>
      <c r="T28" s="4"/>
      <c r="U28" s="4"/>
      <c r="V28" s="4"/>
      <c r="W28" s="4"/>
      <c r="X28" s="4"/>
      <c r="Y28" s="4"/>
      <c r="Z28" s="4"/>
      <c r="AA28" s="4"/>
    </row>
    <row r="29" spans="1:27" ht="15" hidden="1" customHeight="1" x14ac:dyDescent="0.2">
      <c r="A29" s="39" t="s">
        <v>84</v>
      </c>
      <c r="B29" s="125">
        <v>0</v>
      </c>
      <c r="C29" s="125">
        <f>'Govt Funds Inc Stmt Exh 4'!M28</f>
        <v>0</v>
      </c>
      <c r="D29" s="125">
        <f>+B29-C29</f>
        <v>0</v>
      </c>
      <c r="E29" s="125"/>
      <c r="F29" s="125">
        <v>0</v>
      </c>
      <c r="G29" s="125">
        <f>'Govt Funds Inc Stmt Exh 4'!N28</f>
        <v>0</v>
      </c>
      <c r="H29" s="125">
        <f>+F29-G29</f>
        <v>0</v>
      </c>
      <c r="I29" s="125"/>
      <c r="J29" s="125">
        <v>0</v>
      </c>
      <c r="K29" s="125">
        <f>'Govt Funds Inc Stmt Exh 4'!O28</f>
        <v>0</v>
      </c>
      <c r="L29" s="125">
        <f>+J29-K29</f>
        <v>0</v>
      </c>
      <c r="M29" s="4"/>
      <c r="N29" s="4"/>
      <c r="O29" s="4"/>
      <c r="P29" s="4"/>
      <c r="Q29" s="4"/>
      <c r="R29" s="4"/>
      <c r="S29" s="4"/>
      <c r="T29" s="4"/>
      <c r="U29" s="4"/>
      <c r="V29" s="4"/>
      <c r="W29" s="4"/>
      <c r="X29" s="4"/>
      <c r="Y29" s="4"/>
      <c r="Z29" s="4"/>
      <c r="AA29" s="4"/>
    </row>
    <row r="30" spans="1:27" ht="15" customHeight="1" x14ac:dyDescent="0.2">
      <c r="A30" s="56" t="s">
        <v>148</v>
      </c>
      <c r="B30" s="125">
        <v>0</v>
      </c>
      <c r="C30" s="125">
        <f>'Govt Funds Inc Stmt Exh 4'!M29</f>
        <v>33000</v>
      </c>
      <c r="D30" s="125">
        <f>C30-B30</f>
        <v>33000</v>
      </c>
      <c r="E30" s="125"/>
      <c r="F30" s="125">
        <v>0</v>
      </c>
      <c r="G30" s="125">
        <f>'Govt Funds Inc Stmt Exh 4'!N29</f>
        <v>39000</v>
      </c>
      <c r="H30" s="125">
        <f>G30-F30</f>
        <v>39000</v>
      </c>
      <c r="I30" s="125"/>
      <c r="J30" s="125">
        <v>0</v>
      </c>
      <c r="K30" s="125">
        <f>'Govt Funds Inc Stmt Exh 4'!O29</f>
        <v>28000</v>
      </c>
      <c r="L30" s="125">
        <f>K30-J30</f>
        <v>28000</v>
      </c>
      <c r="M30" s="4"/>
      <c r="N30" s="4"/>
      <c r="O30" s="4"/>
      <c r="P30" s="4"/>
      <c r="Q30" s="4"/>
      <c r="R30" s="4"/>
      <c r="S30" s="4"/>
      <c r="T30" s="4"/>
      <c r="U30" s="4"/>
      <c r="V30" s="4"/>
      <c r="W30" s="4"/>
      <c r="X30" s="4"/>
      <c r="Y30" s="4"/>
      <c r="Z30" s="4"/>
      <c r="AA30" s="4"/>
    </row>
    <row r="31" spans="1:27" ht="18" customHeight="1" x14ac:dyDescent="0.35">
      <c r="A31" s="56" t="s">
        <v>124</v>
      </c>
      <c r="B31" s="161">
        <v>0</v>
      </c>
      <c r="C31" s="161">
        <f>'Govt Funds Inc Stmt Exh 4'!M30</f>
        <v>214500</v>
      </c>
      <c r="D31" s="161">
        <f>C31-B31</f>
        <v>214500</v>
      </c>
      <c r="E31" s="161"/>
      <c r="F31" s="161">
        <v>0</v>
      </c>
      <c r="G31" s="161">
        <f>'Govt Funds Inc Stmt Exh 4'!N30</f>
        <v>253500</v>
      </c>
      <c r="H31" s="161">
        <f>G31-F31</f>
        <v>253500</v>
      </c>
      <c r="I31" s="161"/>
      <c r="J31" s="161">
        <v>0</v>
      </c>
      <c r="K31" s="161">
        <f>'Govt Funds Inc Stmt Exh 4'!O30</f>
        <v>182000</v>
      </c>
      <c r="L31" s="161">
        <f>K31-J31</f>
        <v>182000</v>
      </c>
      <c r="M31" s="4"/>
      <c r="N31" s="4"/>
      <c r="O31" s="4"/>
      <c r="P31" s="4"/>
      <c r="Q31" s="4"/>
      <c r="R31" s="4"/>
      <c r="S31" s="4"/>
      <c r="T31" s="4"/>
      <c r="U31" s="4"/>
      <c r="V31" s="4"/>
      <c r="W31" s="4"/>
      <c r="X31" s="4"/>
      <c r="Y31" s="4"/>
      <c r="Z31" s="4"/>
      <c r="AA31" s="4"/>
    </row>
    <row r="32" spans="1:27" ht="20.100000000000001" customHeight="1" x14ac:dyDescent="0.35">
      <c r="A32" s="75" t="s">
        <v>222</v>
      </c>
      <c r="B32" s="41">
        <f t="shared" ref="B32:L32" si="3">SUM(B28:B31)</f>
        <v>293000</v>
      </c>
      <c r="C32" s="41">
        <f t="shared" si="3"/>
        <v>247500</v>
      </c>
      <c r="D32" s="41">
        <f t="shared" si="3"/>
        <v>-45500</v>
      </c>
      <c r="E32" s="41"/>
      <c r="F32" s="41">
        <f t="shared" si="3"/>
        <v>365000</v>
      </c>
      <c r="G32" s="41">
        <f>SUM(G28:G31)</f>
        <v>292500</v>
      </c>
      <c r="H32" s="41">
        <f t="shared" si="3"/>
        <v>-72500</v>
      </c>
      <c r="I32" s="41"/>
      <c r="J32" s="41">
        <f t="shared" si="3"/>
        <v>0</v>
      </c>
      <c r="K32" s="41">
        <f t="shared" si="3"/>
        <v>210000</v>
      </c>
      <c r="L32" s="41">
        <f t="shared" si="3"/>
        <v>210000</v>
      </c>
      <c r="M32" s="4"/>
      <c r="N32" s="4"/>
      <c r="O32" s="4"/>
      <c r="P32" s="4"/>
      <c r="Q32" s="4"/>
      <c r="R32" s="4"/>
      <c r="S32" s="4"/>
      <c r="T32" s="4"/>
      <c r="U32" s="4"/>
      <c r="V32" s="4"/>
      <c r="W32" s="4"/>
      <c r="X32" s="4"/>
      <c r="Y32" s="4"/>
      <c r="Z32" s="4"/>
      <c r="AA32" s="4"/>
    </row>
    <row r="33" spans="1:27" ht="21.95" customHeight="1" x14ac:dyDescent="0.2">
      <c r="A33" s="234" t="s">
        <v>195</v>
      </c>
      <c r="B33" s="168">
        <f>+B26+B32</f>
        <v>0</v>
      </c>
      <c r="C33" s="130">
        <f>+C26+C32</f>
        <v>-43547</v>
      </c>
      <c r="D33" s="168">
        <f>+D26+D32</f>
        <v>-43547</v>
      </c>
      <c r="E33" s="231"/>
      <c r="F33" s="168">
        <f>+F26+F32</f>
        <v>0</v>
      </c>
      <c r="G33" s="130">
        <f>+G26+G32</f>
        <v>-51464</v>
      </c>
      <c r="H33" s="168">
        <f>+H26+H32</f>
        <v>-51464</v>
      </c>
      <c r="I33" s="231"/>
      <c r="J33" s="168">
        <f>+J26+J32</f>
        <v>0</v>
      </c>
      <c r="K33" s="130">
        <f>+K26+K32</f>
        <v>-36948</v>
      </c>
      <c r="L33" s="168">
        <f>+L26+L32</f>
        <v>-36948</v>
      </c>
      <c r="M33" s="4"/>
      <c r="N33" s="4"/>
      <c r="O33" s="4"/>
      <c r="P33" s="4"/>
      <c r="Q33" s="4"/>
      <c r="R33" s="4"/>
      <c r="S33" s="4"/>
      <c r="T33" s="4"/>
      <c r="U33" s="4"/>
      <c r="V33" s="4"/>
      <c r="W33" s="4"/>
      <c r="X33" s="4"/>
      <c r="Y33" s="4"/>
      <c r="Z33" s="4"/>
      <c r="AA33" s="4"/>
    </row>
    <row r="34" spans="1:27" ht="21.95" customHeight="1" x14ac:dyDescent="0.35">
      <c r="A34" s="77" t="s">
        <v>191</v>
      </c>
      <c r="B34" s="161"/>
      <c r="C34" s="161">
        <f>'Govt Funds Inc Stmt Exh 4'!M33</f>
        <v>150817</v>
      </c>
      <c r="D34" s="161"/>
      <c r="E34" s="161"/>
      <c r="F34" s="161"/>
      <c r="G34" s="161">
        <f>'Govt Funds Inc Stmt Exh 4'!N33</f>
        <v>178238</v>
      </c>
      <c r="H34" s="161"/>
      <c r="I34" s="161"/>
      <c r="J34" s="161"/>
      <c r="K34" s="161">
        <f>'Govt Funds Inc Stmt Exh 4'!O33</f>
        <v>127965</v>
      </c>
      <c r="L34" s="161"/>
      <c r="M34" s="4"/>
      <c r="N34" s="4"/>
      <c r="O34" s="4"/>
      <c r="P34" s="4"/>
      <c r="Q34" s="4"/>
      <c r="R34" s="4"/>
      <c r="S34" s="4"/>
      <c r="T34" s="4"/>
      <c r="U34" s="4"/>
      <c r="V34" s="4"/>
      <c r="W34" s="4"/>
      <c r="X34" s="4"/>
      <c r="Y34" s="4"/>
      <c r="Z34" s="4"/>
      <c r="AA34" s="4"/>
    </row>
    <row r="35" spans="1:27" ht="20.100000000000001" customHeight="1" x14ac:dyDescent="0.35">
      <c r="A35" s="20" t="s">
        <v>194</v>
      </c>
      <c r="B35" s="49"/>
      <c r="C35" s="49">
        <f>+C33+C34</f>
        <v>107270</v>
      </c>
      <c r="D35" s="49"/>
      <c r="E35" s="49"/>
      <c r="F35" s="49"/>
      <c r="G35" s="49">
        <f>+G33+G34</f>
        <v>126774</v>
      </c>
      <c r="H35" s="49"/>
      <c r="I35" s="49"/>
      <c r="J35" s="49"/>
      <c r="K35" s="49">
        <f>+K33+K34</f>
        <v>91017</v>
      </c>
      <c r="L35" s="49"/>
      <c r="M35" s="4"/>
      <c r="N35" s="4"/>
      <c r="O35" s="4"/>
      <c r="P35" s="4"/>
      <c r="Q35" s="4"/>
      <c r="R35" s="4"/>
      <c r="S35" s="4"/>
      <c r="T35" s="4"/>
      <c r="U35" s="4"/>
      <c r="V35" s="4"/>
      <c r="W35" s="4"/>
      <c r="X35" s="4"/>
      <c r="Y35" s="4"/>
      <c r="Z35" s="4"/>
      <c r="AA35" s="4"/>
    </row>
    <row r="36" spans="1:27" ht="17.25" x14ac:dyDescent="0.35">
      <c r="A36" s="20"/>
      <c r="B36" s="37"/>
      <c r="C36" s="37"/>
      <c r="D36" s="20"/>
      <c r="E36" s="20"/>
      <c r="F36" s="37"/>
      <c r="G36" s="20"/>
      <c r="H36" s="20"/>
      <c r="I36" s="20"/>
      <c r="J36" s="20"/>
      <c r="K36" s="20"/>
      <c r="L36" s="20"/>
      <c r="M36" s="4"/>
      <c r="N36" s="4"/>
      <c r="O36" s="4"/>
      <c r="P36" s="4"/>
      <c r="Q36" s="4"/>
      <c r="R36" s="4"/>
      <c r="S36" s="4"/>
      <c r="T36" s="4"/>
      <c r="U36" s="4"/>
      <c r="V36" s="4"/>
      <c r="W36" s="4"/>
      <c r="X36" s="4"/>
      <c r="Y36" s="4"/>
      <c r="Z36" s="4"/>
      <c r="AA36" s="4"/>
    </row>
    <row r="37" spans="1:27" ht="17.25" x14ac:dyDescent="0.35">
      <c r="A37" s="40"/>
      <c r="B37" s="37"/>
      <c r="C37" s="37"/>
      <c r="D37" s="37"/>
      <c r="E37" s="37"/>
      <c r="F37" s="37"/>
      <c r="G37" s="37"/>
      <c r="H37" s="20"/>
      <c r="I37" s="20"/>
      <c r="J37" s="20"/>
      <c r="K37" s="20"/>
      <c r="L37" s="20"/>
      <c r="M37" s="4"/>
      <c r="N37" s="4"/>
      <c r="O37" s="4"/>
      <c r="P37" s="4"/>
      <c r="Q37" s="4"/>
      <c r="R37" s="4"/>
      <c r="S37" s="4"/>
      <c r="T37" s="4"/>
      <c r="U37" s="4"/>
      <c r="V37" s="4"/>
      <c r="W37" s="4"/>
      <c r="X37" s="4"/>
      <c r="Y37" s="4"/>
      <c r="Z37" s="4"/>
      <c r="AA37" s="4"/>
    </row>
    <row r="38" spans="1:27" ht="18" x14ac:dyDescent="0.2">
      <c r="A38" s="162"/>
      <c r="B38" s="20"/>
      <c r="C38" s="20"/>
      <c r="D38" s="20"/>
      <c r="E38" s="20"/>
      <c r="F38" s="20"/>
      <c r="G38" s="20"/>
      <c r="H38" s="20"/>
      <c r="I38" s="20"/>
      <c r="J38" s="20"/>
      <c r="K38" s="20"/>
      <c r="L38" s="20"/>
      <c r="M38" s="4"/>
      <c r="N38" s="4"/>
      <c r="O38" s="4"/>
      <c r="P38" s="4"/>
      <c r="Q38" s="4"/>
      <c r="R38" s="4"/>
      <c r="S38" s="4"/>
      <c r="T38" s="4"/>
      <c r="U38" s="4"/>
      <c r="V38" s="4"/>
      <c r="W38" s="4"/>
      <c r="X38" s="4"/>
      <c r="Y38" s="4"/>
      <c r="Z38" s="4"/>
      <c r="AA38" s="4"/>
    </row>
    <row r="39" spans="1:27" ht="15" x14ac:dyDescent="0.2">
      <c r="A39" s="20"/>
      <c r="B39" s="20"/>
      <c r="C39" s="20"/>
      <c r="D39" s="20"/>
      <c r="E39" s="20"/>
      <c r="F39" s="20"/>
      <c r="G39" s="20"/>
      <c r="H39" s="20"/>
      <c r="I39" s="20"/>
      <c r="J39" s="20"/>
      <c r="K39" s="20"/>
      <c r="L39" s="20"/>
      <c r="M39" s="4"/>
      <c r="N39" s="4"/>
      <c r="O39" s="4"/>
      <c r="P39" s="4"/>
      <c r="Q39" s="4"/>
      <c r="R39" s="4"/>
      <c r="S39" s="4"/>
      <c r="T39" s="4"/>
      <c r="U39" s="4"/>
      <c r="V39" s="4"/>
      <c r="W39" s="4"/>
      <c r="X39" s="4"/>
      <c r="Y39" s="4"/>
      <c r="Z39" s="4"/>
      <c r="AA39" s="4"/>
    </row>
    <row r="40" spans="1:27" ht="12.75" customHeight="1" x14ac:dyDescent="0.2">
      <c r="A40" s="232"/>
      <c r="B40" s="232"/>
      <c r="C40" s="232"/>
      <c r="D40" s="232"/>
      <c r="E40" s="232"/>
      <c r="F40" s="232"/>
      <c r="G40" s="232"/>
      <c r="H40" s="232"/>
      <c r="I40" s="232"/>
      <c r="J40" s="20"/>
      <c r="K40" s="20"/>
      <c r="L40" s="20"/>
      <c r="M40" s="4"/>
      <c r="N40" s="4"/>
      <c r="O40" s="4"/>
      <c r="P40" s="4"/>
      <c r="Q40" s="4"/>
      <c r="R40" s="4"/>
      <c r="S40" s="4"/>
      <c r="T40" s="4"/>
      <c r="U40" s="4"/>
      <c r="V40" s="4"/>
      <c r="W40" s="4"/>
      <c r="X40" s="4"/>
      <c r="Y40" s="4"/>
      <c r="Z40" s="4"/>
      <c r="AA40" s="4"/>
    </row>
    <row r="41" spans="1:27" ht="12.75" customHeight="1" x14ac:dyDescent="0.2">
      <c r="A41" s="232"/>
      <c r="B41" s="232"/>
      <c r="C41" s="232"/>
      <c r="D41" s="232"/>
      <c r="E41" s="232"/>
      <c r="F41" s="232"/>
      <c r="G41" s="232"/>
      <c r="H41" s="232"/>
      <c r="I41" s="232"/>
      <c r="J41" s="20"/>
      <c r="K41" s="20"/>
      <c r="L41" s="20"/>
      <c r="M41" s="4"/>
      <c r="N41" s="4"/>
      <c r="O41" s="4"/>
      <c r="P41" s="4"/>
      <c r="Q41" s="4"/>
      <c r="R41" s="4"/>
      <c r="S41" s="4"/>
      <c r="T41" s="4"/>
      <c r="U41" s="4"/>
      <c r="V41" s="4"/>
      <c r="W41" s="4"/>
      <c r="X41" s="4"/>
      <c r="Y41" s="4"/>
      <c r="Z41" s="4"/>
      <c r="AA41" s="4"/>
    </row>
    <row r="42" spans="1:27" ht="12.75" customHeight="1" x14ac:dyDescent="0.2">
      <c r="A42" s="232"/>
      <c r="B42" s="232"/>
      <c r="C42" s="232"/>
      <c r="D42" s="232"/>
      <c r="E42" s="232"/>
      <c r="F42" s="232"/>
      <c r="G42" s="232"/>
      <c r="H42" s="232"/>
      <c r="I42" s="232"/>
      <c r="J42" s="20"/>
      <c r="K42" s="20"/>
      <c r="L42" s="20"/>
      <c r="M42" s="4"/>
      <c r="N42" s="4"/>
      <c r="O42" s="4"/>
      <c r="P42" s="4"/>
      <c r="Q42" s="4"/>
      <c r="R42" s="4"/>
      <c r="S42" s="4"/>
      <c r="T42" s="4"/>
      <c r="U42" s="4"/>
      <c r="V42" s="4"/>
      <c r="W42" s="4"/>
      <c r="X42" s="4"/>
      <c r="Y42" s="4"/>
      <c r="Z42" s="4"/>
      <c r="AA42" s="4"/>
    </row>
    <row r="43" spans="1:27" ht="12.75" customHeight="1" x14ac:dyDescent="0.2">
      <c r="A43" s="232"/>
      <c r="B43" s="232"/>
      <c r="C43" s="232"/>
      <c r="D43" s="232"/>
      <c r="E43" s="232"/>
      <c r="F43" s="232"/>
      <c r="G43" s="232"/>
      <c r="H43" s="232"/>
      <c r="I43" s="232"/>
      <c r="J43" s="20"/>
      <c r="K43" s="20"/>
      <c r="L43" s="20"/>
      <c r="M43" s="4"/>
      <c r="N43" s="4"/>
      <c r="O43" s="4"/>
      <c r="P43" s="4"/>
      <c r="Q43" s="4"/>
      <c r="R43" s="4"/>
      <c r="S43" s="4"/>
      <c r="T43" s="4"/>
      <c r="U43" s="4"/>
      <c r="V43" s="4"/>
      <c r="W43" s="4"/>
      <c r="X43" s="4"/>
      <c r="Y43" s="4"/>
      <c r="Z43" s="4"/>
      <c r="AA43" s="4"/>
    </row>
    <row r="44" spans="1:27" ht="13.5" customHeight="1" x14ac:dyDescent="0.2">
      <c r="A44" s="232"/>
      <c r="B44" s="232"/>
      <c r="C44" s="232"/>
      <c r="D44" s="232"/>
      <c r="E44" s="232"/>
      <c r="F44" s="232"/>
      <c r="G44" s="232"/>
      <c r="H44" s="232"/>
      <c r="I44" s="232"/>
      <c r="J44" s="20"/>
      <c r="K44" s="20"/>
      <c r="L44" s="20"/>
      <c r="M44" s="4"/>
      <c r="N44" s="4"/>
      <c r="O44" s="4"/>
      <c r="P44" s="4"/>
      <c r="Q44" s="4"/>
      <c r="R44" s="4"/>
      <c r="S44" s="4"/>
      <c r="T44" s="4"/>
      <c r="U44" s="4"/>
      <c r="V44" s="4"/>
      <c r="W44" s="4"/>
      <c r="X44" s="4"/>
      <c r="Y44" s="4"/>
      <c r="Z44" s="4"/>
      <c r="AA44" s="4"/>
    </row>
    <row r="45" spans="1:27" ht="15" x14ac:dyDescent="0.2">
      <c r="A45" s="20"/>
      <c r="B45" s="20"/>
      <c r="C45" s="20"/>
      <c r="D45" s="20"/>
      <c r="E45" s="20"/>
      <c r="F45" s="20"/>
      <c r="G45" s="20"/>
      <c r="H45" s="20"/>
      <c r="I45" s="20"/>
      <c r="J45" s="20"/>
      <c r="K45" s="20"/>
      <c r="L45" s="20"/>
      <c r="M45" s="4"/>
      <c r="N45" s="4"/>
      <c r="O45" s="4"/>
      <c r="P45" s="4"/>
      <c r="Q45" s="4"/>
      <c r="R45" s="4"/>
      <c r="S45" s="4"/>
      <c r="T45" s="4"/>
      <c r="U45" s="4"/>
      <c r="V45" s="4"/>
      <c r="W45" s="4"/>
      <c r="X45" s="4"/>
      <c r="Y45" s="4"/>
      <c r="Z45" s="4"/>
      <c r="AA45" s="4"/>
    </row>
    <row r="46" spans="1:27" ht="15" x14ac:dyDescent="0.2">
      <c r="A46" s="20"/>
      <c r="B46" s="20"/>
      <c r="C46" s="20"/>
      <c r="D46" s="20"/>
      <c r="E46" s="20"/>
      <c r="F46" s="20"/>
      <c r="G46" s="20"/>
      <c r="H46" s="4"/>
      <c r="I46" s="4"/>
      <c r="J46" s="4"/>
      <c r="K46" s="4"/>
      <c r="L46" s="4"/>
      <c r="M46" s="4"/>
      <c r="N46" s="4"/>
      <c r="O46" s="4"/>
      <c r="P46" s="4"/>
      <c r="Q46" s="4"/>
      <c r="R46" s="4"/>
      <c r="S46" s="4"/>
      <c r="T46" s="4"/>
      <c r="U46" s="4"/>
      <c r="V46" s="4"/>
      <c r="W46" s="4"/>
      <c r="X46" s="4"/>
      <c r="Y46" s="4"/>
      <c r="Z46" s="4"/>
      <c r="AA46" s="4"/>
    </row>
    <row r="47" spans="1:27" ht="15" x14ac:dyDescent="0.2">
      <c r="A47" s="20"/>
      <c r="B47" s="20"/>
      <c r="C47" s="20"/>
      <c r="D47" s="20"/>
      <c r="E47" s="20"/>
      <c r="F47" s="20"/>
      <c r="G47" s="20"/>
      <c r="H47" s="4"/>
      <c r="I47" s="4"/>
      <c r="J47" s="4"/>
      <c r="K47" s="4"/>
      <c r="L47" s="4"/>
      <c r="M47" s="4"/>
      <c r="N47" s="4"/>
      <c r="O47" s="4"/>
      <c r="P47" s="4"/>
      <c r="Q47" s="4"/>
      <c r="R47" s="4"/>
      <c r="S47" s="4"/>
      <c r="T47" s="4"/>
      <c r="U47" s="4"/>
      <c r="V47" s="4"/>
      <c r="W47" s="4"/>
      <c r="X47" s="4"/>
      <c r="Y47" s="4"/>
      <c r="Z47" s="4"/>
      <c r="AA47" s="4"/>
    </row>
    <row r="48" spans="1:27" ht="15" x14ac:dyDescent="0.2">
      <c r="A48" s="20"/>
      <c r="B48" s="20"/>
      <c r="C48" s="20"/>
      <c r="D48" s="20"/>
      <c r="E48" s="20"/>
      <c r="F48" s="20"/>
      <c r="G48" s="20"/>
      <c r="H48" s="4"/>
      <c r="I48" s="4"/>
      <c r="J48" s="4"/>
      <c r="K48" s="4"/>
      <c r="L48" s="4"/>
      <c r="M48" s="4"/>
      <c r="N48" s="4"/>
      <c r="O48" s="4"/>
      <c r="P48" s="4"/>
      <c r="Q48" s="4"/>
      <c r="R48" s="4"/>
      <c r="S48" s="4"/>
      <c r="T48" s="4"/>
      <c r="U48" s="4"/>
      <c r="V48" s="4"/>
      <c r="W48" s="4"/>
      <c r="X48" s="4"/>
      <c r="Y48" s="4"/>
      <c r="Z48" s="4"/>
      <c r="AA48" s="4"/>
    </row>
    <row r="49" spans="1:27" ht="15" x14ac:dyDescent="0.2">
      <c r="A49" s="20"/>
      <c r="B49" s="20"/>
      <c r="C49" s="20"/>
      <c r="D49" s="20"/>
      <c r="E49" s="20"/>
      <c r="F49" s="20"/>
      <c r="G49" s="20"/>
      <c r="H49" s="4"/>
      <c r="I49" s="4"/>
      <c r="J49" s="4"/>
      <c r="K49" s="4"/>
      <c r="L49" s="4"/>
      <c r="M49" s="4"/>
      <c r="N49" s="4"/>
      <c r="O49" s="4"/>
      <c r="P49" s="4"/>
      <c r="Q49" s="4"/>
      <c r="R49" s="4"/>
      <c r="S49" s="4"/>
      <c r="T49" s="4"/>
      <c r="U49" s="4"/>
      <c r="V49" s="4"/>
      <c r="W49" s="4"/>
      <c r="X49" s="4"/>
      <c r="Y49" s="4"/>
      <c r="Z49" s="4"/>
      <c r="AA49" s="4"/>
    </row>
    <row r="50" spans="1:27" ht="15" x14ac:dyDescent="0.2">
      <c r="A50" s="20"/>
      <c r="B50" s="20"/>
      <c r="C50" s="20"/>
      <c r="D50" s="20"/>
      <c r="E50" s="20"/>
      <c r="F50" s="20"/>
      <c r="G50" s="20"/>
      <c r="H50" s="4"/>
      <c r="I50" s="4"/>
      <c r="J50" s="4"/>
      <c r="K50" s="4"/>
      <c r="L50" s="4"/>
      <c r="M50" s="4"/>
      <c r="N50" s="4"/>
      <c r="O50" s="4"/>
      <c r="P50" s="4"/>
      <c r="Q50" s="4"/>
      <c r="R50" s="4"/>
      <c r="S50" s="4"/>
      <c r="T50" s="4"/>
      <c r="U50" s="4"/>
      <c r="V50" s="4"/>
      <c r="W50" s="4"/>
      <c r="X50" s="4"/>
      <c r="Y50" s="4"/>
      <c r="Z50" s="4"/>
      <c r="AA50" s="4"/>
    </row>
    <row r="51" spans="1:27" ht="35.1" customHeight="1" x14ac:dyDescent="0.2">
      <c r="A51" s="75" t="s">
        <v>252</v>
      </c>
      <c r="B51" s="135"/>
      <c r="C51" s="135" t="str">
        <f>IF(C33-'Doceo Cnty etc SRF Inc St - SI'!B32=0,"Yes",C33-'Doceo Cnty etc SRF Inc St - SI'!B32)</f>
        <v>Yes</v>
      </c>
      <c r="D51" s="135"/>
      <c r="E51" s="135"/>
      <c r="F51" s="135"/>
      <c r="G51" s="135" t="str">
        <f>IF(G33-'Erudio Cnty etc SRF Inc St - SI'!B32=0,"Yes",G33-'Erudio Cnty etc SRF Inc St - SI'!B32)</f>
        <v>Yes</v>
      </c>
      <c r="H51" s="4"/>
      <c r="I51" s="4"/>
      <c r="J51" s="172"/>
      <c r="K51" s="135" t="str">
        <f>IF(K33-'Discite Cnty etc SRF Inc St- SI'!B32=0,"Yes",K33-'Discite Cnty etc SRF Inc St- SI'!B32)</f>
        <v>Yes</v>
      </c>
      <c r="L51" s="4"/>
      <c r="M51" s="4"/>
      <c r="N51" s="4"/>
      <c r="O51" s="4"/>
      <c r="P51" s="4"/>
      <c r="Q51" s="4"/>
      <c r="R51" s="4"/>
      <c r="S51" s="4"/>
      <c r="T51" s="4"/>
      <c r="U51" s="4"/>
      <c r="V51" s="4"/>
      <c r="W51" s="4"/>
      <c r="X51" s="4"/>
      <c r="Y51" s="4"/>
      <c r="Z51" s="4"/>
      <c r="AA51" s="4"/>
    </row>
    <row r="52" spans="1:27" ht="35.1" customHeight="1" x14ac:dyDescent="0.2">
      <c r="A52" s="75" t="s">
        <v>270</v>
      </c>
      <c r="B52" s="20" t="s">
        <v>49</v>
      </c>
      <c r="C52" s="135" t="str">
        <f>IF(C35-'Doceo Cnty etc SRF Inc St - SI'!B34=0,"Yes",C35-'Doceo Cnty etc SRF Inc St - SI'!B34)</f>
        <v>Yes</v>
      </c>
      <c r="D52" s="20"/>
      <c r="E52" s="20"/>
      <c r="F52" s="20"/>
      <c r="G52" s="135" t="str">
        <f>IF(G35-'Erudio Cnty etc SRF Inc St - SI'!B34=0,"Yes",G35-'Erudio Cnty etc SRF Inc St - SI'!B34)</f>
        <v>Yes</v>
      </c>
      <c r="H52" s="4"/>
      <c r="I52" s="4"/>
      <c r="J52" s="4"/>
      <c r="K52" s="135" t="str">
        <f>IF(K35-'Discite Cnty etc SRF Inc St- SI'!B34=0,"Yes",K35-'Discite Cnty etc SRF Inc St- SI'!B34)</f>
        <v>Yes</v>
      </c>
      <c r="L52" s="4"/>
      <c r="M52" s="4"/>
      <c r="N52" s="4"/>
      <c r="O52" s="4"/>
      <c r="P52" s="4"/>
      <c r="Q52" s="4"/>
      <c r="R52" s="4"/>
      <c r="S52" s="4"/>
      <c r="T52" s="4"/>
      <c r="U52" s="4"/>
      <c r="V52" s="4"/>
      <c r="W52" s="4"/>
      <c r="X52" s="4"/>
      <c r="Y52" s="4"/>
      <c r="Z52" s="4"/>
      <c r="AA52" s="4"/>
    </row>
    <row r="53" spans="1:27" ht="21.95" customHeight="1" x14ac:dyDescent="0.2">
      <c r="A53" s="164" t="s">
        <v>305</v>
      </c>
      <c r="B53" s="134" t="str">
        <f>IF(B33=0,"Yes",B33)</f>
        <v>Yes</v>
      </c>
      <c r="C53" s="164"/>
      <c r="D53" s="164"/>
      <c r="E53" s="164"/>
      <c r="F53" s="134" t="str">
        <f>IF(F33=0,"Yes",F33)</f>
        <v>Yes</v>
      </c>
      <c r="G53" s="164"/>
      <c r="H53" s="164"/>
      <c r="I53" s="164"/>
      <c r="J53" s="134" t="str">
        <f>IF(J33=0,"Yes",J33)</f>
        <v>Yes</v>
      </c>
      <c r="K53" s="20"/>
      <c r="L53" s="20"/>
      <c r="M53" s="4"/>
      <c r="N53" s="4"/>
      <c r="O53" s="4"/>
      <c r="P53" s="4"/>
      <c r="Q53" s="4"/>
      <c r="R53" s="4"/>
      <c r="S53" s="4"/>
      <c r="T53" s="4"/>
      <c r="U53" s="4"/>
      <c r="V53" s="4"/>
      <c r="W53" s="4"/>
      <c r="X53" s="4"/>
      <c r="Y53" s="4"/>
      <c r="Z53" s="4"/>
      <c r="AA53" s="4"/>
    </row>
    <row r="54" spans="1:27" ht="15" x14ac:dyDescent="0.2">
      <c r="A54" s="20"/>
      <c r="B54" s="20"/>
      <c r="C54" s="20"/>
      <c r="D54" s="20"/>
      <c r="E54" s="20"/>
      <c r="F54" s="20"/>
      <c r="G54" s="20"/>
      <c r="H54" s="20"/>
      <c r="I54" s="20"/>
      <c r="J54" s="20"/>
      <c r="K54" s="20"/>
      <c r="L54" s="20"/>
      <c r="M54" s="4"/>
      <c r="N54" s="4"/>
      <c r="O54" s="4"/>
      <c r="P54" s="4"/>
      <c r="Q54" s="4"/>
      <c r="R54" s="4"/>
      <c r="S54" s="4"/>
      <c r="T54" s="4"/>
      <c r="U54" s="4"/>
      <c r="V54" s="4"/>
      <c r="W54" s="4"/>
      <c r="X54" s="4"/>
      <c r="Y54" s="4"/>
      <c r="Z54" s="4"/>
      <c r="AA54" s="4"/>
    </row>
    <row r="55" spans="1:27" ht="15" x14ac:dyDescent="0.2">
      <c r="A55" s="20"/>
      <c r="B55" s="20"/>
      <c r="C55" s="20"/>
      <c r="D55" s="20"/>
      <c r="E55" s="20"/>
      <c r="F55" s="20"/>
      <c r="G55" s="20"/>
      <c r="H55" s="20"/>
      <c r="I55" s="20"/>
      <c r="J55" s="20"/>
      <c r="K55" s="20"/>
      <c r="L55" s="20"/>
      <c r="M55" s="4"/>
      <c r="N55" s="4"/>
      <c r="O55" s="4"/>
      <c r="P55" s="4"/>
      <c r="Q55" s="4"/>
      <c r="R55" s="4"/>
      <c r="S55" s="4"/>
      <c r="T55" s="4"/>
      <c r="U55" s="4"/>
      <c r="V55" s="4"/>
      <c r="W55" s="4"/>
      <c r="X55" s="4"/>
      <c r="Y55" s="4"/>
      <c r="Z55" s="4"/>
      <c r="AA55" s="4"/>
    </row>
    <row r="56" spans="1:27" ht="15" x14ac:dyDescent="0.2">
      <c r="A56" s="20"/>
      <c r="B56" s="20"/>
      <c r="C56" s="20"/>
      <c r="D56" s="20"/>
      <c r="E56" s="20"/>
      <c r="F56" s="20"/>
      <c r="G56" s="20"/>
      <c r="H56" s="20"/>
      <c r="I56" s="20"/>
      <c r="J56" s="20"/>
      <c r="K56" s="20"/>
      <c r="L56" s="20"/>
      <c r="M56" s="4"/>
      <c r="N56" s="4"/>
      <c r="O56" s="4"/>
      <c r="P56" s="4"/>
      <c r="Q56" s="4"/>
      <c r="R56" s="4"/>
      <c r="S56" s="4"/>
      <c r="T56" s="4"/>
      <c r="U56" s="4"/>
      <c r="V56" s="4"/>
      <c r="W56" s="4"/>
      <c r="X56" s="4"/>
      <c r="Y56" s="4"/>
      <c r="Z56" s="4"/>
      <c r="AA56" s="4"/>
    </row>
    <row r="57" spans="1:27" ht="15" x14ac:dyDescent="0.2">
      <c r="A57" s="20"/>
      <c r="B57" s="20"/>
      <c r="C57" s="20"/>
      <c r="D57" s="20"/>
      <c r="E57" s="20"/>
      <c r="F57" s="20"/>
      <c r="G57" s="20"/>
      <c r="H57" s="20"/>
      <c r="I57" s="20"/>
      <c r="J57" s="20"/>
      <c r="K57" s="20"/>
      <c r="L57" s="20"/>
      <c r="M57" s="4"/>
      <c r="N57" s="4"/>
      <c r="O57" s="4"/>
      <c r="P57" s="4"/>
      <c r="Q57" s="4"/>
      <c r="R57" s="4"/>
      <c r="S57" s="4"/>
      <c r="T57" s="4"/>
      <c r="U57" s="4"/>
      <c r="V57" s="4"/>
      <c r="W57" s="4"/>
      <c r="X57" s="4"/>
      <c r="Y57" s="4"/>
      <c r="Z57" s="4"/>
      <c r="AA57" s="4"/>
    </row>
    <row r="58" spans="1:27" ht="15" x14ac:dyDescent="0.2">
      <c r="A58" s="20"/>
      <c r="B58" s="20"/>
      <c r="C58" s="20"/>
      <c r="D58" s="20"/>
      <c r="E58" s="20"/>
      <c r="F58" s="20"/>
      <c r="G58" s="20"/>
      <c r="H58" s="20"/>
      <c r="I58" s="20"/>
      <c r="J58" s="20"/>
      <c r="K58" s="20"/>
      <c r="L58" s="20"/>
      <c r="M58" s="4"/>
      <c r="N58" s="4"/>
      <c r="O58" s="4"/>
      <c r="P58" s="4"/>
      <c r="Q58" s="4"/>
      <c r="R58" s="4"/>
      <c r="S58" s="4"/>
      <c r="T58" s="4"/>
      <c r="U58" s="4"/>
      <c r="V58" s="4"/>
      <c r="W58" s="4"/>
      <c r="X58" s="4"/>
      <c r="Y58" s="4"/>
      <c r="Z58" s="4"/>
      <c r="AA58" s="4"/>
    </row>
    <row r="59" spans="1:27" ht="15" x14ac:dyDescent="0.2">
      <c r="A59" s="20"/>
      <c r="B59" s="20"/>
      <c r="C59" s="20"/>
      <c r="D59" s="20"/>
      <c r="E59" s="20"/>
      <c r="F59" s="20"/>
      <c r="G59" s="20"/>
      <c r="H59" s="20"/>
      <c r="I59" s="20"/>
      <c r="J59" s="20"/>
      <c r="K59" s="20"/>
      <c r="L59" s="20"/>
      <c r="M59" s="4"/>
      <c r="N59" s="4"/>
      <c r="O59" s="4"/>
      <c r="P59" s="4"/>
      <c r="Q59" s="4"/>
      <c r="R59" s="4"/>
      <c r="S59" s="4"/>
      <c r="T59" s="4"/>
      <c r="U59" s="4"/>
      <c r="V59" s="4"/>
      <c r="W59" s="4"/>
      <c r="X59" s="4"/>
      <c r="Y59" s="4"/>
      <c r="Z59" s="4"/>
      <c r="AA59" s="4"/>
    </row>
    <row r="60" spans="1:27" ht="15" x14ac:dyDescent="0.2">
      <c r="A60" s="20"/>
      <c r="B60" s="20"/>
      <c r="C60" s="20"/>
      <c r="D60" s="20"/>
      <c r="E60" s="20"/>
      <c r="F60" s="20"/>
      <c r="G60" s="20"/>
      <c r="H60" s="20"/>
      <c r="I60" s="20"/>
      <c r="J60" s="20"/>
      <c r="K60" s="20"/>
      <c r="L60" s="20"/>
      <c r="M60" s="4"/>
      <c r="N60" s="4"/>
      <c r="O60" s="4"/>
      <c r="P60" s="4"/>
      <c r="Q60" s="4"/>
      <c r="R60" s="4"/>
      <c r="S60" s="4"/>
      <c r="T60" s="4"/>
      <c r="U60" s="4"/>
      <c r="V60" s="4"/>
      <c r="W60" s="4"/>
      <c r="X60" s="4"/>
      <c r="Y60" s="4"/>
      <c r="Z60" s="4"/>
      <c r="AA60" s="4"/>
    </row>
    <row r="61" spans="1:27" ht="15" x14ac:dyDescent="0.2">
      <c r="A61" s="20"/>
      <c r="B61" s="20"/>
      <c r="C61" s="20"/>
      <c r="D61" s="20"/>
      <c r="E61" s="20"/>
      <c r="F61" s="20"/>
      <c r="G61" s="20"/>
      <c r="H61" s="20"/>
      <c r="I61" s="20"/>
      <c r="J61" s="20"/>
      <c r="K61" s="20"/>
      <c r="L61" s="20"/>
      <c r="M61" s="4"/>
      <c r="N61" s="4"/>
      <c r="O61" s="4"/>
      <c r="P61" s="4"/>
      <c r="Q61" s="4"/>
      <c r="R61" s="4"/>
      <c r="S61" s="4"/>
      <c r="T61" s="4"/>
      <c r="U61" s="4"/>
      <c r="V61" s="4"/>
      <c r="W61" s="4"/>
      <c r="X61" s="4"/>
      <c r="Y61" s="4"/>
      <c r="Z61" s="4"/>
      <c r="AA61" s="4"/>
    </row>
    <row r="62" spans="1:27" ht="15" x14ac:dyDescent="0.2">
      <c r="A62" s="20"/>
      <c r="B62" s="20"/>
      <c r="C62" s="20"/>
      <c r="D62" s="20"/>
      <c r="E62" s="20"/>
      <c r="F62" s="20"/>
      <c r="G62" s="20"/>
      <c r="H62" s="20"/>
      <c r="I62" s="20"/>
      <c r="J62" s="20"/>
      <c r="K62" s="20"/>
      <c r="L62" s="20"/>
      <c r="M62" s="4"/>
      <c r="N62" s="4"/>
      <c r="O62" s="4"/>
      <c r="P62" s="4"/>
      <c r="Q62" s="4"/>
      <c r="R62" s="4"/>
      <c r="S62" s="4"/>
      <c r="T62" s="4"/>
      <c r="U62" s="4"/>
      <c r="V62" s="4"/>
      <c r="W62" s="4"/>
      <c r="X62" s="4"/>
      <c r="Y62" s="4"/>
      <c r="Z62" s="4"/>
      <c r="AA62" s="4"/>
    </row>
    <row r="63" spans="1:27"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sheetData>
  <mergeCells count="8">
    <mergeCell ref="B6:D6"/>
    <mergeCell ref="F6:H6"/>
    <mergeCell ref="J6:L6"/>
    <mergeCell ref="A1:L1"/>
    <mergeCell ref="A2:L2"/>
    <mergeCell ref="A3:L3"/>
    <mergeCell ref="A4:L4"/>
    <mergeCell ref="A5:L5"/>
  </mergeCells>
  <conditionalFormatting sqref="B53">
    <cfRule type="cellIs" dxfId="24" priority="4" stopIfTrue="1" operator="notEqual">
      <formula>"Yes"</formula>
    </cfRule>
  </conditionalFormatting>
  <conditionalFormatting sqref="F53">
    <cfRule type="cellIs" dxfId="23" priority="3" stopIfTrue="1" operator="notEqual">
      <formula>"Yes"</formula>
    </cfRule>
  </conditionalFormatting>
  <conditionalFormatting sqref="J53">
    <cfRule type="cellIs" dxfId="22" priority="2" stopIfTrue="1" operator="notEqual">
      <formula>"Yes"</formula>
    </cfRule>
  </conditionalFormatting>
  <conditionalFormatting sqref="B53 C51:C52 F53 G51:G52 J53 K51:K52">
    <cfRule type="cellIs" dxfId="21" priority="1" stopIfTrue="1" operator="notEqual">
      <formula>"Yes"</formula>
    </cfRule>
  </conditionalFormatting>
  <pageMargins left="0.75" right="0.75" top="0.75" bottom="0.75" header="0.5" footer="0.5"/>
  <pageSetup scale="70" orientation="landscape" r:id="rId1"/>
  <headerFooter>
    <oddHeader>&amp;R&amp;12Schedule 2</oddHeader>
    <oddFooter>&amp;L&amp;12Revised:  July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pageSetUpPr fitToPage="1"/>
  </sheetPr>
  <dimension ref="A1:Z93"/>
  <sheetViews>
    <sheetView showGridLines="0" zoomScale="90" zoomScaleNormal="90" zoomScaleSheetLayoutView="70" workbookViewId="0">
      <selection activeCell="A5" sqref="A5"/>
    </sheetView>
  </sheetViews>
  <sheetFormatPr defaultColWidth="8.85546875" defaultRowHeight="12.75" x14ac:dyDescent="0.2"/>
  <cols>
    <col min="1" max="1" width="36.140625" style="7" customWidth="1"/>
    <col min="2" max="5" width="16.7109375" style="7" customWidth="1"/>
    <col min="6" max="6" width="1.7109375" style="7" customWidth="1"/>
    <col min="7" max="9" width="18.7109375" style="7" customWidth="1"/>
    <col min="10" max="16384" width="8.85546875" style="7"/>
  </cols>
  <sheetData>
    <row r="1" spans="1:26" ht="15.75" x14ac:dyDescent="0.25">
      <c r="A1" s="341" t="str">
        <f>'GW Net Position Exh 1'!A1</f>
        <v>Owl Charter, Inc.</v>
      </c>
      <c r="B1" s="341"/>
      <c r="C1" s="341"/>
      <c r="D1" s="341"/>
      <c r="E1" s="341"/>
      <c r="F1" s="341"/>
      <c r="G1" s="341"/>
      <c r="H1" s="341"/>
      <c r="I1" s="341"/>
      <c r="J1" s="30"/>
      <c r="K1" s="30"/>
      <c r="L1" s="30"/>
      <c r="M1" s="30"/>
      <c r="N1" s="30"/>
      <c r="O1" s="30"/>
      <c r="P1" s="30"/>
      <c r="Q1" s="30"/>
      <c r="R1" s="10"/>
      <c r="S1" s="10"/>
      <c r="T1" s="10"/>
      <c r="U1" s="10"/>
      <c r="V1" s="10"/>
      <c r="W1" s="10"/>
      <c r="X1" s="10"/>
      <c r="Y1" s="10"/>
      <c r="Z1" s="10"/>
    </row>
    <row r="2" spans="1:26" ht="15.75" x14ac:dyDescent="0.25">
      <c r="A2" s="341" t="s">
        <v>62</v>
      </c>
      <c r="B2" s="341"/>
      <c r="C2" s="341"/>
      <c r="D2" s="341"/>
      <c r="E2" s="341"/>
      <c r="F2" s="341"/>
      <c r="G2" s="341"/>
      <c r="H2" s="341"/>
      <c r="I2" s="341"/>
      <c r="J2" s="30"/>
      <c r="K2" s="30"/>
      <c r="L2" s="30"/>
      <c r="M2" s="30"/>
      <c r="N2" s="30"/>
      <c r="O2" s="30"/>
      <c r="P2" s="30"/>
      <c r="Q2" s="30"/>
      <c r="R2" s="10"/>
      <c r="S2" s="10"/>
      <c r="T2" s="10"/>
      <c r="U2" s="10"/>
      <c r="V2" s="10"/>
      <c r="W2" s="10"/>
      <c r="X2" s="10"/>
      <c r="Y2" s="10"/>
      <c r="Z2" s="10"/>
    </row>
    <row r="3" spans="1:26" ht="15.75" x14ac:dyDescent="0.25">
      <c r="A3" s="341" t="s">
        <v>405</v>
      </c>
      <c r="B3" s="341"/>
      <c r="C3" s="341"/>
      <c r="D3" s="341"/>
      <c r="E3" s="341"/>
      <c r="F3" s="341"/>
      <c r="G3" s="341"/>
      <c r="H3" s="341"/>
      <c r="I3" s="341"/>
      <c r="J3" s="30"/>
      <c r="K3" s="30"/>
      <c r="L3" s="30"/>
      <c r="M3" s="30"/>
      <c r="N3" s="30"/>
      <c r="O3" s="30"/>
      <c r="P3" s="30"/>
      <c r="Q3" s="30"/>
      <c r="R3" s="10"/>
      <c r="S3" s="10"/>
      <c r="T3" s="10"/>
      <c r="U3" s="10"/>
      <c r="V3" s="10"/>
      <c r="W3" s="10"/>
      <c r="X3" s="10"/>
      <c r="Y3" s="10"/>
      <c r="Z3" s="10"/>
    </row>
    <row r="4" spans="1:26" ht="21.95" customHeight="1" x14ac:dyDescent="0.35">
      <c r="A4" s="30"/>
      <c r="B4" s="30"/>
      <c r="C4" s="365" t="s">
        <v>63</v>
      </c>
      <c r="D4" s="365"/>
      <c r="E4" s="365"/>
      <c r="F4" s="67"/>
      <c r="G4" s="365" t="s">
        <v>169</v>
      </c>
      <c r="H4" s="365"/>
      <c r="I4" s="365"/>
      <c r="J4" s="30"/>
      <c r="K4" s="30"/>
      <c r="L4" s="30"/>
      <c r="M4" s="30"/>
      <c r="N4" s="30"/>
      <c r="O4" s="30"/>
      <c r="P4" s="30"/>
      <c r="Q4" s="30"/>
      <c r="R4" s="10"/>
      <c r="S4" s="10"/>
      <c r="T4" s="10"/>
      <c r="U4" s="10"/>
      <c r="V4" s="10"/>
      <c r="W4" s="10"/>
      <c r="X4" s="10"/>
      <c r="Y4" s="10"/>
      <c r="Z4" s="10"/>
    </row>
    <row r="5" spans="1:26" ht="51" customHeight="1" x14ac:dyDescent="0.35">
      <c r="A5" s="123" t="s">
        <v>65</v>
      </c>
      <c r="B5" s="67" t="s">
        <v>5</v>
      </c>
      <c r="C5" s="27" t="s">
        <v>66</v>
      </c>
      <c r="D5" s="27" t="s">
        <v>67</v>
      </c>
      <c r="E5" s="27" t="s">
        <v>68</v>
      </c>
      <c r="F5" s="27"/>
      <c r="G5" s="27" t="s">
        <v>69</v>
      </c>
      <c r="H5" s="27" t="s">
        <v>70</v>
      </c>
      <c r="I5" s="67" t="s">
        <v>0</v>
      </c>
      <c r="J5" s="30"/>
      <c r="K5" s="30"/>
      <c r="L5" s="30"/>
      <c r="M5" s="30"/>
      <c r="N5" s="30"/>
      <c r="O5" s="30"/>
      <c r="P5" s="30"/>
      <c r="Q5" s="30"/>
      <c r="R5" s="10"/>
      <c r="S5" s="10"/>
      <c r="T5" s="10"/>
      <c r="U5" s="10"/>
      <c r="V5" s="10"/>
      <c r="W5" s="10"/>
      <c r="X5" s="10"/>
      <c r="Y5" s="10"/>
      <c r="Z5" s="10"/>
    </row>
    <row r="6" spans="1:26" ht="15.75" x14ac:dyDescent="0.25">
      <c r="A6" s="42" t="s">
        <v>334</v>
      </c>
      <c r="B6" s="42"/>
      <c r="C6" s="42"/>
      <c r="D6" s="42"/>
      <c r="E6" s="42"/>
      <c r="F6" s="42"/>
      <c r="G6" s="42"/>
      <c r="H6" s="42"/>
      <c r="I6" s="42"/>
      <c r="J6" s="30"/>
      <c r="K6" s="30"/>
      <c r="L6" s="30"/>
      <c r="M6" s="30"/>
      <c r="N6" s="30"/>
      <c r="O6" s="30"/>
      <c r="P6" s="30"/>
      <c r="Q6" s="30"/>
      <c r="R6" s="10"/>
      <c r="S6" s="10"/>
      <c r="T6" s="10"/>
      <c r="U6" s="10"/>
      <c r="V6" s="10"/>
      <c r="W6" s="10"/>
      <c r="X6" s="10"/>
      <c r="Y6" s="10"/>
      <c r="Z6" s="10"/>
    </row>
    <row r="7" spans="1:26" ht="17.100000000000001" customHeight="1" x14ac:dyDescent="0.25">
      <c r="A7" s="124" t="s">
        <v>69</v>
      </c>
      <c r="B7" s="30"/>
      <c r="C7" s="30"/>
      <c r="D7" s="30"/>
      <c r="E7" s="30"/>
      <c r="F7" s="30"/>
      <c r="G7" s="30"/>
      <c r="H7" s="30"/>
      <c r="I7" s="30"/>
      <c r="J7" s="30"/>
      <c r="K7" s="30"/>
      <c r="L7" s="30"/>
      <c r="M7" s="30"/>
      <c r="N7" s="30"/>
      <c r="O7" s="30"/>
      <c r="P7" s="30"/>
      <c r="Q7" s="30"/>
      <c r="R7" s="10"/>
      <c r="S7" s="10"/>
      <c r="T7" s="10"/>
      <c r="U7" s="10"/>
      <c r="V7" s="10"/>
      <c r="W7" s="10"/>
      <c r="X7" s="10"/>
      <c r="Y7" s="10"/>
      <c r="Z7" s="10"/>
    </row>
    <row r="8" spans="1:26" ht="15.75" x14ac:dyDescent="0.25">
      <c r="A8" s="48" t="s">
        <v>143</v>
      </c>
      <c r="B8" s="38">
        <v>3061824</v>
      </c>
      <c r="C8" s="38">
        <v>0</v>
      </c>
      <c r="D8" s="38">
        <v>73227</v>
      </c>
      <c r="E8" s="38">
        <v>9407</v>
      </c>
      <c r="F8" s="38"/>
      <c r="G8" s="38">
        <f>+SUM(C8:E8)-B8</f>
        <v>-2979190</v>
      </c>
      <c r="H8" s="38">
        <v>0</v>
      </c>
      <c r="I8" s="38">
        <f>+G8+H8</f>
        <v>-2979190</v>
      </c>
      <c r="J8" s="30"/>
      <c r="K8" s="30"/>
      <c r="L8" s="30"/>
      <c r="M8" s="30"/>
      <c r="N8" s="30"/>
      <c r="O8" s="30"/>
      <c r="P8" s="30"/>
      <c r="Q8" s="30"/>
      <c r="R8" s="10"/>
      <c r="S8" s="10"/>
      <c r="T8" s="10"/>
      <c r="U8" s="10"/>
      <c r="V8" s="10"/>
      <c r="W8" s="10"/>
      <c r="X8" s="10"/>
      <c r="Y8" s="10"/>
      <c r="Z8" s="10"/>
    </row>
    <row r="9" spans="1:26" ht="15.75" x14ac:dyDescent="0.25">
      <c r="A9" s="48" t="s">
        <v>155</v>
      </c>
      <c r="B9" s="46">
        <f>985719+322140-88420</f>
        <v>1219439</v>
      </c>
      <c r="C9" s="46">
        <v>62187</v>
      </c>
      <c r="D9" s="46">
        <v>0</v>
      </c>
      <c r="E9" s="46">
        <v>0</v>
      </c>
      <c r="F9" s="46"/>
      <c r="G9" s="125">
        <f>+SUM(C9:E9)-B9</f>
        <v>-1157252</v>
      </c>
      <c r="H9" s="46">
        <v>0</v>
      </c>
      <c r="I9" s="46">
        <f>+G9+H9</f>
        <v>-1157252</v>
      </c>
      <c r="J9" s="30"/>
      <c r="K9" s="30"/>
      <c r="L9" s="30"/>
      <c r="M9" s="30"/>
      <c r="N9" s="30"/>
      <c r="O9" s="30"/>
      <c r="P9" s="30"/>
      <c r="Q9" s="30"/>
      <c r="R9" s="10"/>
      <c r="S9" s="10"/>
      <c r="T9" s="10"/>
      <c r="U9" s="10"/>
      <c r="V9" s="10"/>
      <c r="W9" s="10"/>
      <c r="X9" s="10"/>
      <c r="Y9" s="10"/>
      <c r="Z9" s="10"/>
    </row>
    <row r="10" spans="1:26" ht="17.25" x14ac:dyDescent="0.35">
      <c r="A10" s="48" t="s">
        <v>71</v>
      </c>
      <c r="B10" s="41">
        <v>240387</v>
      </c>
      <c r="C10" s="41">
        <v>0</v>
      </c>
      <c r="D10" s="41">
        <v>0</v>
      </c>
      <c r="E10" s="41">
        <v>0</v>
      </c>
      <c r="F10" s="41"/>
      <c r="G10" s="55">
        <f>+SUM(C10:E10)-B10</f>
        <v>-240387</v>
      </c>
      <c r="H10" s="41">
        <v>0</v>
      </c>
      <c r="I10" s="41">
        <f>+G10+H10</f>
        <v>-240387</v>
      </c>
      <c r="J10" s="30"/>
      <c r="K10" s="30"/>
      <c r="L10" s="30"/>
      <c r="M10" s="30"/>
      <c r="N10" s="30"/>
      <c r="O10" s="30"/>
      <c r="P10" s="30"/>
      <c r="Q10" s="30"/>
      <c r="R10" s="10"/>
      <c r="S10" s="10"/>
      <c r="T10" s="10"/>
      <c r="U10" s="10"/>
      <c r="V10" s="10"/>
      <c r="W10" s="10"/>
      <c r="X10" s="10"/>
      <c r="Y10" s="10"/>
      <c r="Z10" s="10"/>
    </row>
    <row r="11" spans="1:26" ht="20.100000000000001" customHeight="1" x14ac:dyDescent="0.35">
      <c r="A11" s="44" t="s">
        <v>121</v>
      </c>
      <c r="B11" s="41">
        <f>SUM(B8:B10)</f>
        <v>4521650</v>
      </c>
      <c r="C11" s="41">
        <f>SUM(C8:C10)</f>
        <v>62187</v>
      </c>
      <c r="D11" s="41">
        <f>SUM(D8:D10)</f>
        <v>73227</v>
      </c>
      <c r="E11" s="41">
        <f>SUM(E8:E10)</f>
        <v>9407</v>
      </c>
      <c r="F11" s="41"/>
      <c r="G11" s="41">
        <f>SUM(G8:G10)</f>
        <v>-4376829</v>
      </c>
      <c r="H11" s="41">
        <f>SUM(H8:H10)</f>
        <v>0</v>
      </c>
      <c r="I11" s="41">
        <f>SUM(I8:I10)</f>
        <v>-4376829</v>
      </c>
      <c r="J11" s="30"/>
      <c r="K11" s="30"/>
      <c r="L11" s="30"/>
      <c r="M11" s="30"/>
      <c r="N11" s="30"/>
      <c r="O11" s="30"/>
      <c r="P11" s="30"/>
      <c r="Q11" s="30"/>
      <c r="R11" s="10"/>
      <c r="S11" s="10"/>
      <c r="T11" s="10"/>
      <c r="U11" s="10"/>
      <c r="V11" s="10"/>
      <c r="W11" s="10"/>
      <c r="X11" s="10"/>
      <c r="Y11" s="10"/>
      <c r="Z11" s="10"/>
    </row>
    <row r="12" spans="1:26" ht="5.0999999999999996" customHeight="1" x14ac:dyDescent="0.25">
      <c r="A12" s="124"/>
      <c r="B12" s="30"/>
      <c r="C12" s="30"/>
      <c r="D12" s="30"/>
      <c r="E12" s="30"/>
      <c r="F12" s="30"/>
      <c r="G12" s="30"/>
      <c r="H12" s="30"/>
      <c r="I12" s="30"/>
      <c r="J12" s="30"/>
      <c r="K12" s="30"/>
      <c r="L12" s="30"/>
      <c r="M12" s="30"/>
      <c r="N12" s="30"/>
      <c r="O12" s="30"/>
      <c r="P12" s="30"/>
      <c r="Q12" s="30"/>
      <c r="R12" s="10"/>
      <c r="S12" s="10"/>
      <c r="T12" s="10"/>
      <c r="U12" s="10"/>
      <c r="V12" s="10"/>
      <c r="W12" s="10"/>
      <c r="X12" s="10"/>
      <c r="Y12" s="10"/>
      <c r="Z12" s="10"/>
    </row>
    <row r="13" spans="1:26" ht="15.75" x14ac:dyDescent="0.25">
      <c r="A13" s="126" t="s">
        <v>335</v>
      </c>
      <c r="B13" s="30"/>
      <c r="C13" s="30"/>
      <c r="D13" s="30"/>
      <c r="E13" s="30"/>
      <c r="F13" s="30"/>
      <c r="G13" s="30"/>
      <c r="H13" s="30"/>
      <c r="I13" s="30"/>
      <c r="J13" s="30"/>
      <c r="K13" s="30"/>
      <c r="L13" s="30"/>
      <c r="M13" s="30"/>
      <c r="N13" s="30"/>
      <c r="O13" s="30"/>
      <c r="P13" s="30"/>
      <c r="Q13" s="30"/>
      <c r="R13" s="10"/>
      <c r="S13" s="10"/>
      <c r="T13" s="10"/>
      <c r="U13" s="10"/>
      <c r="V13" s="10"/>
      <c r="W13" s="10"/>
      <c r="X13" s="10"/>
      <c r="Y13" s="10"/>
      <c r="Z13" s="10"/>
    </row>
    <row r="14" spans="1:26" ht="17.100000000000001" customHeight="1" x14ac:dyDescent="0.25">
      <c r="A14" s="40" t="s">
        <v>93</v>
      </c>
      <c r="B14" s="31">
        <v>73029</v>
      </c>
      <c r="C14" s="31">
        <v>50223</v>
      </c>
      <c r="D14" s="31">
        <v>46351</v>
      </c>
      <c r="E14" s="31">
        <v>0</v>
      </c>
      <c r="F14" s="31"/>
      <c r="G14" s="31">
        <v>0</v>
      </c>
      <c r="H14" s="127">
        <f>+SUM(C14:E14)-B14</f>
        <v>23545</v>
      </c>
      <c r="I14" s="31">
        <f>+G14+H14</f>
        <v>23545</v>
      </c>
      <c r="J14" s="30"/>
      <c r="K14" s="30"/>
      <c r="L14" s="30"/>
      <c r="M14" s="30"/>
      <c r="N14" s="30"/>
      <c r="O14" s="30"/>
      <c r="P14" s="30"/>
      <c r="Q14" s="30"/>
      <c r="R14" s="10"/>
      <c r="S14" s="10"/>
      <c r="T14" s="10"/>
      <c r="U14" s="10"/>
      <c r="V14" s="10"/>
      <c r="W14" s="10"/>
      <c r="X14" s="10"/>
      <c r="Y14" s="10"/>
      <c r="Z14" s="10"/>
    </row>
    <row r="15" spans="1:26" ht="17.25" x14ac:dyDescent="0.35">
      <c r="A15" s="40" t="s">
        <v>94</v>
      </c>
      <c r="B15" s="41">
        <v>14254</v>
      </c>
      <c r="C15" s="41">
        <v>18446</v>
      </c>
      <c r="D15" s="41">
        <v>0</v>
      </c>
      <c r="E15" s="41">
        <v>934</v>
      </c>
      <c r="F15" s="41"/>
      <c r="G15" s="41">
        <v>0</v>
      </c>
      <c r="H15" s="41">
        <f>+SUM(C15:E15)-B15</f>
        <v>5126</v>
      </c>
      <c r="I15" s="41">
        <f>+G15+H15</f>
        <v>5126</v>
      </c>
      <c r="J15" s="30"/>
      <c r="K15" s="30"/>
      <c r="L15" s="30"/>
      <c r="M15" s="30"/>
      <c r="N15" s="30"/>
      <c r="O15" s="30"/>
      <c r="P15" s="30"/>
      <c r="Q15" s="30"/>
      <c r="R15" s="10"/>
      <c r="S15" s="10"/>
      <c r="T15" s="10"/>
      <c r="U15" s="10"/>
      <c r="V15" s="10"/>
      <c r="W15" s="10"/>
      <c r="X15" s="10"/>
      <c r="Y15" s="10"/>
      <c r="Z15" s="10"/>
    </row>
    <row r="16" spans="1:26" ht="20.100000000000001" customHeight="1" x14ac:dyDescent="0.35">
      <c r="A16" s="44" t="s">
        <v>72</v>
      </c>
      <c r="B16" s="41">
        <f>SUM(B14:B15)</f>
        <v>87283</v>
      </c>
      <c r="C16" s="41">
        <f>SUM(C14:C15)</f>
        <v>68669</v>
      </c>
      <c r="D16" s="41">
        <f>SUM(D14:D15)</f>
        <v>46351</v>
      </c>
      <c r="E16" s="41">
        <f>SUM(E14:E15)</f>
        <v>934</v>
      </c>
      <c r="F16" s="41"/>
      <c r="G16" s="41">
        <f>SUM(G14:G15)</f>
        <v>0</v>
      </c>
      <c r="H16" s="41">
        <f>SUM(H14:H15)</f>
        <v>28671</v>
      </c>
      <c r="I16" s="41">
        <f>SUM(I14:I15)</f>
        <v>28671</v>
      </c>
      <c r="J16" s="30"/>
      <c r="K16" s="30"/>
      <c r="L16" s="30"/>
      <c r="M16" s="30"/>
      <c r="N16" s="30"/>
      <c r="O16" s="30"/>
      <c r="P16" s="30"/>
      <c r="Q16" s="30"/>
      <c r="R16" s="10"/>
      <c r="S16" s="10"/>
      <c r="T16" s="10"/>
      <c r="U16" s="10"/>
      <c r="V16" s="10"/>
      <c r="W16" s="10"/>
      <c r="X16" s="10"/>
      <c r="Y16" s="10"/>
      <c r="Z16" s="10"/>
    </row>
    <row r="17" spans="1:26" ht="20.100000000000001" customHeight="1" x14ac:dyDescent="0.35">
      <c r="A17" s="124" t="s">
        <v>73</v>
      </c>
      <c r="B17" s="49">
        <f>+B16+B11</f>
        <v>4608933</v>
      </c>
      <c r="C17" s="49">
        <f>+C16+C11</f>
        <v>130856</v>
      </c>
      <c r="D17" s="49">
        <f>+D16+D11</f>
        <v>119578</v>
      </c>
      <c r="E17" s="49">
        <f>+E16+E11</f>
        <v>10341</v>
      </c>
      <c r="F17" s="128"/>
      <c r="G17" s="41">
        <f>+G16+G11</f>
        <v>-4376829</v>
      </c>
      <c r="H17" s="41">
        <f>+H16+H11</f>
        <v>28671</v>
      </c>
      <c r="I17" s="41">
        <f>I11+I16</f>
        <v>-4348158</v>
      </c>
      <c r="J17" s="30"/>
      <c r="K17" s="30"/>
      <c r="L17" s="30"/>
      <c r="M17" s="30"/>
      <c r="N17" s="30"/>
      <c r="O17" s="30"/>
      <c r="P17" s="30"/>
      <c r="Q17" s="30"/>
      <c r="R17" s="10"/>
      <c r="S17" s="10"/>
      <c r="T17" s="10"/>
      <c r="U17" s="10"/>
      <c r="V17" s="10"/>
      <c r="W17" s="10"/>
      <c r="X17" s="10"/>
      <c r="Y17" s="10"/>
      <c r="Z17" s="10"/>
    </row>
    <row r="18" spans="1:26" ht="8.1" customHeight="1" x14ac:dyDescent="0.25">
      <c r="A18" s="124"/>
      <c r="B18" s="30"/>
      <c r="C18" s="30"/>
      <c r="D18" s="30"/>
      <c r="E18" s="30"/>
      <c r="F18" s="30"/>
      <c r="G18" s="30"/>
      <c r="H18" s="30"/>
      <c r="I18" s="30"/>
      <c r="J18" s="30"/>
      <c r="K18" s="30"/>
      <c r="L18" s="30"/>
      <c r="M18" s="30"/>
      <c r="N18" s="30"/>
      <c r="O18" s="30"/>
      <c r="P18" s="30"/>
      <c r="Q18" s="30"/>
      <c r="R18" s="10"/>
      <c r="S18" s="10"/>
      <c r="T18" s="10"/>
      <c r="U18" s="10"/>
      <c r="V18" s="10"/>
      <c r="W18" s="10"/>
      <c r="X18" s="10"/>
      <c r="Y18" s="10"/>
      <c r="Z18" s="10"/>
    </row>
    <row r="19" spans="1:26" ht="15.75" x14ac:dyDescent="0.25">
      <c r="A19" s="30"/>
      <c r="B19" s="42" t="s">
        <v>74</v>
      </c>
      <c r="C19" s="30"/>
      <c r="D19" s="30"/>
      <c r="E19" s="30"/>
      <c r="F19" s="30"/>
      <c r="G19" s="30"/>
      <c r="H19" s="30"/>
      <c r="I19" s="30"/>
      <c r="J19" s="30"/>
      <c r="K19" s="30"/>
      <c r="L19" s="30"/>
      <c r="M19" s="30"/>
      <c r="N19" s="30"/>
      <c r="O19" s="30"/>
      <c r="P19" s="30"/>
      <c r="Q19" s="30"/>
      <c r="R19" s="10"/>
      <c r="S19" s="10"/>
      <c r="T19" s="10"/>
      <c r="U19" s="10"/>
      <c r="V19" s="10"/>
      <c r="W19" s="10"/>
      <c r="X19" s="10"/>
      <c r="Y19" s="10"/>
      <c r="Z19" s="10"/>
    </row>
    <row r="20" spans="1:26" ht="15.75" x14ac:dyDescent="0.25">
      <c r="A20" s="30"/>
      <c r="B20" s="40" t="s">
        <v>140</v>
      </c>
      <c r="C20" s="30"/>
      <c r="D20" s="30"/>
      <c r="E20" s="30"/>
      <c r="F20" s="30"/>
      <c r="G20" s="31">
        <v>1228279</v>
      </c>
      <c r="H20" s="31">
        <v>0</v>
      </c>
      <c r="I20" s="31">
        <f t="shared" ref="I20:I25" si="0">+G20+H20</f>
        <v>1228279</v>
      </c>
      <c r="J20" s="30"/>
      <c r="K20" s="30"/>
      <c r="L20" s="30"/>
      <c r="M20" s="30"/>
      <c r="N20" s="30"/>
      <c r="O20" s="30"/>
      <c r="P20" s="30"/>
      <c r="Q20" s="30"/>
      <c r="R20" s="10"/>
      <c r="S20" s="10"/>
      <c r="T20" s="10"/>
      <c r="U20" s="10"/>
      <c r="V20" s="10"/>
      <c r="W20" s="10"/>
      <c r="X20" s="10"/>
      <c r="Y20" s="10"/>
      <c r="Z20" s="10"/>
    </row>
    <row r="21" spans="1:26" ht="15.75" x14ac:dyDescent="0.25">
      <c r="A21" s="30"/>
      <c r="B21" s="40" t="s">
        <v>141</v>
      </c>
      <c r="C21" s="30"/>
      <c r="D21" s="30"/>
      <c r="E21" s="30"/>
      <c r="F21" s="30"/>
      <c r="G21" s="31">
        <v>2707216</v>
      </c>
      <c r="H21" s="31">
        <v>0</v>
      </c>
      <c r="I21" s="31">
        <f t="shared" si="0"/>
        <v>2707216</v>
      </c>
      <c r="J21" s="30"/>
      <c r="K21" s="30"/>
      <c r="L21" s="30"/>
      <c r="M21" s="30"/>
      <c r="N21" s="30"/>
      <c r="O21" s="30"/>
      <c r="P21" s="30"/>
      <c r="Q21" s="30"/>
      <c r="R21" s="10"/>
      <c r="S21" s="10"/>
      <c r="T21" s="10"/>
      <c r="U21" s="10"/>
      <c r="V21" s="10"/>
      <c r="W21" s="10"/>
      <c r="X21" s="10"/>
      <c r="Y21" s="10"/>
      <c r="Z21" s="10"/>
    </row>
    <row r="22" spans="1:26" ht="15.75" x14ac:dyDescent="0.25">
      <c r="A22" s="30"/>
      <c r="B22" s="40" t="s">
        <v>181</v>
      </c>
      <c r="C22" s="30"/>
      <c r="D22" s="30"/>
      <c r="E22" s="30"/>
      <c r="F22" s="30"/>
      <c r="G22" s="31">
        <v>71470</v>
      </c>
      <c r="H22" s="31">
        <v>0</v>
      </c>
      <c r="I22" s="31">
        <f t="shared" si="0"/>
        <v>71470</v>
      </c>
      <c r="J22" s="30"/>
      <c r="K22" s="30"/>
      <c r="L22" s="30"/>
      <c r="M22" s="30"/>
      <c r="N22" s="30"/>
      <c r="O22" s="30"/>
      <c r="P22" s="30"/>
      <c r="Q22" s="30"/>
      <c r="R22" s="10"/>
      <c r="S22" s="10"/>
      <c r="T22" s="10"/>
      <c r="U22" s="10"/>
      <c r="V22" s="10"/>
      <c r="W22" s="10"/>
      <c r="X22" s="10"/>
      <c r="Y22" s="10"/>
      <c r="Z22" s="10"/>
    </row>
    <row r="23" spans="1:26" ht="15.75" x14ac:dyDescent="0.25">
      <c r="A23" s="30"/>
      <c r="B23" s="40" t="s">
        <v>226</v>
      </c>
      <c r="C23" s="30"/>
      <c r="D23" s="30"/>
      <c r="E23" s="30"/>
      <c r="F23" s="30"/>
      <c r="G23" s="31">
        <f>103373+725+230000</f>
        <v>334098</v>
      </c>
      <c r="H23" s="31">
        <v>0</v>
      </c>
      <c r="I23" s="31">
        <f t="shared" si="0"/>
        <v>334098</v>
      </c>
      <c r="J23" s="30"/>
      <c r="K23" s="30"/>
      <c r="L23" s="30"/>
      <c r="M23" s="30"/>
      <c r="N23" s="30"/>
      <c r="O23" s="30"/>
      <c r="P23" s="30"/>
      <c r="Q23" s="30"/>
      <c r="R23" s="10"/>
      <c r="S23" s="10"/>
      <c r="T23" s="10"/>
      <c r="U23" s="10"/>
      <c r="V23" s="10"/>
      <c r="W23" s="10"/>
      <c r="X23" s="10"/>
      <c r="Y23" s="10"/>
      <c r="Z23" s="10"/>
    </row>
    <row r="24" spans="1:26" ht="15.75" x14ac:dyDescent="0.25">
      <c r="A24" s="30"/>
      <c r="B24" s="40" t="s">
        <v>128</v>
      </c>
      <c r="C24" s="30"/>
      <c r="D24" s="30"/>
      <c r="E24" s="30"/>
      <c r="F24" s="30"/>
      <c r="G24" s="31">
        <v>3823</v>
      </c>
      <c r="H24" s="31">
        <v>0</v>
      </c>
      <c r="I24" s="31">
        <f t="shared" si="0"/>
        <v>3823</v>
      </c>
      <c r="J24" s="30"/>
      <c r="K24" s="30"/>
      <c r="L24" s="30"/>
      <c r="M24" s="30"/>
      <c r="N24" s="30"/>
      <c r="O24" s="30"/>
      <c r="P24" s="30"/>
      <c r="Q24" s="30"/>
      <c r="R24" s="10"/>
      <c r="S24" s="10"/>
      <c r="T24" s="10"/>
      <c r="U24" s="10"/>
      <c r="V24" s="10"/>
      <c r="W24" s="10"/>
      <c r="X24" s="10"/>
      <c r="Y24" s="10"/>
      <c r="Z24" s="10"/>
    </row>
    <row r="25" spans="1:26" ht="17.25" x14ac:dyDescent="0.35">
      <c r="A25" s="30"/>
      <c r="B25" s="40" t="s">
        <v>95</v>
      </c>
      <c r="C25" s="30"/>
      <c r="D25" s="30"/>
      <c r="E25" s="30"/>
      <c r="F25" s="129"/>
      <c r="G25" s="107">
        <f>117956+766</f>
        <v>118722</v>
      </c>
      <c r="H25" s="107">
        <v>0</v>
      </c>
      <c r="I25" s="107">
        <f t="shared" si="0"/>
        <v>118722</v>
      </c>
      <c r="J25" s="30"/>
      <c r="K25" s="30"/>
      <c r="L25" s="30"/>
      <c r="M25" s="30"/>
      <c r="N25" s="30"/>
      <c r="O25" s="30"/>
      <c r="P25" s="30"/>
      <c r="Q25" s="30"/>
      <c r="R25" s="10"/>
      <c r="S25" s="10"/>
      <c r="T25" s="10"/>
      <c r="U25" s="10"/>
      <c r="V25" s="10"/>
      <c r="W25" s="10"/>
      <c r="X25" s="10"/>
      <c r="Y25" s="10"/>
      <c r="Z25" s="10"/>
    </row>
    <row r="26" spans="1:26" ht="20.100000000000001" customHeight="1" x14ac:dyDescent="0.35">
      <c r="A26" s="30"/>
      <c r="B26" s="45" t="s">
        <v>231</v>
      </c>
      <c r="C26" s="30"/>
      <c r="D26" s="30"/>
      <c r="E26" s="30"/>
      <c r="F26" s="30"/>
      <c r="G26" s="41">
        <f>SUM(G20:G25)</f>
        <v>4463608</v>
      </c>
      <c r="H26" s="41">
        <f>SUM(H20:H25)</f>
        <v>0</v>
      </c>
      <c r="I26" s="41">
        <f>SUM(I20:I25)</f>
        <v>4463608</v>
      </c>
      <c r="J26" s="30"/>
      <c r="K26" s="30" t="s">
        <v>49</v>
      </c>
      <c r="L26" s="30"/>
      <c r="M26" s="30"/>
      <c r="N26" s="30"/>
      <c r="O26" s="30"/>
      <c r="P26" s="30"/>
      <c r="Q26" s="30"/>
      <c r="R26" s="10"/>
      <c r="S26" s="10"/>
      <c r="T26" s="10"/>
      <c r="U26" s="10"/>
      <c r="V26" s="10"/>
      <c r="W26" s="10"/>
      <c r="X26" s="10"/>
      <c r="Y26" s="10"/>
      <c r="Z26" s="10"/>
    </row>
    <row r="27" spans="1:26" ht="21.95" customHeight="1" x14ac:dyDescent="0.25">
      <c r="A27" s="30"/>
      <c r="B27" s="266" t="s">
        <v>170</v>
      </c>
      <c r="C27" s="115"/>
      <c r="D27" s="115"/>
      <c r="E27" s="115"/>
      <c r="F27" s="115"/>
      <c r="G27" s="130">
        <f>+G26+G17</f>
        <v>86779</v>
      </c>
      <c r="H27" s="130">
        <f>+H26+H17</f>
        <v>28671</v>
      </c>
      <c r="I27" s="130">
        <f>+G27+H27</f>
        <v>115450</v>
      </c>
      <c r="J27" s="30"/>
      <c r="K27" s="30"/>
      <c r="L27" s="30"/>
      <c r="M27" s="30"/>
      <c r="N27" s="30"/>
      <c r="O27" s="30"/>
      <c r="P27" s="30"/>
      <c r="Q27" s="30"/>
      <c r="R27" s="10"/>
      <c r="S27" s="10"/>
      <c r="T27" s="10"/>
      <c r="U27" s="10"/>
      <c r="V27" s="10"/>
      <c r="W27" s="10"/>
      <c r="X27" s="10"/>
      <c r="Y27" s="10"/>
      <c r="Z27" s="10"/>
    </row>
    <row r="28" spans="1:26" ht="20.100000000000001" customHeight="1" x14ac:dyDescent="0.35">
      <c r="A28" s="30"/>
      <c r="B28" s="30" t="s">
        <v>192</v>
      </c>
      <c r="C28" s="30"/>
      <c r="D28" s="30"/>
      <c r="E28" s="30"/>
      <c r="F28" s="30"/>
      <c r="G28" s="41">
        <f>2210506-104951-71470-140000-368684</f>
        <v>1525401</v>
      </c>
      <c r="H28" s="41">
        <v>21292</v>
      </c>
      <c r="I28" s="41">
        <f>+G28+H28</f>
        <v>1546693</v>
      </c>
      <c r="J28" s="30"/>
      <c r="K28" s="30"/>
      <c r="L28" s="30"/>
      <c r="M28" s="30"/>
      <c r="N28" s="30"/>
      <c r="O28" s="30"/>
      <c r="P28" s="30"/>
      <c r="Q28" s="30"/>
      <c r="R28" s="10"/>
      <c r="S28" s="10"/>
      <c r="T28" s="10"/>
      <c r="U28" s="10"/>
      <c r="V28" s="10"/>
      <c r="W28" s="10"/>
      <c r="X28" s="10"/>
      <c r="Y28" s="10"/>
      <c r="Z28" s="10"/>
    </row>
    <row r="29" spans="1:26" ht="20.100000000000001" customHeight="1" x14ac:dyDescent="0.35">
      <c r="A29" s="30"/>
      <c r="B29" s="30" t="s">
        <v>193</v>
      </c>
      <c r="C29" s="30"/>
      <c r="D29" s="30"/>
      <c r="E29" s="30"/>
      <c r="F29" s="131"/>
      <c r="G29" s="49">
        <f>+G28+G27</f>
        <v>1612180</v>
      </c>
      <c r="H29" s="49">
        <f>+H27+H28</f>
        <v>49963</v>
      </c>
      <c r="I29" s="49">
        <f>+I27+I28</f>
        <v>1662143</v>
      </c>
      <c r="J29" s="30"/>
      <c r="K29" s="30"/>
      <c r="L29" s="30"/>
      <c r="M29" s="30"/>
      <c r="N29" s="30"/>
      <c r="O29" s="30"/>
      <c r="P29" s="30"/>
      <c r="Q29" s="30"/>
      <c r="R29" s="10"/>
      <c r="S29" s="10"/>
      <c r="T29" s="10"/>
      <c r="U29" s="10"/>
      <c r="V29" s="10"/>
      <c r="W29" s="10"/>
      <c r="X29" s="10"/>
      <c r="Y29" s="10"/>
      <c r="Z29" s="10"/>
    </row>
    <row r="30" spans="1:26" ht="15.75" x14ac:dyDescent="0.25">
      <c r="A30" s="30"/>
      <c r="B30" s="30"/>
      <c r="C30" s="30"/>
      <c r="D30" s="30"/>
      <c r="E30" s="30"/>
      <c r="F30" s="30"/>
      <c r="G30" s="106"/>
      <c r="H30" s="106"/>
      <c r="I30" s="106"/>
      <c r="J30" s="30"/>
      <c r="K30" s="30"/>
      <c r="L30" s="30"/>
      <c r="M30" s="30"/>
      <c r="N30" s="30"/>
      <c r="O30" s="30"/>
      <c r="P30" s="30"/>
      <c r="Q30" s="30"/>
      <c r="R30" s="10"/>
      <c r="S30" s="10"/>
      <c r="T30" s="10"/>
      <c r="U30" s="10"/>
      <c r="V30" s="10"/>
      <c r="W30" s="10"/>
      <c r="X30" s="10"/>
      <c r="Y30" s="10"/>
      <c r="Z30" s="10"/>
    </row>
    <row r="31" spans="1:26" ht="15.75" x14ac:dyDescent="0.25">
      <c r="A31" s="30"/>
      <c r="B31" s="30"/>
      <c r="C31" s="30"/>
      <c r="D31" s="30"/>
      <c r="E31" s="30"/>
      <c r="F31" s="30"/>
      <c r="G31" s="106"/>
      <c r="H31" s="106"/>
      <c r="I31" s="106"/>
      <c r="J31" s="30"/>
      <c r="K31" s="30"/>
      <c r="L31" s="30"/>
      <c r="M31" s="30"/>
      <c r="N31" s="30"/>
      <c r="O31" s="30"/>
      <c r="P31" s="30"/>
      <c r="Q31" s="30"/>
      <c r="R31" s="10"/>
      <c r="S31" s="10"/>
      <c r="T31" s="10"/>
      <c r="U31" s="10"/>
      <c r="V31" s="10"/>
      <c r="W31" s="10"/>
      <c r="X31" s="10"/>
      <c r="Y31" s="10"/>
      <c r="Z31" s="10"/>
    </row>
    <row r="32" spans="1:26" ht="15.75" x14ac:dyDescent="0.25">
      <c r="A32" s="132" t="s">
        <v>180</v>
      </c>
      <c r="B32" s="88"/>
      <c r="C32" s="30"/>
      <c r="D32" s="30"/>
      <c r="E32" s="30"/>
      <c r="F32" s="30"/>
      <c r="G32" s="30"/>
      <c r="H32" s="30" t="s">
        <v>159</v>
      </c>
      <c r="I32" s="30"/>
      <c r="J32" s="30"/>
      <c r="K32" s="30"/>
      <c r="L32" s="30"/>
      <c r="M32" s="30"/>
      <c r="N32" s="30"/>
      <c r="O32" s="30"/>
      <c r="P32" s="30"/>
      <c r="Q32" s="30"/>
      <c r="R32" s="10"/>
      <c r="S32" s="10"/>
      <c r="T32" s="10"/>
      <c r="U32" s="10"/>
      <c r="V32" s="10"/>
      <c r="W32" s="10"/>
      <c r="X32" s="10"/>
      <c r="Y32" s="10"/>
      <c r="Z32" s="10"/>
    </row>
    <row r="33" spans="1:26" ht="15.75" x14ac:dyDescent="0.25">
      <c r="A33" s="30"/>
      <c r="B33" s="133"/>
      <c r="C33" s="133"/>
      <c r="D33" s="133"/>
      <c r="E33" s="133"/>
      <c r="F33" s="126"/>
      <c r="G33" s="126"/>
      <c r="H33" s="126"/>
      <c r="I33" s="126"/>
      <c r="J33" s="30"/>
      <c r="K33" s="30"/>
      <c r="L33" s="30"/>
      <c r="M33" s="30"/>
      <c r="N33" s="30"/>
      <c r="O33" s="30"/>
      <c r="P33" s="30"/>
      <c r="Q33" s="30"/>
      <c r="R33" s="10"/>
      <c r="S33" s="10"/>
      <c r="T33" s="10"/>
      <c r="U33" s="10"/>
      <c r="V33" s="10"/>
      <c r="W33" s="10"/>
      <c r="X33" s="10"/>
      <c r="Y33" s="10"/>
      <c r="Z33" s="10"/>
    </row>
    <row r="34" spans="1:26" ht="15.75" x14ac:dyDescent="0.25">
      <c r="A34" s="364"/>
      <c r="B34" s="364"/>
      <c r="C34" s="364"/>
      <c r="D34" s="364"/>
      <c r="E34" s="364"/>
      <c r="F34" s="42"/>
      <c r="G34" s="42"/>
      <c r="H34" s="42"/>
      <c r="I34" s="42"/>
      <c r="J34" s="30"/>
      <c r="K34" s="30"/>
      <c r="L34" s="30"/>
      <c r="M34" s="30"/>
      <c r="N34" s="30"/>
      <c r="O34" s="30"/>
      <c r="P34" s="30"/>
      <c r="Q34" s="30"/>
      <c r="R34" s="10"/>
      <c r="S34" s="10"/>
      <c r="T34" s="10"/>
      <c r="U34" s="10"/>
      <c r="V34" s="10"/>
      <c r="W34" s="10"/>
      <c r="X34" s="10"/>
      <c r="Y34" s="10"/>
      <c r="Z34" s="10"/>
    </row>
    <row r="35" spans="1:26" ht="15.75" x14ac:dyDescent="0.25">
      <c r="B35" s="30"/>
      <c r="C35" s="30"/>
      <c r="D35" s="30"/>
      <c r="E35" s="30"/>
      <c r="F35" s="30"/>
      <c r="G35" s="30"/>
      <c r="H35" s="30"/>
      <c r="I35" s="30"/>
      <c r="J35" s="30"/>
      <c r="K35" s="30"/>
      <c r="L35" s="30"/>
      <c r="M35" s="30"/>
      <c r="N35" s="30"/>
      <c r="O35" s="30"/>
      <c r="P35" s="30"/>
      <c r="Q35" s="30"/>
      <c r="R35" s="10"/>
      <c r="S35" s="10"/>
      <c r="T35" s="10"/>
      <c r="U35" s="10"/>
      <c r="V35" s="10"/>
      <c r="W35" s="10"/>
      <c r="X35" s="10"/>
      <c r="Y35" s="10"/>
      <c r="Z35" s="10"/>
    </row>
    <row r="36" spans="1:26" ht="15.75" x14ac:dyDescent="0.25">
      <c r="B36" s="30"/>
      <c r="C36" s="30"/>
      <c r="D36" s="30"/>
      <c r="E36" s="30"/>
      <c r="F36" s="30"/>
      <c r="G36" s="30"/>
      <c r="H36" s="30"/>
      <c r="I36" s="30"/>
      <c r="J36" s="30"/>
      <c r="K36" s="30"/>
      <c r="L36" s="30"/>
      <c r="M36" s="30"/>
      <c r="N36" s="30"/>
      <c r="O36" s="30"/>
      <c r="P36" s="30"/>
      <c r="Q36" s="30"/>
      <c r="R36" s="10"/>
      <c r="S36" s="10"/>
      <c r="T36" s="10"/>
      <c r="U36" s="10"/>
      <c r="V36" s="10"/>
      <c r="W36" s="10"/>
      <c r="X36" s="10"/>
      <c r="Y36" s="10"/>
      <c r="Z36" s="10"/>
    </row>
    <row r="37" spans="1:26" ht="35.1" customHeight="1" x14ac:dyDescent="0.25">
      <c r="A37" s="30"/>
      <c r="B37" s="363" t="s">
        <v>185</v>
      </c>
      <c r="C37" s="363"/>
      <c r="D37" s="363"/>
      <c r="E37" s="363"/>
      <c r="F37" s="30"/>
      <c r="G37" s="136" t="str">
        <f>IF(G29-'GW Net Position Exh 1'!B38=0,"Yes",G29-'GW Net Position Exh 1'!B38)</f>
        <v>Yes</v>
      </c>
      <c r="H37" s="136" t="str">
        <f>IF(H29-'GW Net Position Exh 1'!C38=0,"Yes",H29-'GW Net Position Exh 1'!C38)</f>
        <v>Yes</v>
      </c>
      <c r="I37" s="136" t="str">
        <f>IF(I29-'GW Net Position Exh 1'!D38=0,"Yes",I29-'GW Net Position Exh 1'!D38)</f>
        <v>Yes</v>
      </c>
      <c r="J37" s="30"/>
      <c r="K37" s="30"/>
      <c r="L37" s="30"/>
      <c r="M37" s="30"/>
      <c r="N37" s="30"/>
      <c r="O37" s="30"/>
      <c r="P37" s="30"/>
      <c r="Q37" s="30"/>
      <c r="R37" s="10"/>
      <c r="S37" s="10"/>
      <c r="T37" s="10"/>
      <c r="U37" s="10"/>
      <c r="V37" s="10"/>
      <c r="W37" s="10"/>
      <c r="X37" s="10"/>
      <c r="Y37" s="10"/>
      <c r="Z37" s="10"/>
    </row>
    <row r="38" spans="1:26" ht="18" customHeight="1" x14ac:dyDescent="0.25">
      <c r="A38" s="30"/>
      <c r="B38" s="267" t="s">
        <v>315</v>
      </c>
      <c r="C38" s="30"/>
      <c r="D38" s="30"/>
      <c r="E38" s="80"/>
      <c r="F38" s="30"/>
      <c r="G38" s="30"/>
      <c r="H38" s="270" t="str">
        <f>IF(H16-'Enterprise Income Stmt Exh 7'!F34=0,"Yes",H16-'Enterprise Income Stmt Exh 7'!F34)</f>
        <v>Yes</v>
      </c>
      <c r="I38" s="30"/>
      <c r="J38" s="30"/>
      <c r="K38" s="30"/>
      <c r="L38" s="30"/>
      <c r="M38" s="30"/>
      <c r="N38" s="30"/>
      <c r="O38" s="30"/>
      <c r="P38" s="30"/>
      <c r="Q38" s="30"/>
      <c r="R38" s="10"/>
      <c r="S38" s="10"/>
      <c r="T38" s="10"/>
      <c r="U38" s="10"/>
      <c r="V38" s="10"/>
      <c r="W38" s="10"/>
      <c r="X38" s="10"/>
      <c r="Y38" s="10"/>
      <c r="Z38" s="10"/>
    </row>
    <row r="39" spans="1:26" ht="15.75" x14ac:dyDescent="0.25">
      <c r="A39" s="30"/>
      <c r="B39" s="267" t="s">
        <v>317</v>
      </c>
      <c r="C39" s="30"/>
      <c r="D39" s="30"/>
      <c r="E39" s="30"/>
      <c r="F39" s="30"/>
      <c r="G39" s="30"/>
      <c r="H39" s="271" t="str">
        <f>IF(H29-'Enterprise Income Stmt Exh 7'!F36=0,"Yes",H29-'Enterprise Income Stmt Exh 7'!F36)</f>
        <v>Yes</v>
      </c>
      <c r="I39" s="30"/>
      <c r="J39" s="30"/>
      <c r="K39" s="30"/>
      <c r="L39" s="30"/>
      <c r="M39" s="30"/>
      <c r="N39" s="30"/>
      <c r="O39" s="30"/>
      <c r="P39" s="30"/>
      <c r="Q39" s="30"/>
      <c r="R39" s="10"/>
      <c r="S39" s="10"/>
      <c r="T39" s="10"/>
      <c r="U39" s="10"/>
      <c r="V39" s="10"/>
      <c r="W39" s="10"/>
      <c r="X39" s="10"/>
      <c r="Y39" s="10"/>
      <c r="Z39" s="10"/>
    </row>
    <row r="40" spans="1:26" ht="15.75" x14ac:dyDescent="0.25">
      <c r="B40" s="30"/>
      <c r="C40" s="30"/>
      <c r="D40" s="30"/>
      <c r="E40" s="30"/>
      <c r="F40" s="30"/>
      <c r="G40" s="30"/>
      <c r="H40" s="30"/>
      <c r="I40" s="30"/>
      <c r="J40" s="30"/>
      <c r="K40" s="30"/>
      <c r="L40" s="30"/>
      <c r="M40" s="30"/>
      <c r="N40" s="30"/>
      <c r="O40" s="30"/>
      <c r="P40" s="30"/>
      <c r="Q40" s="30"/>
      <c r="R40" s="10"/>
      <c r="S40" s="10"/>
      <c r="T40" s="10"/>
      <c r="U40" s="10"/>
      <c r="V40" s="10"/>
      <c r="W40" s="10"/>
      <c r="X40" s="10"/>
      <c r="Y40" s="10"/>
      <c r="Z40" s="10"/>
    </row>
    <row r="41" spans="1:26" ht="15.75" x14ac:dyDescent="0.25">
      <c r="A41" s="310" t="s">
        <v>323</v>
      </c>
      <c r="C41" s="30"/>
      <c r="D41" s="30"/>
      <c r="E41" s="30"/>
      <c r="F41" s="30"/>
      <c r="G41" s="30"/>
      <c r="H41" s="30"/>
      <c r="I41" s="30"/>
      <c r="J41" s="30"/>
      <c r="K41" s="30"/>
      <c r="L41" s="30"/>
      <c r="M41" s="30"/>
      <c r="N41" s="30"/>
      <c r="O41" s="30"/>
      <c r="P41" s="30"/>
      <c r="Q41" s="30"/>
      <c r="R41" s="10"/>
      <c r="S41" s="10"/>
      <c r="T41" s="10"/>
      <c r="U41" s="10"/>
      <c r="V41" s="10"/>
      <c r="W41" s="10"/>
      <c r="X41" s="10"/>
      <c r="Y41" s="10"/>
      <c r="Z41" s="10"/>
    </row>
    <row r="42" spans="1:26" ht="51.75" x14ac:dyDescent="0.35">
      <c r="A42" s="30"/>
      <c r="B42" s="67" t="s">
        <v>5</v>
      </c>
      <c r="C42" s="27" t="s">
        <v>66</v>
      </c>
      <c r="D42" s="27" t="s">
        <v>67</v>
      </c>
      <c r="E42" s="27" t="s">
        <v>68</v>
      </c>
      <c r="F42" s="30"/>
      <c r="G42" s="30"/>
      <c r="H42" s="272" t="s">
        <v>322</v>
      </c>
      <c r="I42" s="30"/>
      <c r="J42" s="30"/>
      <c r="K42" s="30"/>
      <c r="L42" s="30"/>
      <c r="M42" s="30"/>
      <c r="N42" s="30"/>
      <c r="O42" s="30"/>
      <c r="P42" s="30"/>
      <c r="Q42" s="30"/>
      <c r="R42" s="10"/>
      <c r="S42" s="10"/>
      <c r="T42" s="10"/>
      <c r="U42" s="10"/>
      <c r="V42" s="10"/>
      <c r="W42" s="10"/>
      <c r="X42" s="10"/>
      <c r="Y42" s="10"/>
      <c r="Z42" s="10"/>
    </row>
    <row r="43" spans="1:26" ht="15.75" x14ac:dyDescent="0.25">
      <c r="A43" s="80" t="s">
        <v>93</v>
      </c>
      <c r="B43" s="271" t="str">
        <f>IF(B14-'Enterprise Income Stmt Exh 7'!R25=0,"Yes",B14-'Enterprise Income Stmt Exh 7'!R25)</f>
        <v>Yes</v>
      </c>
      <c r="C43" s="271" t="str">
        <f>IF(C14-'Enterprise Income Stmt Exh 7'!R13=0,"Yes",C14-'Enterprise Income Stmt Exh 7'!R13)</f>
        <v>Yes</v>
      </c>
      <c r="D43" s="271" t="str">
        <f>IF(D14-'Enterprise Income Stmt Exh 7'!R30=0,"Yes",D14-'Enterprise Income Stmt Exh 7'!R30)</f>
        <v>Yes</v>
      </c>
      <c r="E43" s="271" t="str">
        <f>IF(E14-'Enterprise Income Stmt Exh 7'!R32=0,"Yes",E14-'Enterprise Income Stmt Exh 7'!R32)</f>
        <v>Yes</v>
      </c>
      <c r="F43" s="30"/>
      <c r="G43" s="30"/>
      <c r="H43" s="271" t="str">
        <f>IF(H14-'Enterprise Income Stmt Exh 7'!R34=0,"Yes",H14-'Enterprise Income Stmt Exh 7'!R34)</f>
        <v>Yes</v>
      </c>
      <c r="I43" s="30"/>
      <c r="J43" s="30"/>
      <c r="K43" s="30"/>
      <c r="L43" s="30"/>
      <c r="M43" s="30"/>
      <c r="N43" s="30"/>
      <c r="O43" s="30"/>
      <c r="P43" s="30"/>
      <c r="Q43" s="30"/>
      <c r="R43" s="10"/>
      <c r="S43" s="10"/>
      <c r="T43" s="10"/>
      <c r="U43" s="10"/>
      <c r="V43" s="10"/>
      <c r="W43" s="10"/>
      <c r="X43" s="10"/>
      <c r="Y43" s="10"/>
      <c r="Z43" s="10"/>
    </row>
    <row r="44" spans="1:26" ht="15.75" x14ac:dyDescent="0.25">
      <c r="A44" s="80" t="s">
        <v>94</v>
      </c>
      <c r="B44" s="271" t="str">
        <f>IF(B15-'Enterprise Income Stmt Exh 7'!S25=0,"Yes",B15-'Enterprise Income Stmt Exh 7'!S25)</f>
        <v>Yes</v>
      </c>
      <c r="C44" s="271" t="str">
        <f>IF(C15-'Enterprise Income Stmt Exh 7'!S13=0,"Yes",C15-'Enterprise Income Stmt Exh 7'!S13)</f>
        <v>Yes</v>
      </c>
      <c r="D44" s="271" t="str">
        <f>IF(D15-'Enterprise Income Stmt Exh 7'!S30=0,"Yes",D15-'Enterprise Income Stmt Exh 7'!S30)</f>
        <v>Yes</v>
      </c>
      <c r="E44" s="271" t="str">
        <f>IF(E15-'Enterprise Income Stmt Exh 7'!S32=0,"Yes",E15-'Enterprise Income Stmt Exh 7'!S32)</f>
        <v>Yes</v>
      </c>
      <c r="F44" s="30"/>
      <c r="G44" s="30"/>
      <c r="H44" s="271" t="str">
        <f>IF(H15-'Enterprise Income Stmt Exh 7'!S34=0,"Yes",H15-'Enterprise Income Stmt Exh 7'!S34)</f>
        <v>Yes</v>
      </c>
      <c r="I44" s="30"/>
      <c r="J44" s="30"/>
      <c r="K44" s="30"/>
      <c r="L44" s="30"/>
      <c r="M44" s="30"/>
      <c r="N44" s="30"/>
      <c r="O44" s="30"/>
      <c r="P44" s="30"/>
      <c r="Q44" s="30"/>
      <c r="R44" s="10"/>
      <c r="S44" s="10"/>
      <c r="T44" s="10"/>
      <c r="U44" s="10"/>
      <c r="V44" s="10"/>
      <c r="W44" s="10"/>
      <c r="X44" s="10"/>
      <c r="Y44" s="10"/>
      <c r="Z44" s="10"/>
    </row>
    <row r="45" spans="1:26" ht="15.75" x14ac:dyDescent="0.25">
      <c r="A45" s="30"/>
      <c r="B45" s="30"/>
      <c r="C45" s="30"/>
      <c r="D45" s="30"/>
      <c r="E45" s="30"/>
      <c r="F45" s="30"/>
      <c r="G45" s="30"/>
      <c r="H45" s="30"/>
      <c r="I45" s="30"/>
      <c r="J45" s="30"/>
      <c r="K45" s="30"/>
      <c r="L45" s="30"/>
      <c r="M45" s="30"/>
      <c r="N45" s="30"/>
      <c r="O45" s="30"/>
      <c r="P45" s="30"/>
      <c r="Q45" s="30"/>
      <c r="R45" s="10"/>
      <c r="S45" s="10"/>
      <c r="T45" s="10"/>
      <c r="U45" s="10"/>
      <c r="V45" s="10"/>
      <c r="W45" s="10"/>
      <c r="X45" s="10"/>
      <c r="Y45" s="10"/>
      <c r="Z45" s="10"/>
    </row>
    <row r="46" spans="1:26" ht="15.75" x14ac:dyDescent="0.25">
      <c r="A46" s="30"/>
      <c r="B46" s="30"/>
      <c r="C46" s="30"/>
      <c r="D46" s="30"/>
      <c r="E46" s="30"/>
      <c r="F46" s="30"/>
      <c r="G46" s="30"/>
      <c r="H46" s="30"/>
      <c r="I46" s="30"/>
      <c r="J46" s="30"/>
      <c r="K46" s="30"/>
      <c r="L46" s="30"/>
      <c r="M46" s="30"/>
      <c r="N46" s="30"/>
      <c r="O46" s="30"/>
      <c r="P46" s="30"/>
      <c r="Q46" s="30"/>
      <c r="R46" s="10"/>
      <c r="S46" s="10"/>
      <c r="T46" s="10"/>
      <c r="U46" s="10"/>
      <c r="V46" s="10"/>
      <c r="W46" s="10"/>
      <c r="X46" s="10"/>
      <c r="Y46" s="10"/>
      <c r="Z46" s="10"/>
    </row>
    <row r="47" spans="1:26" ht="15.75" x14ac:dyDescent="0.25">
      <c r="A47" s="30"/>
      <c r="B47" s="30"/>
      <c r="C47" s="30"/>
      <c r="D47" s="30"/>
      <c r="E47" s="30"/>
      <c r="F47" s="30"/>
      <c r="G47" s="30"/>
      <c r="H47" s="30"/>
      <c r="I47" s="30"/>
      <c r="J47" s="30"/>
      <c r="K47" s="30"/>
      <c r="L47" s="30"/>
      <c r="M47" s="30"/>
      <c r="N47" s="30"/>
      <c r="O47" s="30"/>
      <c r="P47" s="30"/>
      <c r="Q47" s="30"/>
      <c r="R47" s="10"/>
      <c r="S47" s="10"/>
      <c r="T47" s="10"/>
      <c r="U47" s="10"/>
      <c r="V47" s="10"/>
      <c r="W47" s="10"/>
      <c r="X47" s="10"/>
      <c r="Y47" s="10"/>
      <c r="Z47" s="10"/>
    </row>
    <row r="48" spans="1:26" ht="15.75" x14ac:dyDescent="0.25">
      <c r="A48" s="30"/>
      <c r="B48" s="30"/>
      <c r="C48" s="30"/>
      <c r="D48" s="30"/>
      <c r="E48" s="30"/>
      <c r="F48" s="30"/>
      <c r="G48" s="30"/>
      <c r="H48" s="30"/>
      <c r="I48" s="30"/>
      <c r="J48" s="30"/>
      <c r="K48" s="30"/>
      <c r="L48" s="30"/>
      <c r="M48" s="30"/>
      <c r="N48" s="30"/>
      <c r="O48" s="30"/>
      <c r="P48" s="30"/>
      <c r="Q48" s="30"/>
      <c r="R48" s="10"/>
      <c r="S48" s="10"/>
      <c r="T48" s="10"/>
      <c r="U48" s="10"/>
      <c r="V48" s="10"/>
      <c r="W48" s="10"/>
      <c r="X48" s="10"/>
      <c r="Y48" s="10"/>
      <c r="Z48" s="10"/>
    </row>
    <row r="49" spans="1:26" ht="15.75" x14ac:dyDescent="0.25">
      <c r="A49" s="30"/>
      <c r="B49" s="30"/>
      <c r="C49" s="30"/>
      <c r="D49" s="30"/>
      <c r="E49" s="30"/>
      <c r="F49" s="30"/>
      <c r="G49" s="30"/>
      <c r="H49" s="30"/>
      <c r="I49" s="30"/>
      <c r="J49" s="30"/>
      <c r="K49" s="30"/>
      <c r="L49" s="30"/>
      <c r="M49" s="30"/>
      <c r="N49" s="30"/>
      <c r="O49" s="30"/>
      <c r="P49" s="30"/>
      <c r="Q49" s="30"/>
      <c r="R49" s="10"/>
      <c r="S49" s="10"/>
      <c r="T49" s="10"/>
      <c r="U49" s="10"/>
      <c r="V49" s="10"/>
      <c r="W49" s="10"/>
      <c r="X49" s="10"/>
      <c r="Y49" s="10"/>
      <c r="Z49" s="10"/>
    </row>
    <row r="50" spans="1:26" ht="15.75" x14ac:dyDescent="0.25">
      <c r="A50" s="30"/>
      <c r="B50" s="30"/>
      <c r="C50" s="30"/>
      <c r="D50" s="30"/>
      <c r="E50" s="30"/>
      <c r="F50" s="30"/>
      <c r="G50" s="30"/>
      <c r="H50" s="30"/>
      <c r="I50" s="30"/>
      <c r="J50" s="30"/>
      <c r="K50" s="30"/>
      <c r="L50" s="30"/>
      <c r="M50" s="30"/>
      <c r="N50" s="30"/>
      <c r="O50" s="30"/>
      <c r="P50" s="30"/>
      <c r="Q50" s="30"/>
      <c r="R50" s="10"/>
      <c r="S50" s="10"/>
      <c r="T50" s="10"/>
      <c r="U50" s="10"/>
      <c r="V50" s="10"/>
      <c r="W50" s="10"/>
      <c r="X50" s="10"/>
      <c r="Y50" s="10"/>
      <c r="Z50" s="10"/>
    </row>
    <row r="51" spans="1:26" ht="15.75" x14ac:dyDescent="0.25">
      <c r="A51" s="30"/>
      <c r="B51" s="30"/>
      <c r="C51" s="30"/>
      <c r="D51" s="30"/>
      <c r="E51" s="30"/>
      <c r="F51" s="30"/>
      <c r="G51" s="30"/>
      <c r="H51" s="30"/>
      <c r="I51" s="30"/>
      <c r="J51" s="30"/>
      <c r="K51" s="30"/>
      <c r="L51" s="30"/>
      <c r="M51" s="30"/>
      <c r="N51" s="30"/>
      <c r="O51" s="30"/>
      <c r="P51" s="30"/>
      <c r="Q51" s="30"/>
      <c r="R51" s="10"/>
      <c r="S51" s="10"/>
      <c r="T51" s="10"/>
      <c r="U51" s="10"/>
      <c r="V51" s="10"/>
      <c r="W51" s="10"/>
      <c r="X51" s="10"/>
      <c r="Y51" s="10"/>
      <c r="Z51" s="10"/>
    </row>
    <row r="52" spans="1:26" ht="15.75" x14ac:dyDescent="0.25">
      <c r="A52" s="30"/>
      <c r="B52" s="30"/>
      <c r="C52" s="30"/>
      <c r="D52" s="30"/>
      <c r="E52" s="30"/>
      <c r="F52" s="30"/>
      <c r="G52" s="30"/>
      <c r="H52" s="30"/>
      <c r="I52" s="30"/>
      <c r="J52" s="30"/>
      <c r="K52" s="30"/>
      <c r="L52" s="30"/>
      <c r="M52" s="30"/>
      <c r="N52" s="30"/>
      <c r="O52" s="30"/>
      <c r="P52" s="30"/>
      <c r="Q52" s="30"/>
      <c r="R52" s="10"/>
      <c r="S52" s="10"/>
      <c r="T52" s="10"/>
      <c r="U52" s="10"/>
      <c r="V52" s="10"/>
      <c r="W52" s="10"/>
      <c r="X52" s="10"/>
      <c r="Y52" s="10"/>
      <c r="Z52" s="10"/>
    </row>
    <row r="53" spans="1:26" ht="15.75" x14ac:dyDescent="0.25">
      <c r="A53" s="30"/>
      <c r="B53" s="30"/>
      <c r="C53" s="30"/>
      <c r="D53" s="30"/>
      <c r="E53" s="30"/>
      <c r="F53" s="30"/>
      <c r="G53" s="30"/>
      <c r="H53" s="30"/>
      <c r="I53" s="30"/>
      <c r="J53" s="30"/>
      <c r="K53" s="30"/>
      <c r="L53" s="30"/>
      <c r="M53" s="30"/>
      <c r="N53" s="30"/>
      <c r="O53" s="30"/>
      <c r="P53" s="30"/>
      <c r="Q53" s="30"/>
      <c r="R53" s="10"/>
      <c r="S53" s="10"/>
      <c r="T53" s="10"/>
      <c r="U53" s="10"/>
      <c r="V53" s="10"/>
      <c r="W53" s="10"/>
      <c r="X53" s="10"/>
      <c r="Y53" s="10"/>
      <c r="Z53" s="10"/>
    </row>
    <row r="54" spans="1:26" ht="15.75" x14ac:dyDescent="0.25">
      <c r="A54" s="30"/>
      <c r="B54" s="30"/>
      <c r="C54" s="30"/>
      <c r="D54" s="30"/>
      <c r="E54" s="30"/>
      <c r="F54" s="30"/>
      <c r="G54" s="30"/>
      <c r="H54" s="30"/>
      <c r="I54" s="30"/>
      <c r="J54" s="30"/>
      <c r="K54" s="30"/>
      <c r="L54" s="30"/>
      <c r="M54" s="30"/>
      <c r="N54" s="30"/>
      <c r="O54" s="30"/>
      <c r="P54" s="30"/>
      <c r="Q54" s="30"/>
      <c r="R54" s="10"/>
      <c r="S54" s="10"/>
      <c r="T54" s="10"/>
      <c r="U54" s="10"/>
      <c r="V54" s="10"/>
      <c r="W54" s="10"/>
      <c r="X54" s="10"/>
      <c r="Y54" s="10"/>
      <c r="Z54" s="10"/>
    </row>
    <row r="55" spans="1:26" ht="15.75" x14ac:dyDescent="0.25">
      <c r="A55" s="30"/>
      <c r="B55" s="30"/>
      <c r="C55" s="30"/>
      <c r="D55" s="30"/>
      <c r="E55" s="30"/>
      <c r="F55" s="30"/>
      <c r="G55" s="30"/>
      <c r="H55" s="30"/>
      <c r="I55" s="30"/>
      <c r="J55" s="30"/>
      <c r="K55" s="30"/>
      <c r="L55" s="30"/>
      <c r="M55" s="30"/>
      <c r="N55" s="30"/>
      <c r="O55" s="30"/>
      <c r="P55" s="30"/>
      <c r="Q55" s="30"/>
      <c r="R55" s="10"/>
      <c r="S55" s="10"/>
      <c r="T55" s="10"/>
      <c r="U55" s="10"/>
      <c r="V55" s="10"/>
      <c r="W55" s="10"/>
      <c r="X55" s="10"/>
      <c r="Y55" s="10"/>
      <c r="Z55" s="10"/>
    </row>
    <row r="56" spans="1:26" ht="15.75" x14ac:dyDescent="0.25">
      <c r="A56" s="30"/>
      <c r="B56" s="30"/>
      <c r="C56" s="30"/>
      <c r="D56" s="30"/>
      <c r="E56" s="30"/>
      <c r="F56" s="30"/>
      <c r="G56" s="30"/>
      <c r="H56" s="30"/>
      <c r="I56" s="30"/>
      <c r="J56" s="30"/>
      <c r="K56" s="30"/>
      <c r="L56" s="30"/>
      <c r="M56" s="30"/>
      <c r="N56" s="30"/>
      <c r="O56" s="30"/>
      <c r="P56" s="30"/>
      <c r="Q56" s="30"/>
      <c r="R56" s="10"/>
      <c r="S56" s="10"/>
      <c r="T56" s="10"/>
      <c r="U56" s="10"/>
      <c r="V56" s="10"/>
      <c r="W56" s="10"/>
      <c r="X56" s="10"/>
      <c r="Y56" s="10"/>
      <c r="Z56" s="10"/>
    </row>
    <row r="57" spans="1:26" ht="15.75"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sheetData>
  <mergeCells count="7">
    <mergeCell ref="B37:E37"/>
    <mergeCell ref="A34:E34"/>
    <mergeCell ref="C4:E4"/>
    <mergeCell ref="G4:I4"/>
    <mergeCell ref="A1:I1"/>
    <mergeCell ref="A2:I2"/>
    <mergeCell ref="A3:I3"/>
  </mergeCells>
  <phoneticPr fontId="0" type="noConversion"/>
  <conditionalFormatting sqref="G37:I37">
    <cfRule type="cellIs" dxfId="97" priority="4" stopIfTrue="1" operator="notEqual">
      <formula>"Yes"</formula>
    </cfRule>
  </conditionalFormatting>
  <conditionalFormatting sqref="H39">
    <cfRule type="cellIs" dxfId="96" priority="3" stopIfTrue="1" operator="notEqual">
      <formula>"Yes"</formula>
    </cfRule>
  </conditionalFormatting>
  <conditionalFormatting sqref="B43:E44 H43:H44">
    <cfRule type="cellIs" dxfId="95" priority="2" stopIfTrue="1" operator="notEqual">
      <formula>"Yes"</formula>
    </cfRule>
  </conditionalFormatting>
  <conditionalFormatting sqref="H38">
    <cfRule type="cellIs" dxfId="94" priority="1" stopIfTrue="1" operator="notEqual">
      <formula>"Yes"</formula>
    </cfRule>
  </conditionalFormatting>
  <pageMargins left="0.75" right="0.75" top="0.75" bottom="0.75" header="0.5" footer="0.5"/>
  <pageSetup scale="76" firstPageNumber="19" orientation="landscape" useFirstPageNumber="1" r:id="rId1"/>
  <headerFooter alignWithMargins="0">
    <oddHeader>&amp;R&amp;12Exhibit 2</oddHeader>
    <oddFooter>&amp;L&amp;12Revised:  July 2020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tabColor theme="7" tint="0.59999389629810485"/>
    <pageSetUpPr fitToPage="1"/>
  </sheetPr>
  <dimension ref="A1:AE83"/>
  <sheetViews>
    <sheetView showGridLines="0" zoomScaleNormal="100" zoomScaleSheetLayoutView="70" zoomScalePageLayoutView="70" workbookViewId="0">
      <selection activeCell="A6" sqref="A6"/>
    </sheetView>
  </sheetViews>
  <sheetFormatPr defaultRowHeight="12.75" x14ac:dyDescent="0.2"/>
  <cols>
    <col min="1" max="1" width="40.7109375" customWidth="1"/>
    <col min="2" max="2" width="14.7109375" style="4" customWidth="1"/>
    <col min="3" max="4" width="14.7109375" customWidth="1"/>
    <col min="5" max="5" width="1.7109375" customWidth="1"/>
    <col min="6" max="8" width="14.7109375" customWidth="1"/>
    <col min="9" max="9" width="1.7109375" customWidth="1"/>
    <col min="10" max="12" width="14.7109375" customWidth="1"/>
  </cols>
  <sheetData>
    <row r="1" spans="1:31" ht="15.75" x14ac:dyDescent="0.25">
      <c r="A1" s="341" t="str">
        <f>'GW Net Position Exh 1'!A1</f>
        <v>Owl Charter, Inc.</v>
      </c>
      <c r="B1" s="341"/>
      <c r="C1" s="341"/>
      <c r="D1" s="341"/>
      <c r="E1" s="341"/>
      <c r="F1" s="341"/>
      <c r="G1" s="341"/>
      <c r="H1" s="341"/>
      <c r="I1" s="341"/>
      <c r="J1" s="341"/>
      <c r="K1" s="341"/>
      <c r="L1" s="341"/>
      <c r="M1" s="20"/>
      <c r="N1" s="20"/>
      <c r="O1" s="20"/>
      <c r="P1" s="20"/>
      <c r="Q1" s="20"/>
      <c r="R1" s="20"/>
      <c r="S1" s="20"/>
      <c r="T1" s="20"/>
      <c r="U1" s="20"/>
      <c r="V1" s="20"/>
      <c r="W1" s="20"/>
      <c r="X1" s="11"/>
      <c r="Y1" s="11"/>
      <c r="Z1" s="11"/>
      <c r="AA1" s="11"/>
      <c r="AB1" s="11"/>
      <c r="AC1" s="11"/>
      <c r="AD1" s="11"/>
      <c r="AE1" s="11"/>
    </row>
    <row r="2" spans="1:31" ht="15.75" x14ac:dyDescent="0.25">
      <c r="A2" s="383" t="s">
        <v>364</v>
      </c>
      <c r="B2" s="383"/>
      <c r="C2" s="383"/>
      <c r="D2" s="383"/>
      <c r="E2" s="383"/>
      <c r="F2" s="383"/>
      <c r="G2" s="383"/>
      <c r="H2" s="383"/>
      <c r="I2" s="383"/>
      <c r="J2" s="383"/>
      <c r="K2" s="383"/>
      <c r="L2" s="383"/>
      <c r="M2" s="20"/>
      <c r="N2" s="20"/>
      <c r="O2" s="20"/>
      <c r="P2" s="20"/>
      <c r="Q2" s="20"/>
      <c r="R2" s="20"/>
      <c r="S2" s="20"/>
      <c r="T2" s="20"/>
      <c r="U2" s="20"/>
      <c r="V2" s="20"/>
      <c r="W2" s="20"/>
      <c r="X2" s="11"/>
      <c r="Y2" s="11"/>
      <c r="Z2" s="11"/>
      <c r="AA2" s="11"/>
      <c r="AB2" s="11"/>
      <c r="AC2" s="11"/>
      <c r="AD2" s="11"/>
      <c r="AE2" s="11"/>
    </row>
    <row r="3" spans="1:31" ht="15.75" x14ac:dyDescent="0.25">
      <c r="A3" s="383" t="s">
        <v>251</v>
      </c>
      <c r="B3" s="383"/>
      <c r="C3" s="383"/>
      <c r="D3" s="383"/>
      <c r="E3" s="383"/>
      <c r="F3" s="383"/>
      <c r="G3" s="383"/>
      <c r="H3" s="383"/>
      <c r="I3" s="383"/>
      <c r="J3" s="383"/>
      <c r="K3" s="383"/>
      <c r="L3" s="383"/>
      <c r="M3" s="20"/>
      <c r="N3" s="20"/>
      <c r="O3" s="20"/>
      <c r="P3" s="20"/>
      <c r="Q3" s="20"/>
      <c r="R3" s="20"/>
      <c r="S3" s="20"/>
      <c r="T3" s="20"/>
      <c r="U3" s="20"/>
      <c r="V3" s="20"/>
      <c r="W3" s="20"/>
      <c r="X3" s="11"/>
      <c r="Y3" s="11"/>
      <c r="Z3" s="11"/>
      <c r="AA3" s="11"/>
      <c r="AB3" s="11"/>
      <c r="AC3" s="11"/>
      <c r="AD3" s="11"/>
      <c r="AE3" s="11"/>
    </row>
    <row r="4" spans="1:31" ht="15.75" x14ac:dyDescent="0.25">
      <c r="A4" s="383" t="s">
        <v>362</v>
      </c>
      <c r="B4" s="383"/>
      <c r="C4" s="383"/>
      <c r="D4" s="383"/>
      <c r="E4" s="383"/>
      <c r="F4" s="383"/>
      <c r="G4" s="383"/>
      <c r="H4" s="383"/>
      <c r="I4" s="383"/>
      <c r="J4" s="383"/>
      <c r="K4" s="383"/>
      <c r="L4" s="383"/>
      <c r="M4" s="20"/>
      <c r="N4" s="20"/>
      <c r="O4" s="20"/>
      <c r="P4" s="20"/>
      <c r="Q4" s="20"/>
      <c r="R4" s="20"/>
      <c r="S4" s="20"/>
      <c r="T4" s="20"/>
      <c r="U4" s="20"/>
      <c r="V4" s="20"/>
      <c r="W4" s="20"/>
      <c r="X4" s="11"/>
      <c r="Y4" s="11"/>
      <c r="Z4" s="11"/>
      <c r="AA4" s="11"/>
      <c r="AB4" s="11"/>
      <c r="AC4" s="11"/>
      <c r="AD4" s="11"/>
      <c r="AE4" s="11"/>
    </row>
    <row r="5" spans="1:31" ht="15.75" x14ac:dyDescent="0.25">
      <c r="A5" s="342" t="str">
        <f>+'GW Stmt Activities Exh 2'!A3</f>
        <v>For the Year Ended June 30, 2020</v>
      </c>
      <c r="B5" s="342"/>
      <c r="C5" s="342"/>
      <c r="D5" s="342"/>
      <c r="E5" s="342"/>
      <c r="F5" s="342"/>
      <c r="G5" s="342"/>
      <c r="H5" s="342"/>
      <c r="I5" s="342"/>
      <c r="J5" s="342"/>
      <c r="K5" s="342"/>
      <c r="L5" s="342"/>
      <c r="M5" s="20"/>
      <c r="N5" s="20"/>
      <c r="O5" s="20"/>
      <c r="P5" s="20"/>
      <c r="Q5" s="20"/>
      <c r="R5" s="20"/>
      <c r="S5" s="20"/>
      <c r="T5" s="20"/>
      <c r="U5" s="20"/>
      <c r="V5" s="20"/>
      <c r="W5" s="20"/>
      <c r="X5" s="11"/>
      <c r="Y5" s="11"/>
      <c r="Z5" s="11"/>
      <c r="AA5" s="11"/>
      <c r="AB5" s="11"/>
      <c r="AC5" s="11"/>
      <c r="AD5" s="11"/>
      <c r="AE5" s="11"/>
    </row>
    <row r="6" spans="1:31" ht="21.95" customHeight="1" x14ac:dyDescent="0.35">
      <c r="A6" s="160"/>
      <c r="B6" s="365" t="str">
        <f>'Govt Funds Bal Sh Exh 3'!C7</f>
        <v>Owl - Doceo</v>
      </c>
      <c r="C6" s="365"/>
      <c r="D6" s="365"/>
      <c r="E6" s="67"/>
      <c r="F6" s="365" t="str">
        <f>'Govt Funds Bal Sh Exh 3'!D7</f>
        <v>Owl - Erudio</v>
      </c>
      <c r="G6" s="365"/>
      <c r="H6" s="365"/>
      <c r="I6" s="67"/>
      <c r="J6" s="372" t="str">
        <f>'Govt Funds Bal Sh Exh 3'!E7</f>
        <v>Owl - Discite</v>
      </c>
      <c r="K6" s="372"/>
      <c r="L6" s="372"/>
      <c r="M6" s="20"/>
      <c r="N6" s="20"/>
      <c r="O6" s="20"/>
      <c r="P6" s="20"/>
      <c r="Q6" s="20"/>
      <c r="R6" s="20"/>
      <c r="S6" s="20"/>
      <c r="T6" s="20"/>
      <c r="U6" s="20"/>
      <c r="V6" s="20"/>
      <c r="W6" s="20"/>
      <c r="X6" s="11"/>
      <c r="Y6" s="11"/>
      <c r="Z6" s="11"/>
      <c r="AA6" s="11"/>
      <c r="AB6" s="11"/>
      <c r="AC6" s="11"/>
      <c r="AD6" s="11"/>
      <c r="AE6" s="11"/>
    </row>
    <row r="7" spans="1:31" ht="18" customHeight="1" x14ac:dyDescent="0.35">
      <c r="A7" s="160"/>
      <c r="B7" s="67"/>
      <c r="C7" s="67"/>
      <c r="D7" s="67" t="s">
        <v>48</v>
      </c>
      <c r="E7" s="67"/>
      <c r="F7" s="67"/>
      <c r="G7" s="67"/>
      <c r="H7" s="67" t="s">
        <v>48</v>
      </c>
      <c r="I7" s="67"/>
      <c r="J7" s="67"/>
      <c r="K7" s="67"/>
      <c r="L7" s="67" t="s">
        <v>48</v>
      </c>
      <c r="M7" s="20"/>
      <c r="N7" s="20"/>
      <c r="O7" s="20"/>
      <c r="P7" s="20"/>
      <c r="Q7" s="20"/>
      <c r="R7" s="20"/>
      <c r="S7" s="20"/>
      <c r="T7" s="20"/>
      <c r="U7" s="20"/>
      <c r="V7" s="20"/>
      <c r="W7" s="20"/>
      <c r="X7" s="11"/>
      <c r="Y7" s="11"/>
      <c r="Z7" s="11"/>
      <c r="AA7" s="11"/>
      <c r="AB7" s="11"/>
      <c r="AC7" s="11"/>
      <c r="AD7" s="11"/>
      <c r="AE7" s="11"/>
    </row>
    <row r="8" spans="1:31" ht="36" customHeight="1" x14ac:dyDescent="0.35">
      <c r="A8" s="20"/>
      <c r="B8" s="27" t="s">
        <v>248</v>
      </c>
      <c r="C8" s="27" t="s">
        <v>47</v>
      </c>
      <c r="D8" s="27" t="s">
        <v>250</v>
      </c>
      <c r="E8" s="27"/>
      <c r="F8" s="27" t="s">
        <v>248</v>
      </c>
      <c r="G8" s="27" t="s">
        <v>47</v>
      </c>
      <c r="H8" s="27" t="s">
        <v>250</v>
      </c>
      <c r="I8" s="27"/>
      <c r="J8" s="27" t="s">
        <v>248</v>
      </c>
      <c r="K8" s="27" t="s">
        <v>47</v>
      </c>
      <c r="L8" s="27" t="s">
        <v>250</v>
      </c>
      <c r="M8" s="20"/>
      <c r="N8" s="20"/>
      <c r="O8" s="20"/>
      <c r="P8" s="20"/>
      <c r="Q8" s="20"/>
      <c r="R8" s="20"/>
      <c r="S8" s="20"/>
      <c r="T8" s="20"/>
      <c r="U8" s="20"/>
      <c r="V8" s="20"/>
      <c r="W8" s="20"/>
      <c r="X8" s="11"/>
      <c r="Y8" s="11"/>
      <c r="Z8" s="11"/>
      <c r="AA8" s="11"/>
      <c r="AB8" s="11"/>
      <c r="AC8" s="11"/>
      <c r="AD8" s="11"/>
      <c r="AE8" s="11"/>
    </row>
    <row r="9" spans="1:31" ht="15.75" x14ac:dyDescent="0.25">
      <c r="A9" s="28" t="s">
        <v>233</v>
      </c>
      <c r="B9" s="20"/>
      <c r="C9" s="20"/>
      <c r="D9" s="20"/>
      <c r="E9" s="20"/>
      <c r="F9" s="20"/>
      <c r="G9" s="20"/>
      <c r="H9" s="20"/>
      <c r="I9" s="20"/>
      <c r="J9" s="20"/>
      <c r="K9" s="20"/>
      <c r="L9" s="20"/>
      <c r="M9" s="20"/>
      <c r="N9" s="20"/>
      <c r="O9" s="20"/>
      <c r="P9" s="20"/>
      <c r="Q9" s="20"/>
      <c r="R9" s="20"/>
      <c r="S9" s="20"/>
      <c r="T9" s="20"/>
      <c r="U9" s="20"/>
      <c r="V9" s="20"/>
      <c r="W9" s="20"/>
      <c r="X9" s="11"/>
      <c r="Y9" s="11"/>
      <c r="Z9" s="11"/>
      <c r="AA9" s="11"/>
      <c r="AB9" s="11"/>
      <c r="AC9" s="11"/>
      <c r="AD9" s="11"/>
      <c r="AE9" s="11"/>
    </row>
    <row r="10" spans="1:31" ht="17.25" x14ac:dyDescent="0.35">
      <c r="A10" s="36" t="s">
        <v>97</v>
      </c>
      <c r="B10" s="177">
        <v>950000</v>
      </c>
      <c r="C10" s="178">
        <f>'Govt Funds Inc Stmt Exh 4'!P9</f>
        <v>893380</v>
      </c>
      <c r="D10" s="102">
        <f>C10-B10</f>
        <v>-56620</v>
      </c>
      <c r="E10" s="102"/>
      <c r="F10" s="102">
        <v>1500000</v>
      </c>
      <c r="G10" s="178">
        <f>'Govt Funds Inc Stmt Exh 4'!Q9</f>
        <v>1055814</v>
      </c>
      <c r="H10" s="102">
        <f>G10-F10</f>
        <v>-444186</v>
      </c>
      <c r="I10" s="102"/>
      <c r="J10" s="102">
        <v>900000</v>
      </c>
      <c r="K10" s="178">
        <f>'Govt Funds Inc Stmt Exh 4'!R9</f>
        <v>758022</v>
      </c>
      <c r="L10" s="102">
        <f>K10-J10</f>
        <v>-141978</v>
      </c>
      <c r="M10" s="20"/>
      <c r="N10" s="20"/>
      <c r="O10" s="20"/>
      <c r="P10" s="20"/>
      <c r="Q10" s="20"/>
      <c r="R10" s="20"/>
      <c r="S10" s="20"/>
      <c r="T10" s="20"/>
      <c r="U10" s="20"/>
      <c r="V10" s="20"/>
      <c r="W10" s="20"/>
      <c r="X10" s="11"/>
      <c r="Y10" s="11"/>
      <c r="Z10" s="11"/>
      <c r="AA10" s="11"/>
      <c r="AB10" s="11"/>
      <c r="AC10" s="11"/>
      <c r="AD10" s="11"/>
      <c r="AE10" s="11"/>
    </row>
    <row r="11" spans="1:31" ht="17.25" hidden="1" x14ac:dyDescent="0.35">
      <c r="A11" s="36" t="s">
        <v>91</v>
      </c>
      <c r="B11" s="161">
        <v>0</v>
      </c>
      <c r="C11" s="159">
        <f>'Govt Funds Inc Stmt Exh 4'!P13</f>
        <v>0</v>
      </c>
      <c r="D11" s="35">
        <f>B11-C11</f>
        <v>0</v>
      </c>
      <c r="E11" s="35"/>
      <c r="F11" s="35">
        <v>0</v>
      </c>
      <c r="G11" s="159">
        <f>'Govt Funds Inc Stmt Exh 4'!Q13</f>
        <v>0</v>
      </c>
      <c r="H11" s="35">
        <f>F11-G11</f>
        <v>0</v>
      </c>
      <c r="I11" s="35"/>
      <c r="J11" s="34">
        <v>0</v>
      </c>
      <c r="K11" s="159">
        <f>'Govt Funds Inc Stmt Exh 4'!R13</f>
        <v>0</v>
      </c>
      <c r="L11" s="35">
        <f>J11-K11</f>
        <v>0</v>
      </c>
      <c r="M11" s="20"/>
      <c r="N11" s="20"/>
      <c r="O11" s="20"/>
      <c r="P11" s="20"/>
      <c r="Q11" s="20"/>
      <c r="R11" s="20"/>
      <c r="S11" s="20"/>
      <c r="T11" s="20"/>
      <c r="U11" s="20"/>
      <c r="V11" s="20"/>
      <c r="W11" s="20"/>
      <c r="X11" s="11"/>
      <c r="Y11" s="11"/>
      <c r="Z11" s="11"/>
      <c r="AA11" s="11"/>
      <c r="AB11" s="11"/>
      <c r="AC11" s="11"/>
      <c r="AD11" s="11"/>
      <c r="AE11" s="11"/>
    </row>
    <row r="12" spans="1:31" ht="20.100000000000001" customHeight="1" x14ac:dyDescent="0.35">
      <c r="A12" s="73" t="s">
        <v>13</v>
      </c>
      <c r="B12" s="34">
        <f>SUM(B10:B11)</f>
        <v>950000</v>
      </c>
      <c r="C12" s="34">
        <f>SUM(C10:C11)</f>
        <v>893380</v>
      </c>
      <c r="D12" s="35">
        <f>C12-B12</f>
        <v>-56620</v>
      </c>
      <c r="E12" s="34"/>
      <c r="F12" s="34">
        <f>SUM(F10:F11)</f>
        <v>1500000</v>
      </c>
      <c r="G12" s="34">
        <f>SUM(G10:G11)</f>
        <v>1055814</v>
      </c>
      <c r="H12" s="35">
        <f>G12-F12</f>
        <v>-444186</v>
      </c>
      <c r="I12" s="34"/>
      <c r="J12" s="34">
        <f>SUM(J10:J11)</f>
        <v>900000</v>
      </c>
      <c r="K12" s="34">
        <f>SUM(K10:K11)</f>
        <v>758022</v>
      </c>
      <c r="L12" s="35">
        <f>K12-J12</f>
        <v>-141978</v>
      </c>
      <c r="M12" s="20"/>
      <c r="N12" s="20"/>
      <c r="O12" s="20"/>
      <c r="P12" s="20"/>
      <c r="Q12" s="20"/>
      <c r="R12" s="20"/>
      <c r="S12" s="20"/>
      <c r="T12" s="20"/>
      <c r="U12" s="20"/>
      <c r="V12" s="20"/>
      <c r="W12" s="20"/>
      <c r="X12" s="11"/>
      <c r="Y12" s="11"/>
      <c r="Z12" s="11"/>
      <c r="AA12" s="11"/>
      <c r="AB12" s="11"/>
      <c r="AC12" s="11"/>
      <c r="AD12" s="11"/>
      <c r="AE12" s="11"/>
    </row>
    <row r="13" spans="1:31" ht="21.95" customHeight="1" x14ac:dyDescent="0.25">
      <c r="A13" s="28" t="s">
        <v>234</v>
      </c>
      <c r="B13" s="33"/>
      <c r="C13" s="20"/>
      <c r="D13" s="20"/>
      <c r="E13" s="20"/>
      <c r="F13" s="20"/>
      <c r="G13" s="20"/>
      <c r="H13" s="20"/>
      <c r="I13" s="20"/>
      <c r="J13" s="20"/>
      <c r="K13" s="20"/>
      <c r="L13" s="20"/>
      <c r="M13" s="20"/>
      <c r="N13" s="20"/>
      <c r="O13" s="20"/>
      <c r="P13" s="20"/>
      <c r="Q13" s="20"/>
      <c r="R13" s="20"/>
      <c r="S13" s="20"/>
      <c r="T13" s="20"/>
      <c r="U13" s="20"/>
      <c r="V13" s="20"/>
      <c r="W13" s="20"/>
      <c r="X13" s="11"/>
      <c r="Y13" s="11"/>
      <c r="Z13" s="11"/>
      <c r="AA13" s="11"/>
      <c r="AB13" s="11"/>
      <c r="AC13" s="11"/>
      <c r="AD13" s="11"/>
      <c r="AE13" s="11"/>
    </row>
    <row r="14" spans="1:31" ht="18" customHeight="1" x14ac:dyDescent="0.25">
      <c r="A14" s="28" t="s">
        <v>280</v>
      </c>
      <c r="B14" s="33"/>
      <c r="C14" s="18"/>
      <c r="D14" s="18"/>
      <c r="E14" s="18"/>
      <c r="F14" s="18"/>
      <c r="G14" s="18"/>
      <c r="H14" s="18"/>
      <c r="I14" s="18"/>
      <c r="J14" s="18"/>
      <c r="K14" s="18"/>
      <c r="L14" s="18"/>
      <c r="M14" s="20"/>
      <c r="N14" s="20"/>
      <c r="O14" s="20"/>
      <c r="P14" s="20"/>
      <c r="Q14" s="20"/>
      <c r="R14" s="20"/>
      <c r="S14" s="20"/>
      <c r="T14" s="20"/>
      <c r="U14" s="20"/>
      <c r="V14" s="20"/>
      <c r="W14" s="20"/>
      <c r="X14" s="11"/>
      <c r="Y14" s="11"/>
      <c r="Z14" s="11"/>
      <c r="AA14" s="11"/>
      <c r="AB14" s="11"/>
      <c r="AC14" s="11"/>
      <c r="AD14" s="11"/>
      <c r="AE14" s="11"/>
    </row>
    <row r="15" spans="1:31" ht="15.75" x14ac:dyDescent="0.25">
      <c r="A15" s="70" t="s">
        <v>143</v>
      </c>
      <c r="B15" s="125">
        <v>800000</v>
      </c>
      <c r="C15" s="158">
        <f>'Govt Funds Inc Stmt Exh 4'!P17</f>
        <v>719640</v>
      </c>
      <c r="D15" s="32">
        <f>+B15-C15</f>
        <v>80360</v>
      </c>
      <c r="E15" s="32"/>
      <c r="F15" s="32">
        <v>1000000</v>
      </c>
      <c r="G15" s="158">
        <f>'Govt Funds Inc Stmt Exh 4'!Q17</f>
        <v>850484</v>
      </c>
      <c r="H15" s="32">
        <f>+F15-G15</f>
        <v>149516</v>
      </c>
      <c r="I15" s="32"/>
      <c r="J15" s="32">
        <v>725000</v>
      </c>
      <c r="K15" s="158">
        <f>'Govt Funds Inc Stmt Exh 4'!R17</f>
        <v>610603</v>
      </c>
      <c r="L15" s="32">
        <f>+J15-K15</f>
        <v>114397</v>
      </c>
      <c r="M15" s="20"/>
      <c r="N15" s="20"/>
      <c r="O15" s="20"/>
      <c r="P15" s="20"/>
      <c r="Q15" s="20"/>
      <c r="R15" s="20"/>
      <c r="S15" s="20"/>
      <c r="T15" s="20"/>
      <c r="U15" s="20"/>
      <c r="V15" s="20"/>
      <c r="W15" s="20"/>
      <c r="X15" s="11"/>
      <c r="Y15" s="11"/>
      <c r="Z15" s="11"/>
      <c r="AA15" s="11"/>
      <c r="AB15" s="11"/>
      <c r="AC15" s="11"/>
      <c r="AD15" s="11"/>
      <c r="AE15" s="11"/>
    </row>
    <row r="16" spans="1:31" ht="15.75" x14ac:dyDescent="0.25">
      <c r="A16" s="70" t="s">
        <v>155</v>
      </c>
      <c r="B16" s="125">
        <v>150000</v>
      </c>
      <c r="C16" s="158">
        <f>'Govt Funds Inc Stmt Exh 4'!P18</f>
        <v>173740</v>
      </c>
      <c r="D16" s="32">
        <f>+B16-C16</f>
        <v>-23740</v>
      </c>
      <c r="E16" s="32"/>
      <c r="F16" s="32">
        <v>500000</v>
      </c>
      <c r="G16" s="158">
        <f>'Govt Funds Inc Stmt Exh 4'!Q18</f>
        <v>205330</v>
      </c>
      <c r="H16" s="32">
        <f>+F16-G16</f>
        <v>294670</v>
      </c>
      <c r="I16" s="32"/>
      <c r="J16" s="31">
        <v>150000</v>
      </c>
      <c r="K16" s="158">
        <f>'Govt Funds Inc Stmt Exh 4'!R18</f>
        <v>147419</v>
      </c>
      <c r="L16" s="32">
        <f>+J16-K16</f>
        <v>2581</v>
      </c>
      <c r="M16" s="20"/>
      <c r="N16" s="20"/>
      <c r="O16" s="20"/>
      <c r="P16" s="20"/>
      <c r="Q16" s="20"/>
      <c r="R16" s="20"/>
      <c r="S16" s="20"/>
      <c r="T16" s="20"/>
      <c r="U16" s="20"/>
      <c r="V16" s="20"/>
      <c r="W16" s="20"/>
      <c r="X16" s="11"/>
      <c r="Y16" s="11"/>
      <c r="Z16" s="11"/>
      <c r="AA16" s="11"/>
      <c r="AB16" s="11"/>
      <c r="AC16" s="11"/>
      <c r="AD16" s="11"/>
      <c r="AE16" s="11"/>
    </row>
    <row r="17" spans="1:31" ht="17.25" x14ac:dyDescent="0.35">
      <c r="A17" s="70" t="s">
        <v>92</v>
      </c>
      <c r="B17" s="161">
        <v>0</v>
      </c>
      <c r="C17" s="159">
        <f>'Govt Funds Inc Stmt Exh 4'!P19</f>
        <v>0</v>
      </c>
      <c r="D17" s="35">
        <f>+B17-C17</f>
        <v>0</v>
      </c>
      <c r="E17" s="35"/>
      <c r="F17" s="35">
        <v>0</v>
      </c>
      <c r="G17" s="159">
        <f>'Govt Funds Inc Stmt Exh 4'!Q19</f>
        <v>0</v>
      </c>
      <c r="H17" s="35">
        <f>+F17-G17</f>
        <v>0</v>
      </c>
      <c r="I17" s="35"/>
      <c r="J17" s="107">
        <v>25000</v>
      </c>
      <c r="K17" s="159">
        <f>'Govt Funds Inc Stmt Exh 4'!R19</f>
        <v>0</v>
      </c>
      <c r="L17" s="35">
        <f>+J17-K17</f>
        <v>25000</v>
      </c>
      <c r="M17" s="20"/>
      <c r="N17" s="20"/>
      <c r="O17" s="20"/>
      <c r="P17" s="20"/>
      <c r="Q17" s="20"/>
      <c r="R17" s="20"/>
      <c r="S17" s="20"/>
      <c r="T17" s="20"/>
      <c r="U17" s="20"/>
      <c r="V17" s="20"/>
      <c r="W17" s="20"/>
      <c r="X17" s="11"/>
      <c r="Y17" s="11"/>
      <c r="Z17" s="11"/>
      <c r="AA17" s="11"/>
      <c r="AB17" s="11"/>
      <c r="AC17" s="11"/>
      <c r="AD17" s="11"/>
      <c r="AE17" s="11"/>
    </row>
    <row r="18" spans="1:31" ht="20.100000000000001" customHeight="1" x14ac:dyDescent="0.35">
      <c r="A18" s="73" t="s">
        <v>18</v>
      </c>
      <c r="B18" s="34">
        <f>SUM(B15:B17)</f>
        <v>950000</v>
      </c>
      <c r="C18" s="34">
        <f>SUM(C15:C17)</f>
        <v>893380</v>
      </c>
      <c r="D18" s="35">
        <f>+B18-C18</f>
        <v>56620</v>
      </c>
      <c r="E18" s="34"/>
      <c r="F18" s="34">
        <f>SUM(F15:F17)</f>
        <v>1500000</v>
      </c>
      <c r="G18" s="34">
        <f>SUM(G15:G17)</f>
        <v>1055814</v>
      </c>
      <c r="H18" s="35">
        <f>+F18-G18</f>
        <v>444186</v>
      </c>
      <c r="I18" s="34"/>
      <c r="J18" s="34">
        <f>SUM(J15:J17)</f>
        <v>900000</v>
      </c>
      <c r="K18" s="34">
        <f>SUM(K15:K17)</f>
        <v>758022</v>
      </c>
      <c r="L18" s="35">
        <f>+J18-K18</f>
        <v>141978</v>
      </c>
      <c r="M18" s="20"/>
      <c r="N18" s="20"/>
      <c r="O18" s="20"/>
      <c r="P18" s="20"/>
      <c r="Q18" s="20"/>
      <c r="R18" s="20"/>
      <c r="S18" s="20"/>
      <c r="T18" s="20"/>
      <c r="U18" s="20"/>
      <c r="V18" s="20"/>
      <c r="W18" s="20"/>
      <c r="X18" s="11"/>
      <c r="Y18" s="11"/>
      <c r="Z18" s="11"/>
      <c r="AA18" s="11"/>
      <c r="AB18" s="11"/>
      <c r="AC18" s="11"/>
      <c r="AD18" s="11"/>
      <c r="AE18" s="11"/>
    </row>
    <row r="19" spans="1:31" ht="38.1" hidden="1" customHeight="1" x14ac:dyDescent="0.35">
      <c r="A19" s="74" t="s">
        <v>190</v>
      </c>
      <c r="B19" s="34">
        <f>ROUND(+B12-B18,0)</f>
        <v>0</v>
      </c>
      <c r="C19" s="34">
        <f>ROUND(+C12-C18,0)</f>
        <v>0</v>
      </c>
      <c r="D19" s="35">
        <f>C19-B19</f>
        <v>0</v>
      </c>
      <c r="E19" s="34"/>
      <c r="F19" s="34">
        <f>ROUND(+F12-F18,0)</f>
        <v>0</v>
      </c>
      <c r="G19" s="34">
        <f>ROUND(+G12-G18,0)</f>
        <v>0</v>
      </c>
      <c r="H19" s="35">
        <f>G19-F19</f>
        <v>0</v>
      </c>
      <c r="I19" s="34"/>
      <c r="J19" s="34">
        <f>ROUND(+J12-J18,0)</f>
        <v>0</v>
      </c>
      <c r="K19" s="34">
        <f>ROUND(+K12-K18,0)</f>
        <v>0</v>
      </c>
      <c r="L19" s="35">
        <f>K19-J19</f>
        <v>0</v>
      </c>
      <c r="M19" s="20"/>
      <c r="N19" s="20"/>
      <c r="O19" s="20"/>
      <c r="P19" s="20"/>
      <c r="Q19" s="20"/>
      <c r="R19" s="20"/>
      <c r="S19" s="20"/>
      <c r="T19" s="20"/>
      <c r="U19" s="20"/>
      <c r="V19" s="20"/>
      <c r="W19" s="20"/>
      <c r="X19" s="11"/>
      <c r="Y19" s="11"/>
      <c r="Z19" s="11"/>
      <c r="AA19" s="11"/>
      <c r="AB19" s="11"/>
      <c r="AC19" s="11"/>
      <c r="AD19" s="11"/>
      <c r="AE19" s="11"/>
    </row>
    <row r="20" spans="1:31" ht="18" hidden="1" customHeight="1" x14ac:dyDescent="0.25">
      <c r="A20" s="28" t="s">
        <v>235</v>
      </c>
      <c r="B20" s="33"/>
      <c r="C20" s="33"/>
      <c r="D20" s="33"/>
      <c r="E20" s="33"/>
      <c r="F20" s="33"/>
      <c r="G20" s="33"/>
      <c r="H20" s="33"/>
      <c r="I20" s="33"/>
      <c r="J20" s="33"/>
      <c r="K20" s="33"/>
      <c r="L20" s="33"/>
      <c r="M20" s="20"/>
      <c r="N20" s="20"/>
      <c r="O20" s="20"/>
      <c r="P20" s="20"/>
      <c r="Q20" s="20"/>
      <c r="R20" s="20"/>
      <c r="S20" s="20"/>
      <c r="T20" s="20"/>
      <c r="U20" s="20"/>
      <c r="V20" s="20"/>
      <c r="W20" s="20"/>
      <c r="X20" s="11"/>
      <c r="Y20" s="11"/>
      <c r="Z20" s="11"/>
      <c r="AA20" s="11"/>
      <c r="AB20" s="11"/>
      <c r="AC20" s="11"/>
      <c r="AD20" s="11"/>
      <c r="AE20" s="11"/>
    </row>
    <row r="21" spans="1:31" ht="15.75" hidden="1" x14ac:dyDescent="0.25">
      <c r="A21" s="39" t="s">
        <v>83</v>
      </c>
      <c r="B21" s="33">
        <v>0</v>
      </c>
      <c r="C21" s="158">
        <f>'Govt Funds Inc Stmt Exh 4'!P27</f>
        <v>0</v>
      </c>
      <c r="D21" s="32">
        <f>C21-B21</f>
        <v>0</v>
      </c>
      <c r="E21" s="33"/>
      <c r="F21" s="32">
        <v>0</v>
      </c>
      <c r="G21" s="158">
        <f>'Govt Funds Inc Stmt Exh 4'!Q27</f>
        <v>0</v>
      </c>
      <c r="H21" s="32">
        <f>G21-F21</f>
        <v>0</v>
      </c>
      <c r="I21" s="33"/>
      <c r="J21" s="33">
        <v>0</v>
      </c>
      <c r="K21" s="158">
        <f>'Govt Funds Inc Stmt Exh 4'!R27</f>
        <v>0</v>
      </c>
      <c r="L21" s="32">
        <f>K21-J21</f>
        <v>0</v>
      </c>
      <c r="M21" s="20"/>
      <c r="N21" s="20"/>
      <c r="O21" s="20"/>
      <c r="P21" s="20"/>
      <c r="Q21" s="20"/>
      <c r="R21" s="20"/>
      <c r="S21" s="20"/>
      <c r="T21" s="20"/>
      <c r="U21" s="20"/>
      <c r="V21" s="20"/>
      <c r="W21" s="20"/>
      <c r="X21" s="11"/>
      <c r="Y21" s="11"/>
      <c r="Z21" s="11"/>
      <c r="AA21" s="11"/>
      <c r="AB21" s="11"/>
      <c r="AC21" s="11"/>
      <c r="AD21" s="11"/>
      <c r="AE21" s="11"/>
    </row>
    <row r="22" spans="1:31" s="7" customFormat="1" ht="17.25" hidden="1" x14ac:dyDescent="0.35">
      <c r="A22" s="39" t="s">
        <v>84</v>
      </c>
      <c r="B22" s="41">
        <v>0</v>
      </c>
      <c r="C22" s="159">
        <f>'Govt Funds Inc Stmt Exh 4'!P28</f>
        <v>0</v>
      </c>
      <c r="D22" s="35">
        <f>+B22-C22</f>
        <v>0</v>
      </c>
      <c r="E22" s="41"/>
      <c r="F22" s="34">
        <v>0</v>
      </c>
      <c r="G22" s="159">
        <f>'Govt Funds Inc Stmt Exh 4'!Q28</f>
        <v>0</v>
      </c>
      <c r="H22" s="35">
        <f>+F22-G22</f>
        <v>0</v>
      </c>
      <c r="I22" s="41"/>
      <c r="J22" s="41">
        <v>0</v>
      </c>
      <c r="K22" s="159">
        <f>'Govt Funds Inc Stmt Exh 4'!R28</f>
        <v>0</v>
      </c>
      <c r="L22" s="35">
        <f>+J22-K22</f>
        <v>0</v>
      </c>
      <c r="M22" s="30"/>
      <c r="N22" s="30"/>
      <c r="O22" s="30"/>
      <c r="P22" s="30"/>
      <c r="Q22" s="30"/>
      <c r="R22" s="30"/>
      <c r="S22" s="30"/>
      <c r="T22" s="30"/>
      <c r="U22" s="30"/>
      <c r="V22" s="30"/>
      <c r="W22" s="30"/>
      <c r="X22" s="10"/>
      <c r="Y22" s="10"/>
      <c r="Z22" s="10"/>
      <c r="AA22" s="10"/>
      <c r="AB22" s="10"/>
      <c r="AC22" s="10"/>
      <c r="AD22" s="10"/>
      <c r="AE22" s="10"/>
    </row>
    <row r="23" spans="1:31" ht="20.100000000000001" hidden="1" customHeight="1" x14ac:dyDescent="0.35">
      <c r="A23" s="70" t="s">
        <v>30</v>
      </c>
      <c r="B23" s="34">
        <f>SUM(B21:B22)</f>
        <v>0</v>
      </c>
      <c r="C23" s="34">
        <f>SUM(C21:C22)</f>
        <v>0</v>
      </c>
      <c r="D23" s="35">
        <f>C23-B23</f>
        <v>0</v>
      </c>
      <c r="E23" s="34"/>
      <c r="F23" s="34">
        <f>SUM(F21:F22)</f>
        <v>0</v>
      </c>
      <c r="G23" s="34">
        <f>SUM(G21:G22)</f>
        <v>0</v>
      </c>
      <c r="H23" s="35">
        <f>G23-F23</f>
        <v>0</v>
      </c>
      <c r="I23" s="34"/>
      <c r="J23" s="34">
        <f>SUM(J21:J22)</f>
        <v>0</v>
      </c>
      <c r="K23" s="34">
        <f>SUM(K21:K22)</f>
        <v>0</v>
      </c>
      <c r="L23" s="35">
        <f>K23-J23</f>
        <v>0</v>
      </c>
      <c r="M23" s="20" t="s">
        <v>49</v>
      </c>
      <c r="N23" s="20"/>
      <c r="O23" s="20"/>
      <c r="P23" s="20"/>
      <c r="Q23" s="20"/>
      <c r="R23" s="20"/>
      <c r="S23" s="20"/>
      <c r="T23" s="20"/>
      <c r="U23" s="20"/>
      <c r="V23" s="20"/>
      <c r="W23" s="20"/>
      <c r="X23" s="11"/>
      <c r="Y23" s="11"/>
      <c r="Z23" s="11"/>
      <c r="AA23" s="11"/>
      <c r="AB23" s="11"/>
      <c r="AC23" s="11"/>
      <c r="AD23" s="11"/>
      <c r="AE23" s="11"/>
    </row>
    <row r="24" spans="1:31" ht="21.95" customHeight="1" x14ac:dyDescent="0.35">
      <c r="A24" s="234" t="s">
        <v>195</v>
      </c>
      <c r="B24" s="179">
        <f>+B19+B23</f>
        <v>0</v>
      </c>
      <c r="C24" s="76">
        <f>+C19+C23</f>
        <v>0</v>
      </c>
      <c r="D24" s="180">
        <f>C24-B24</f>
        <v>0</v>
      </c>
      <c r="E24" s="181"/>
      <c r="F24" s="179">
        <f>+F19+F23</f>
        <v>0</v>
      </c>
      <c r="G24" s="76">
        <f>+G19+G23</f>
        <v>0</v>
      </c>
      <c r="H24" s="180">
        <f>G24-F24</f>
        <v>0</v>
      </c>
      <c r="I24" s="181"/>
      <c r="J24" s="179">
        <f>+J19+J23</f>
        <v>0</v>
      </c>
      <c r="K24" s="76">
        <f>+K19+K23</f>
        <v>0</v>
      </c>
      <c r="L24" s="180">
        <f>K24-J24</f>
        <v>0</v>
      </c>
      <c r="M24" s="20"/>
      <c r="N24" s="20"/>
      <c r="O24" s="20"/>
      <c r="P24" s="20"/>
      <c r="Q24" s="20"/>
      <c r="R24" s="20"/>
      <c r="S24" s="20"/>
      <c r="T24" s="20"/>
      <c r="U24" s="20"/>
      <c r="V24" s="20"/>
      <c r="W24" s="20"/>
      <c r="X24" s="11"/>
      <c r="Y24" s="11"/>
      <c r="Z24" s="11"/>
      <c r="AA24" s="11"/>
      <c r="AB24" s="11"/>
      <c r="AC24" s="11"/>
      <c r="AD24" s="11"/>
      <c r="AE24" s="11"/>
    </row>
    <row r="25" spans="1:31" s="4" customFormat="1" ht="21.95" customHeight="1" x14ac:dyDescent="0.35">
      <c r="A25" s="77" t="s">
        <v>254</v>
      </c>
      <c r="B25" s="41"/>
      <c r="C25" s="34">
        <f>'Govt Funds Inc Stmt Exh 4'!P33</f>
        <v>0</v>
      </c>
      <c r="D25" s="34"/>
      <c r="E25" s="34"/>
      <c r="F25" s="41"/>
      <c r="G25" s="34">
        <f>'Govt Funds Inc Stmt Exh 4'!Q33</f>
        <v>0</v>
      </c>
      <c r="H25" s="34"/>
      <c r="I25" s="34"/>
      <c r="J25" s="41"/>
      <c r="K25" s="34">
        <f>'Govt Funds Inc Stmt Exh 4'!R33</f>
        <v>0</v>
      </c>
      <c r="L25" s="34"/>
      <c r="M25" s="20"/>
      <c r="N25" s="20"/>
      <c r="O25" s="20"/>
      <c r="P25" s="20"/>
      <c r="Q25" s="20"/>
      <c r="R25" s="20"/>
      <c r="S25" s="20"/>
      <c r="T25" s="20"/>
      <c r="U25" s="20"/>
      <c r="V25" s="20"/>
      <c r="W25" s="20"/>
      <c r="X25" s="11"/>
      <c r="Y25" s="11"/>
      <c r="Z25" s="11"/>
      <c r="AA25" s="11"/>
      <c r="AB25" s="11"/>
      <c r="AC25" s="11"/>
      <c r="AD25" s="11"/>
      <c r="AE25" s="11"/>
    </row>
    <row r="26" spans="1:31" s="4" customFormat="1" ht="20.100000000000001" customHeight="1" x14ac:dyDescent="0.35">
      <c r="A26" s="77" t="s">
        <v>255</v>
      </c>
      <c r="B26" s="34"/>
      <c r="C26" s="37">
        <f>C24+C25</f>
        <v>0</v>
      </c>
      <c r="D26" s="34"/>
      <c r="E26" s="34"/>
      <c r="F26" s="34"/>
      <c r="G26" s="37">
        <f>G24+G25</f>
        <v>0</v>
      </c>
      <c r="H26" s="34"/>
      <c r="I26" s="34"/>
      <c r="J26" s="34"/>
      <c r="K26" s="37">
        <f>K24+K25</f>
        <v>0</v>
      </c>
      <c r="L26" s="34"/>
      <c r="M26" s="20"/>
      <c r="N26" s="20"/>
      <c r="O26" s="20"/>
      <c r="P26" s="20"/>
      <c r="Q26" s="20"/>
      <c r="R26" s="20"/>
      <c r="S26" s="20"/>
      <c r="T26" s="20"/>
      <c r="U26" s="20"/>
      <c r="V26" s="20"/>
      <c r="W26" s="20"/>
      <c r="X26" s="11"/>
      <c r="Y26" s="11"/>
      <c r="Z26" s="11"/>
      <c r="AA26" s="11"/>
      <c r="AB26" s="11"/>
      <c r="AC26" s="11"/>
      <c r="AD26" s="11"/>
      <c r="AE26" s="11"/>
    </row>
    <row r="27" spans="1:31" ht="15.75"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11"/>
      <c r="Y27" s="11"/>
      <c r="Z27" s="11"/>
      <c r="AA27" s="11"/>
      <c r="AB27" s="11"/>
      <c r="AC27" s="11"/>
      <c r="AD27" s="11"/>
      <c r="AE27" s="11"/>
    </row>
    <row r="28" spans="1:31" ht="15.75"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11"/>
      <c r="Y28" s="11"/>
      <c r="Z28" s="11"/>
      <c r="AA28" s="11"/>
      <c r="AB28" s="11"/>
      <c r="AC28" s="11"/>
      <c r="AD28" s="11"/>
      <c r="AE28" s="11"/>
    </row>
    <row r="29" spans="1:31" ht="15.75" x14ac:dyDescent="0.25">
      <c r="A29" s="78"/>
      <c r="B29" s="20"/>
      <c r="C29" s="20"/>
      <c r="D29" s="20"/>
      <c r="E29" s="20"/>
      <c r="F29" s="20"/>
      <c r="G29" s="20"/>
      <c r="H29" s="20"/>
      <c r="I29" s="20"/>
      <c r="J29" s="20"/>
      <c r="K29" s="20"/>
      <c r="L29" s="20"/>
      <c r="M29" s="20"/>
      <c r="N29" s="20"/>
      <c r="O29" s="20"/>
      <c r="P29" s="20"/>
      <c r="Q29" s="20"/>
      <c r="R29" s="20"/>
      <c r="S29" s="20"/>
      <c r="T29" s="20"/>
      <c r="U29" s="20"/>
      <c r="V29" s="20"/>
      <c r="W29" s="20"/>
      <c r="X29" s="11"/>
      <c r="Y29" s="11"/>
      <c r="Z29" s="11"/>
      <c r="AA29" s="11"/>
      <c r="AB29" s="11"/>
      <c r="AC29" s="11"/>
      <c r="AD29" s="11"/>
      <c r="AE29" s="11"/>
    </row>
    <row r="30" spans="1:31" ht="15.75" x14ac:dyDescent="0.25">
      <c r="A30" s="20"/>
      <c r="B30" s="20"/>
      <c r="C30" s="20"/>
      <c r="D30" s="20"/>
      <c r="E30" s="20"/>
      <c r="F30" s="20"/>
      <c r="G30" s="20"/>
      <c r="H30" s="20"/>
      <c r="I30" s="20"/>
      <c r="J30" s="20"/>
      <c r="K30" s="20"/>
      <c r="L30" s="20"/>
      <c r="M30" s="20"/>
      <c r="N30" s="20"/>
      <c r="O30" s="20"/>
      <c r="P30" s="20"/>
      <c r="Q30" s="20"/>
      <c r="R30" s="20"/>
      <c r="S30" s="20"/>
      <c r="T30" s="20"/>
      <c r="U30" s="20"/>
      <c r="V30" s="20"/>
      <c r="W30" s="20"/>
      <c r="X30" s="11"/>
      <c r="Y30" s="11"/>
      <c r="Z30" s="11"/>
      <c r="AA30" s="11"/>
      <c r="AB30" s="11"/>
      <c r="AC30" s="11"/>
      <c r="AD30" s="11"/>
      <c r="AE30" s="11"/>
    </row>
    <row r="31" spans="1:31" ht="15.75" x14ac:dyDescent="0.25">
      <c r="A31" s="20"/>
      <c r="B31" s="20"/>
      <c r="C31" s="20"/>
      <c r="D31" s="20"/>
      <c r="E31" s="20"/>
      <c r="F31" s="20"/>
      <c r="G31" s="20"/>
      <c r="H31" s="20"/>
      <c r="I31" s="20"/>
      <c r="J31" s="20"/>
      <c r="K31" s="20"/>
      <c r="L31" s="20"/>
      <c r="M31" s="20"/>
      <c r="N31" s="20"/>
      <c r="O31" s="20"/>
      <c r="P31" s="20"/>
      <c r="Q31" s="20"/>
      <c r="R31" s="20"/>
      <c r="S31" s="20"/>
      <c r="T31" s="20"/>
      <c r="U31" s="20"/>
      <c r="V31" s="20"/>
      <c r="W31" s="20"/>
      <c r="X31" s="11"/>
      <c r="Y31" s="11"/>
      <c r="Z31" s="11"/>
      <c r="AA31" s="11"/>
      <c r="AB31" s="11"/>
      <c r="AC31" s="11"/>
      <c r="AD31" s="11"/>
      <c r="AE31" s="11"/>
    </row>
    <row r="32" spans="1:31" ht="14.25" customHeight="1"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11"/>
      <c r="Y32" s="11"/>
      <c r="Z32" s="11"/>
      <c r="AA32" s="11"/>
      <c r="AB32" s="11"/>
      <c r="AC32" s="11"/>
      <c r="AD32" s="11"/>
      <c r="AE32" s="11"/>
    </row>
    <row r="33" spans="1:31" ht="15.75"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11"/>
      <c r="Y33" s="11"/>
      <c r="Z33" s="11"/>
      <c r="AA33" s="11"/>
      <c r="AB33" s="11"/>
      <c r="AC33" s="11"/>
      <c r="AD33" s="11"/>
      <c r="AE33" s="11"/>
    </row>
    <row r="34" spans="1:31" ht="15.75"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11"/>
      <c r="Y34" s="11"/>
      <c r="Z34" s="11"/>
      <c r="AA34" s="11"/>
      <c r="AB34" s="11"/>
      <c r="AC34" s="11"/>
      <c r="AD34" s="11"/>
      <c r="AE34" s="11"/>
    </row>
    <row r="35" spans="1:31" ht="15.75" x14ac:dyDescent="0.25">
      <c r="A35" s="20"/>
      <c r="B35" s="20"/>
      <c r="C35" s="20"/>
      <c r="D35" s="20"/>
      <c r="E35" s="20"/>
      <c r="F35" s="20"/>
      <c r="G35" s="20"/>
      <c r="H35" s="20"/>
      <c r="I35" s="20"/>
      <c r="J35" s="20"/>
      <c r="K35" s="20"/>
      <c r="L35" s="20"/>
      <c r="M35" s="20"/>
      <c r="N35" s="20"/>
      <c r="O35" s="20"/>
      <c r="P35" s="20"/>
      <c r="Q35" s="20"/>
      <c r="R35" s="20"/>
      <c r="S35" s="20"/>
      <c r="T35" s="20"/>
      <c r="U35" s="20"/>
      <c r="V35" s="20"/>
      <c r="W35" s="20"/>
      <c r="X35" s="11"/>
      <c r="Y35" s="11"/>
      <c r="Z35" s="11"/>
      <c r="AA35" s="11"/>
      <c r="AB35" s="11"/>
      <c r="AC35" s="11"/>
      <c r="AD35" s="11"/>
      <c r="AE35" s="11"/>
    </row>
    <row r="36" spans="1:31" ht="35.1" customHeight="1" x14ac:dyDescent="0.25">
      <c r="A36" s="52" t="s">
        <v>253</v>
      </c>
      <c r="B36" s="59"/>
      <c r="C36" s="135" t="str">
        <f>IF(C12-'Govt Funds Inc Stmt Exh 4'!P14=0,"Yes",C12-'Govt Funds Inc Stmt Exh 4'!P14)</f>
        <v>Yes</v>
      </c>
      <c r="D36" s="59"/>
      <c r="E36" s="59"/>
      <c r="F36" s="59"/>
      <c r="G36" s="135" t="str">
        <f>IF(G12-'Govt Funds Inc Stmt Exh 4'!Q14=0,"Yes",G12-'Govt Funds Inc Stmt Exh 4'!Q14)</f>
        <v>Yes</v>
      </c>
      <c r="H36" s="20"/>
      <c r="I36" s="20"/>
      <c r="J36" s="20"/>
      <c r="K36" s="135" t="str">
        <f>IF(K12-'Govt Funds Inc Stmt Exh 4'!R14=0,"Yes",K12-'Govt Funds Inc Stmt Exh 4'!R14)</f>
        <v>Yes</v>
      </c>
      <c r="L36" s="20"/>
      <c r="M36" s="20"/>
      <c r="N36" s="20"/>
      <c r="O36" s="20"/>
      <c r="P36" s="20"/>
      <c r="Q36" s="20"/>
      <c r="R36" s="20"/>
      <c r="S36" s="20"/>
      <c r="T36" s="20"/>
      <c r="U36" s="20"/>
      <c r="V36" s="20"/>
      <c r="W36" s="20"/>
      <c r="X36" s="11"/>
      <c r="Y36" s="11"/>
      <c r="Z36" s="11"/>
      <c r="AA36" s="11"/>
      <c r="AB36" s="11"/>
      <c r="AC36" s="11"/>
      <c r="AD36" s="11"/>
      <c r="AE36" s="11"/>
    </row>
    <row r="37" spans="1:31" ht="35.1" customHeight="1" x14ac:dyDescent="0.25">
      <c r="A37" s="39" t="s">
        <v>293</v>
      </c>
      <c r="B37" s="20"/>
      <c r="C37" s="135" t="str">
        <f>IF(C24-'Govt Funds Inc Stmt Exh 4'!P32=0,"Yes",C24-'Govt Funds Inc Stmt Exh 4'!P32)</f>
        <v>Yes</v>
      </c>
      <c r="D37" s="20"/>
      <c r="E37" s="20"/>
      <c r="F37" s="20"/>
      <c r="G37" s="135" t="str">
        <f>IF(G24-'Govt Funds Inc Stmt Exh 4'!Q32=0,"Yes",G24-'Govt Funds Inc Stmt Exh 4'!Q32)</f>
        <v>Yes</v>
      </c>
      <c r="H37" s="20"/>
      <c r="I37" s="20"/>
      <c r="J37" s="20"/>
      <c r="K37" s="135" t="str">
        <f>IF(K24-'Govt Funds Inc Stmt Exh 4'!R32=0,"Yes",K24-'Govt Funds Inc Stmt Exh 4'!R32)</f>
        <v>Yes</v>
      </c>
      <c r="L37" s="20"/>
      <c r="M37" s="20"/>
      <c r="N37" s="20"/>
      <c r="O37" s="20"/>
      <c r="P37" s="20"/>
      <c r="Q37" s="20"/>
      <c r="R37" s="20"/>
      <c r="S37" s="20"/>
      <c r="T37" s="20"/>
      <c r="U37" s="20"/>
      <c r="V37" s="20"/>
      <c r="W37" s="20"/>
      <c r="X37" s="11"/>
      <c r="Y37" s="11"/>
      <c r="Z37" s="11"/>
      <c r="AA37" s="11"/>
      <c r="AB37" s="11"/>
      <c r="AC37" s="11"/>
      <c r="AD37" s="11"/>
      <c r="AE37" s="11"/>
    </row>
    <row r="38" spans="1:31" ht="21.95" customHeight="1" x14ac:dyDescent="0.25">
      <c r="A38" s="165" t="s">
        <v>305</v>
      </c>
      <c r="B38" s="134" t="str">
        <f>IF(B24=0,"Yes",B24)</f>
        <v>Yes</v>
      </c>
      <c r="C38" s="68"/>
      <c r="D38" s="68"/>
      <c r="E38" s="68"/>
      <c r="F38" s="134" t="str">
        <f>IF(F24=0,"Yes",F24)</f>
        <v>Yes</v>
      </c>
      <c r="G38" s="68"/>
      <c r="H38" s="68"/>
      <c r="I38" s="68"/>
      <c r="J38" s="134" t="str">
        <f>IF(J24=0,"Yes",J24)</f>
        <v>Yes</v>
      </c>
      <c r="L38" s="20"/>
      <c r="M38" s="20"/>
      <c r="N38" s="20"/>
      <c r="O38" s="20"/>
      <c r="P38" s="20"/>
      <c r="Q38" s="20"/>
      <c r="R38" s="20"/>
      <c r="S38" s="20"/>
      <c r="T38" s="20"/>
      <c r="U38" s="20"/>
      <c r="V38" s="20"/>
      <c r="W38" s="20"/>
      <c r="X38" s="11"/>
      <c r="Y38" s="11"/>
      <c r="Z38" s="11"/>
      <c r="AA38" s="11"/>
      <c r="AB38" s="11"/>
      <c r="AC38" s="11"/>
      <c r="AD38" s="11"/>
      <c r="AE38" s="11"/>
    </row>
    <row r="39" spans="1:31" ht="15.75" x14ac:dyDescent="0.25">
      <c r="A39" s="68"/>
      <c r="B39" s="68"/>
      <c r="C39" s="68"/>
      <c r="D39" s="68"/>
      <c r="E39" s="68"/>
      <c r="F39" s="68"/>
      <c r="G39" s="68"/>
      <c r="H39" s="68"/>
      <c r="I39" s="68"/>
      <c r="J39" s="68"/>
      <c r="K39" s="20"/>
      <c r="L39" s="20"/>
      <c r="M39" s="20"/>
      <c r="N39" s="20"/>
      <c r="O39" s="20"/>
      <c r="P39" s="20"/>
      <c r="Q39" s="20"/>
      <c r="R39" s="20"/>
      <c r="S39" s="20"/>
      <c r="T39" s="20"/>
      <c r="U39" s="20"/>
      <c r="V39" s="20"/>
      <c r="W39" s="20"/>
      <c r="X39" s="11"/>
      <c r="Y39" s="11"/>
      <c r="Z39" s="11"/>
      <c r="AA39" s="11"/>
      <c r="AB39" s="11"/>
      <c r="AC39" s="11"/>
      <c r="AD39" s="11"/>
      <c r="AE39" s="11"/>
    </row>
    <row r="40" spans="1:31" ht="15.75"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11"/>
      <c r="Y40" s="11"/>
      <c r="Z40" s="11"/>
      <c r="AA40" s="11"/>
      <c r="AB40" s="11"/>
      <c r="AC40" s="11"/>
      <c r="AD40" s="11"/>
      <c r="AE40" s="11"/>
    </row>
    <row r="41" spans="1:31" ht="15.75"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11"/>
      <c r="Y41" s="11"/>
      <c r="Z41" s="11"/>
      <c r="AA41" s="11"/>
      <c r="AB41" s="11"/>
      <c r="AC41" s="11"/>
      <c r="AD41" s="11"/>
      <c r="AE41" s="11"/>
    </row>
    <row r="42" spans="1:31" ht="15.75"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11"/>
      <c r="Y42" s="11"/>
      <c r="Z42" s="11"/>
      <c r="AA42" s="11"/>
      <c r="AB42" s="11"/>
      <c r="AC42" s="11"/>
      <c r="AD42" s="11"/>
      <c r="AE42" s="11"/>
    </row>
    <row r="43" spans="1:31" ht="15.75"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11"/>
      <c r="Y43" s="11"/>
      <c r="Z43" s="11"/>
      <c r="AA43" s="11"/>
      <c r="AB43" s="11"/>
      <c r="AC43" s="11"/>
      <c r="AD43" s="11"/>
      <c r="AE43" s="11"/>
    </row>
    <row r="44" spans="1:31" ht="15.75"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11"/>
      <c r="Y44" s="11"/>
      <c r="Z44" s="11"/>
      <c r="AA44" s="11"/>
      <c r="AB44" s="11"/>
      <c r="AC44" s="11"/>
      <c r="AD44" s="11"/>
      <c r="AE44" s="11"/>
    </row>
    <row r="45" spans="1:31" ht="15.75"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11"/>
      <c r="Y45" s="11"/>
      <c r="Z45" s="11"/>
      <c r="AA45" s="11"/>
      <c r="AB45" s="11"/>
      <c r="AC45" s="11"/>
      <c r="AD45" s="11"/>
      <c r="AE45" s="11"/>
    </row>
    <row r="46" spans="1:31" ht="15.75"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11"/>
      <c r="Y46" s="11"/>
      <c r="Z46" s="11"/>
      <c r="AA46" s="11"/>
      <c r="AB46" s="11"/>
      <c r="AC46" s="11"/>
      <c r="AD46" s="11"/>
      <c r="AE46" s="11"/>
    </row>
    <row r="47" spans="1:31" ht="15.75"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11"/>
      <c r="Y47" s="11"/>
      <c r="Z47" s="11"/>
      <c r="AA47" s="11"/>
      <c r="AB47" s="11"/>
      <c r="AC47" s="11"/>
      <c r="AD47" s="11"/>
      <c r="AE47" s="11"/>
    </row>
    <row r="48" spans="1:31" ht="15.75"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11"/>
      <c r="Y48" s="11"/>
      <c r="Z48" s="11"/>
      <c r="AA48" s="11"/>
      <c r="AB48" s="11"/>
      <c r="AC48" s="11"/>
      <c r="AD48" s="11"/>
      <c r="AE48" s="11"/>
    </row>
    <row r="49" spans="1:31" ht="15.7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11"/>
      <c r="Y49" s="11"/>
      <c r="Z49" s="11"/>
      <c r="AA49" s="11"/>
      <c r="AB49" s="11"/>
      <c r="AC49" s="11"/>
      <c r="AD49" s="11"/>
      <c r="AE49" s="11"/>
    </row>
    <row r="50" spans="1:31" ht="15.7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11"/>
      <c r="Y50" s="11"/>
      <c r="Z50" s="11"/>
      <c r="AA50" s="11"/>
      <c r="AB50" s="11"/>
      <c r="AC50" s="11"/>
      <c r="AD50" s="11"/>
      <c r="AE50" s="11"/>
    </row>
    <row r="51" spans="1:31" ht="15.75"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11"/>
      <c r="Y51" s="11"/>
      <c r="Z51" s="11"/>
      <c r="AA51" s="11"/>
      <c r="AB51" s="11"/>
      <c r="AC51" s="11"/>
      <c r="AD51" s="11"/>
      <c r="AE51" s="11"/>
    </row>
    <row r="52" spans="1:31" ht="15.7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11"/>
      <c r="Y52" s="11"/>
      <c r="Z52" s="11"/>
      <c r="AA52" s="11"/>
      <c r="AB52" s="11"/>
      <c r="AC52" s="11"/>
      <c r="AD52" s="11"/>
      <c r="AE52" s="11"/>
    </row>
    <row r="53" spans="1:31" ht="15.7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11"/>
      <c r="Y53" s="11"/>
      <c r="Z53" s="11"/>
      <c r="AA53" s="11"/>
      <c r="AB53" s="11"/>
      <c r="AC53" s="11"/>
      <c r="AD53" s="11"/>
      <c r="AE53" s="11"/>
    </row>
    <row r="54" spans="1:31" ht="15.75"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11"/>
      <c r="Y54" s="11"/>
      <c r="Z54" s="11"/>
      <c r="AA54" s="11"/>
      <c r="AB54" s="11"/>
      <c r="AC54" s="11"/>
      <c r="AD54" s="11"/>
      <c r="AE54" s="11"/>
    </row>
    <row r="55" spans="1:31" ht="15.75"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11"/>
      <c r="Y55" s="11"/>
      <c r="Z55" s="11"/>
      <c r="AA55" s="11"/>
      <c r="AB55" s="11"/>
      <c r="AC55" s="11"/>
      <c r="AD55" s="11"/>
      <c r="AE55" s="11"/>
    </row>
    <row r="56" spans="1:31" ht="15.75"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11"/>
      <c r="Y56" s="11"/>
      <c r="Z56" s="11"/>
      <c r="AA56" s="11"/>
      <c r="AB56" s="11"/>
      <c r="AC56" s="11"/>
      <c r="AD56" s="11"/>
      <c r="AE56" s="11"/>
    </row>
    <row r="57" spans="1:31" ht="15.75"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11"/>
      <c r="Y57" s="11"/>
      <c r="Z57" s="11"/>
      <c r="AA57" s="11"/>
      <c r="AB57" s="11"/>
      <c r="AC57" s="11"/>
      <c r="AD57" s="11"/>
      <c r="AE57" s="11"/>
    </row>
    <row r="58" spans="1:31" ht="15.75"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11"/>
      <c r="Y58" s="11"/>
      <c r="Z58" s="11"/>
      <c r="AA58" s="11"/>
      <c r="AB58" s="11"/>
      <c r="AC58" s="11"/>
      <c r="AD58" s="11"/>
      <c r="AE58" s="11"/>
    </row>
    <row r="59" spans="1:31" ht="15.75"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11"/>
      <c r="Y59" s="11"/>
      <c r="Z59" s="11"/>
      <c r="AA59" s="11"/>
      <c r="AB59" s="11"/>
      <c r="AC59" s="11"/>
      <c r="AD59" s="11"/>
      <c r="AE59" s="11"/>
    </row>
    <row r="60" spans="1:31" ht="15.75"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11"/>
      <c r="Y60" s="11"/>
      <c r="Z60" s="11"/>
      <c r="AA60" s="11"/>
      <c r="AB60" s="11"/>
      <c r="AC60" s="11"/>
      <c r="AD60" s="11"/>
      <c r="AE60" s="11"/>
    </row>
    <row r="61" spans="1:31" ht="15.75"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11"/>
      <c r="Y61" s="11"/>
      <c r="Z61" s="11"/>
      <c r="AA61" s="11"/>
      <c r="AB61" s="11"/>
      <c r="AC61" s="11"/>
      <c r="AD61" s="11"/>
      <c r="AE61" s="11"/>
    </row>
    <row r="62" spans="1:31" ht="15.75"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11"/>
      <c r="Y62" s="11"/>
      <c r="Z62" s="11"/>
      <c r="AA62" s="11"/>
      <c r="AB62" s="11"/>
      <c r="AC62" s="11"/>
      <c r="AD62" s="11"/>
      <c r="AE62" s="11"/>
    </row>
    <row r="63" spans="1:31" ht="15.75"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11"/>
      <c r="Y63" s="11"/>
      <c r="Z63" s="11"/>
      <c r="AA63" s="11"/>
      <c r="AB63" s="11"/>
      <c r="AC63" s="11"/>
      <c r="AD63" s="11"/>
      <c r="AE63" s="11"/>
    </row>
    <row r="64" spans="1:31" ht="15.75"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11"/>
      <c r="Y64" s="11"/>
      <c r="Z64" s="11"/>
      <c r="AA64" s="11"/>
      <c r="AB64" s="11"/>
      <c r="AC64" s="11"/>
      <c r="AD64" s="11"/>
      <c r="AE64" s="11"/>
    </row>
    <row r="65" spans="1:31" ht="15.7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1:31" ht="15.7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15.7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1:31" ht="15.7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ht="15.7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row>
    <row r="70" spans="1:31" ht="15.7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ht="15.7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spans="1:31" ht="15.7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ht="15.7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row>
    <row r="74" spans="1:31" ht="15.7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1:31" ht="15.7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row>
    <row r="76" spans="1:31" ht="15.7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1:31" ht="15.7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ht="15.7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5.7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row>
    <row r="80" spans="1:31" ht="15.7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row>
    <row r="81" spans="1:31"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row>
    <row r="82" spans="1:31"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row>
    <row r="83" spans="1:31"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sheetData>
  <mergeCells count="8">
    <mergeCell ref="J6:L6"/>
    <mergeCell ref="A1:L1"/>
    <mergeCell ref="A2:L2"/>
    <mergeCell ref="A4:L4"/>
    <mergeCell ref="A5:L5"/>
    <mergeCell ref="A3:L3"/>
    <mergeCell ref="B6:D6"/>
    <mergeCell ref="F6:H6"/>
  </mergeCells>
  <conditionalFormatting sqref="C36 G36 K36">
    <cfRule type="cellIs" dxfId="20" priority="10" stopIfTrue="1" operator="notEqual">
      <formula>"Yes"</formula>
    </cfRule>
  </conditionalFormatting>
  <conditionalFormatting sqref="C37">
    <cfRule type="cellIs" dxfId="19" priority="9" stopIfTrue="1" operator="notEqual">
      <formula>"Yes"</formula>
    </cfRule>
  </conditionalFormatting>
  <conditionalFormatting sqref="G37">
    <cfRule type="cellIs" dxfId="18" priority="8" stopIfTrue="1" operator="notEqual">
      <formula>"Yes"</formula>
    </cfRule>
  </conditionalFormatting>
  <conditionalFormatting sqref="K37">
    <cfRule type="cellIs" dxfId="17" priority="7" stopIfTrue="1" operator="notEqual">
      <formula>"Yes"</formula>
    </cfRule>
  </conditionalFormatting>
  <conditionalFormatting sqref="C36:C37 G36:G37 K36:K37">
    <cfRule type="cellIs" dxfId="16" priority="6" stopIfTrue="1" operator="notEqual">
      <formula>"Yes"</formula>
    </cfRule>
  </conditionalFormatting>
  <conditionalFormatting sqref="B38">
    <cfRule type="cellIs" dxfId="15" priority="5" stopIfTrue="1" operator="notEqual">
      <formula>"Yes"</formula>
    </cfRule>
  </conditionalFormatting>
  <conditionalFormatting sqref="J38">
    <cfRule type="cellIs" dxfId="14" priority="1" stopIfTrue="1" operator="notEqual">
      <formula>"Yes"</formula>
    </cfRule>
  </conditionalFormatting>
  <conditionalFormatting sqref="F38">
    <cfRule type="cellIs" dxfId="13" priority="2" stopIfTrue="1" operator="notEqual">
      <formula>"Yes"</formula>
    </cfRule>
  </conditionalFormatting>
  <pageMargins left="0.75" right="0.75" top="0.75" bottom="0.75" header="0.5" footer="0.5"/>
  <pageSetup scale="70" firstPageNumber="19" orientation="landscape" useFirstPageNumber="1" r:id="rId1"/>
  <headerFooter alignWithMargins="0">
    <oddHeader>&amp;R&amp;12Schedule  3</oddHeader>
    <oddFooter>&amp;L&amp;12Revised:  July 2020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4">
    <tabColor theme="7" tint="0.59999389629810485"/>
  </sheetPr>
  <dimension ref="A1:U136"/>
  <sheetViews>
    <sheetView showGridLines="0" zoomScaleNormal="100" workbookViewId="0">
      <selection activeCell="A6" sqref="A6"/>
    </sheetView>
  </sheetViews>
  <sheetFormatPr defaultRowHeight="12" x14ac:dyDescent="0.2"/>
  <cols>
    <col min="1" max="1" width="40.7109375" style="6" customWidth="1"/>
    <col min="2" max="3" width="13.7109375" style="6" customWidth="1"/>
    <col min="4" max="4" width="14.7109375" style="6" customWidth="1"/>
    <col min="5" max="16384" width="9.140625" style="6"/>
  </cols>
  <sheetData>
    <row r="1" spans="1:21" ht="15.75" x14ac:dyDescent="0.25">
      <c r="A1" s="342" t="s">
        <v>223</v>
      </c>
      <c r="B1" s="342"/>
      <c r="C1" s="342"/>
      <c r="D1" s="342"/>
      <c r="E1" s="20"/>
      <c r="F1" s="20"/>
      <c r="G1" s="20"/>
      <c r="H1" s="20"/>
      <c r="I1" s="20"/>
      <c r="J1" s="20"/>
      <c r="K1" s="20"/>
      <c r="L1" s="20"/>
      <c r="M1" s="20"/>
      <c r="N1" s="20"/>
      <c r="O1" s="20"/>
      <c r="P1" s="20"/>
      <c r="Q1" s="20"/>
      <c r="R1" s="20"/>
      <c r="S1" s="11"/>
      <c r="T1" s="11"/>
      <c r="U1" s="11"/>
    </row>
    <row r="2" spans="1:21" ht="15.75" x14ac:dyDescent="0.25">
      <c r="A2" s="413" t="s">
        <v>363</v>
      </c>
      <c r="B2" s="413"/>
      <c r="C2" s="413"/>
      <c r="D2" s="413"/>
      <c r="E2" s="20"/>
      <c r="F2" s="20"/>
      <c r="G2" s="20"/>
      <c r="H2" s="20"/>
      <c r="I2" s="20"/>
      <c r="J2" s="20"/>
      <c r="K2" s="20"/>
      <c r="L2" s="20"/>
      <c r="M2" s="20"/>
      <c r="N2" s="20"/>
      <c r="O2" s="20"/>
      <c r="P2" s="20"/>
      <c r="Q2" s="20"/>
      <c r="R2" s="20"/>
      <c r="S2" s="11"/>
      <c r="T2" s="11"/>
      <c r="U2" s="11"/>
    </row>
    <row r="3" spans="1:21" ht="15.75" x14ac:dyDescent="0.25">
      <c r="A3" s="414" t="s">
        <v>149</v>
      </c>
      <c r="B3" s="414"/>
      <c r="C3" s="414"/>
      <c r="D3" s="414"/>
      <c r="E3" s="20"/>
      <c r="F3" s="20"/>
      <c r="G3" s="20"/>
      <c r="H3" s="20"/>
      <c r="I3" s="20"/>
      <c r="J3" s="20"/>
      <c r="K3" s="20"/>
      <c r="L3" s="20"/>
      <c r="M3" s="20"/>
      <c r="N3" s="20"/>
      <c r="O3" s="20"/>
      <c r="P3" s="20"/>
      <c r="Q3" s="20"/>
      <c r="R3" s="20"/>
      <c r="S3" s="11"/>
      <c r="T3" s="11"/>
      <c r="U3" s="11"/>
    </row>
    <row r="4" spans="1:21" ht="15.75" x14ac:dyDescent="0.25">
      <c r="A4" s="414" t="s">
        <v>365</v>
      </c>
      <c r="B4" s="414"/>
      <c r="C4" s="414"/>
      <c r="D4" s="414"/>
      <c r="E4" s="20"/>
      <c r="F4" s="20"/>
      <c r="G4" s="20"/>
      <c r="H4" s="20"/>
      <c r="I4" s="20"/>
      <c r="J4" s="20"/>
      <c r="K4" s="20"/>
      <c r="L4" s="20"/>
      <c r="M4" s="20"/>
      <c r="N4" s="20"/>
      <c r="O4" s="20"/>
      <c r="P4" s="20"/>
      <c r="Q4" s="20"/>
      <c r="R4" s="20"/>
      <c r="S4" s="11"/>
      <c r="T4" s="11"/>
      <c r="U4" s="11"/>
    </row>
    <row r="5" spans="1:21" ht="15.75" x14ac:dyDescent="0.25">
      <c r="A5" s="414" t="str">
        <f>+'GW Stmt Activities Exh 2'!A3</f>
        <v>For the Year Ended June 30, 2020</v>
      </c>
      <c r="B5" s="414"/>
      <c r="C5" s="414"/>
      <c r="D5" s="414"/>
      <c r="E5" s="20"/>
      <c r="F5" s="20"/>
      <c r="G5" s="20"/>
      <c r="H5" s="20"/>
      <c r="I5" s="20"/>
      <c r="J5" s="20"/>
      <c r="K5" s="20"/>
      <c r="L5" s="20"/>
      <c r="M5" s="20"/>
      <c r="N5" s="20"/>
      <c r="O5" s="20"/>
      <c r="P5" s="20"/>
      <c r="Q5" s="20"/>
      <c r="R5" s="20"/>
      <c r="S5" s="11"/>
      <c r="T5" s="11"/>
      <c r="U5" s="11"/>
    </row>
    <row r="6" spans="1:21" ht="21.95" customHeight="1" x14ac:dyDescent="0.35">
      <c r="A6" s="204"/>
      <c r="B6" s="365" t="str">
        <f>'Govt Funds Bal Sh Exh 3'!C7</f>
        <v>Owl - Doceo</v>
      </c>
      <c r="C6" s="365"/>
      <c r="D6" s="365"/>
      <c r="E6" s="20"/>
      <c r="F6" s="20"/>
      <c r="G6" s="20"/>
      <c r="H6" s="20"/>
      <c r="I6" s="20"/>
      <c r="J6" s="20"/>
      <c r="K6" s="20"/>
      <c r="L6" s="20"/>
      <c r="M6" s="20"/>
      <c r="N6" s="20"/>
      <c r="O6" s="20"/>
      <c r="P6" s="20"/>
      <c r="Q6" s="20"/>
      <c r="R6" s="20"/>
      <c r="S6" s="11"/>
      <c r="T6" s="11"/>
      <c r="U6" s="11"/>
    </row>
    <row r="7" spans="1:21" ht="17.25" x14ac:dyDescent="0.35">
      <c r="A7" s="153"/>
      <c r="B7" s="63"/>
      <c r="C7" s="20"/>
      <c r="D7" s="67" t="s">
        <v>48</v>
      </c>
      <c r="E7" s="20"/>
      <c r="F7" s="20"/>
      <c r="G7" s="20"/>
      <c r="H7" s="20"/>
      <c r="I7" s="20"/>
      <c r="J7" s="20"/>
      <c r="K7" s="20"/>
      <c r="L7" s="20"/>
      <c r="M7" s="20"/>
      <c r="N7" s="20"/>
      <c r="O7" s="20"/>
      <c r="P7" s="20"/>
      <c r="Q7" s="20"/>
      <c r="R7" s="20"/>
      <c r="S7" s="11"/>
      <c r="T7" s="11"/>
      <c r="U7" s="11"/>
    </row>
    <row r="8" spans="1:21" ht="36" customHeight="1" x14ac:dyDescent="0.35">
      <c r="A8" s="170"/>
      <c r="B8" s="24" t="s">
        <v>248</v>
      </c>
      <c r="C8" s="24" t="s">
        <v>47</v>
      </c>
      <c r="D8" s="27" t="s">
        <v>250</v>
      </c>
      <c r="E8" s="20"/>
      <c r="F8" s="20"/>
      <c r="G8" s="20"/>
      <c r="H8" s="20"/>
      <c r="I8" s="20"/>
      <c r="J8" s="20"/>
      <c r="K8" s="20"/>
      <c r="L8" s="20"/>
      <c r="M8" s="20"/>
      <c r="N8" s="20"/>
      <c r="O8" s="20"/>
      <c r="P8" s="20"/>
      <c r="Q8" s="20"/>
      <c r="R8" s="20"/>
      <c r="S8" s="11"/>
      <c r="T8" s="11"/>
      <c r="U8" s="11"/>
    </row>
    <row r="9" spans="1:21" ht="15.75" x14ac:dyDescent="0.25">
      <c r="A9" s="233" t="s">
        <v>233</v>
      </c>
      <c r="B9" s="33"/>
      <c r="C9" s="20"/>
      <c r="D9" s="20"/>
      <c r="E9" s="20"/>
      <c r="F9" s="20"/>
      <c r="G9" s="20"/>
      <c r="H9" s="20"/>
      <c r="I9" s="20"/>
      <c r="J9" s="20"/>
      <c r="K9" s="20"/>
      <c r="L9" s="20"/>
      <c r="M9" s="20"/>
      <c r="N9" s="20"/>
      <c r="O9" s="20"/>
      <c r="P9" s="20"/>
      <c r="Q9" s="20"/>
      <c r="R9" s="20"/>
      <c r="S9" s="11"/>
      <c r="T9" s="11"/>
      <c r="U9" s="11"/>
    </row>
    <row r="10" spans="1:21" ht="17.25" x14ac:dyDescent="0.35">
      <c r="A10" s="235" t="s">
        <v>112</v>
      </c>
      <c r="B10" s="83">
        <v>31707</v>
      </c>
      <c r="C10" s="183">
        <f>'Govt Funds Inc Stmt Exh 4'!S11</f>
        <v>71470</v>
      </c>
      <c r="D10" s="184">
        <f>C10-B10</f>
        <v>39763</v>
      </c>
      <c r="E10" s="20"/>
      <c r="F10" s="20"/>
      <c r="G10" s="20"/>
      <c r="H10" s="20"/>
      <c r="I10" s="20"/>
      <c r="J10" s="20"/>
      <c r="K10" s="20"/>
      <c r="L10" s="20"/>
      <c r="M10" s="20"/>
      <c r="N10" s="20"/>
      <c r="O10" s="20"/>
      <c r="P10" s="20"/>
      <c r="Q10" s="20"/>
      <c r="R10" s="20"/>
      <c r="S10" s="11"/>
      <c r="T10" s="11"/>
      <c r="U10" s="11"/>
    </row>
    <row r="11" spans="1:21" ht="21.95" customHeight="1" x14ac:dyDescent="0.25">
      <c r="A11" s="233" t="s">
        <v>234</v>
      </c>
      <c r="B11" s="33"/>
      <c r="C11" s="185"/>
      <c r="D11" s="185"/>
      <c r="E11" s="20"/>
      <c r="F11" s="20"/>
      <c r="G11" s="20"/>
      <c r="H11" s="20"/>
      <c r="I11" s="20"/>
      <c r="J11" s="20"/>
      <c r="K11" s="20"/>
      <c r="L11" s="20"/>
      <c r="M11" s="20"/>
      <c r="N11" s="20"/>
      <c r="O11" s="20"/>
      <c r="P11" s="20"/>
      <c r="Q11" s="20"/>
      <c r="R11" s="20"/>
      <c r="S11" s="11"/>
      <c r="T11" s="11"/>
      <c r="U11" s="11"/>
    </row>
    <row r="12" spans="1:21" ht="15.75" x14ac:dyDescent="0.25">
      <c r="A12" s="235" t="s">
        <v>143</v>
      </c>
      <c r="B12" s="33"/>
      <c r="C12" s="185"/>
      <c r="D12" s="186"/>
      <c r="E12" s="20"/>
      <c r="F12" s="20"/>
      <c r="G12" s="20"/>
      <c r="H12" s="20"/>
      <c r="I12" s="20"/>
      <c r="J12" s="20"/>
      <c r="K12" s="20"/>
      <c r="L12" s="20"/>
      <c r="M12" s="20"/>
      <c r="N12" s="20"/>
      <c r="O12" s="20"/>
      <c r="P12" s="20"/>
      <c r="Q12" s="20"/>
      <c r="R12" s="20"/>
      <c r="S12" s="11"/>
      <c r="T12" s="11"/>
      <c r="U12" s="11"/>
    </row>
    <row r="13" spans="1:21" ht="15.75" x14ac:dyDescent="0.25">
      <c r="A13" s="73" t="s">
        <v>156</v>
      </c>
      <c r="B13" s="33"/>
      <c r="C13" s="185">
        <v>41463</v>
      </c>
      <c r="D13" s="186"/>
      <c r="E13" s="20"/>
      <c r="F13" s="20"/>
      <c r="G13" s="20"/>
      <c r="H13" s="20"/>
      <c r="I13" s="20"/>
      <c r="J13" s="20"/>
      <c r="K13" s="20"/>
      <c r="L13" s="20"/>
      <c r="M13" s="20"/>
      <c r="N13" s="20"/>
      <c r="O13" s="20"/>
      <c r="P13" s="20"/>
      <c r="Q13" s="20"/>
      <c r="R13" s="20"/>
      <c r="S13" s="11"/>
      <c r="T13" s="11"/>
      <c r="U13" s="11"/>
    </row>
    <row r="14" spans="1:21" ht="15.75" x14ac:dyDescent="0.25">
      <c r="A14" s="73" t="s">
        <v>157</v>
      </c>
      <c r="B14" s="33"/>
      <c r="C14" s="185">
        <v>25250</v>
      </c>
      <c r="D14" s="186"/>
      <c r="E14" s="20"/>
      <c r="F14" s="20"/>
      <c r="G14" s="20"/>
      <c r="H14" s="20"/>
      <c r="I14" s="20"/>
      <c r="J14" s="20"/>
      <c r="K14" s="20"/>
      <c r="L14" s="20"/>
      <c r="M14" s="20"/>
      <c r="N14" s="20"/>
      <c r="O14" s="20"/>
      <c r="P14" s="20"/>
      <c r="Q14" s="20"/>
      <c r="R14" s="20"/>
      <c r="S14" s="11"/>
      <c r="T14" s="11"/>
      <c r="U14" s="11"/>
    </row>
    <row r="15" spans="1:21" ht="17.25" x14ac:dyDescent="0.35">
      <c r="A15" s="73" t="s">
        <v>91</v>
      </c>
      <c r="B15" s="34" t="s">
        <v>49</v>
      </c>
      <c r="C15" s="187">
        <v>1289</v>
      </c>
      <c r="D15" s="188" t="s">
        <v>49</v>
      </c>
      <c r="E15" s="20"/>
      <c r="F15" s="20"/>
      <c r="G15" s="20"/>
      <c r="H15" s="20"/>
      <c r="I15" s="20"/>
      <c r="J15" s="20"/>
      <c r="K15" s="20"/>
      <c r="L15" s="20"/>
      <c r="M15" s="20"/>
      <c r="N15" s="20"/>
      <c r="O15" s="20"/>
      <c r="P15" s="20"/>
      <c r="Q15" s="20"/>
      <c r="R15" s="20"/>
      <c r="S15" s="11"/>
      <c r="T15" s="11"/>
      <c r="U15" s="11"/>
    </row>
    <row r="16" spans="1:21" ht="17.25" x14ac:dyDescent="0.35">
      <c r="A16" s="238" t="s">
        <v>138</v>
      </c>
      <c r="B16" s="34">
        <v>25947</v>
      </c>
      <c r="C16" s="187">
        <f>SUM(C13:C15)</f>
        <v>68002</v>
      </c>
      <c r="D16" s="188">
        <f>+B16-C16</f>
        <v>-42055</v>
      </c>
      <c r="E16" s="20"/>
      <c r="F16" s="20"/>
      <c r="G16" s="20"/>
      <c r="H16" s="20"/>
      <c r="I16" s="20"/>
      <c r="J16" s="20"/>
      <c r="K16" s="20"/>
      <c r="L16" s="20"/>
      <c r="M16" s="20"/>
      <c r="N16" s="20"/>
      <c r="O16" s="20"/>
      <c r="P16" s="20"/>
      <c r="Q16" s="20"/>
      <c r="R16" s="20"/>
      <c r="S16" s="11"/>
      <c r="T16" s="11"/>
      <c r="U16" s="11"/>
    </row>
    <row r="17" spans="1:21" ht="15.75" x14ac:dyDescent="0.25">
      <c r="A17" s="235" t="s">
        <v>155</v>
      </c>
      <c r="B17" s="33"/>
      <c r="C17" s="189"/>
      <c r="D17" s="186"/>
      <c r="E17" s="20"/>
      <c r="F17" s="20"/>
      <c r="G17" s="20"/>
      <c r="H17" s="20"/>
      <c r="I17" s="20"/>
      <c r="J17" s="20"/>
      <c r="K17" s="20"/>
      <c r="L17" s="20"/>
      <c r="M17" s="20"/>
      <c r="N17" s="20"/>
      <c r="O17" s="20"/>
      <c r="P17" s="20"/>
      <c r="Q17" s="20"/>
      <c r="R17" s="20"/>
      <c r="S17" s="11"/>
      <c r="T17" s="11"/>
      <c r="U17" s="11"/>
    </row>
    <row r="18" spans="1:21" ht="15.75" x14ac:dyDescent="0.25">
      <c r="A18" s="73" t="s">
        <v>158</v>
      </c>
      <c r="B18" s="33"/>
      <c r="C18" s="189">
        <v>1336</v>
      </c>
      <c r="D18" s="186"/>
      <c r="E18" s="20"/>
      <c r="F18" s="20"/>
      <c r="G18" s="20"/>
      <c r="H18" s="20"/>
      <c r="I18" s="20"/>
      <c r="J18" s="20"/>
      <c r="K18" s="20"/>
      <c r="L18" s="20"/>
      <c r="M18" s="20"/>
      <c r="N18" s="20"/>
      <c r="O18" s="20"/>
      <c r="P18" s="20"/>
      <c r="Q18" s="20"/>
      <c r="R18" s="20"/>
      <c r="S18" s="11"/>
      <c r="T18" s="11"/>
      <c r="U18" s="11"/>
    </row>
    <row r="19" spans="1:21" ht="30.75" x14ac:dyDescent="0.25">
      <c r="A19" s="69" t="s">
        <v>304</v>
      </c>
      <c r="B19" s="33"/>
      <c r="C19" s="186">
        <v>983</v>
      </c>
      <c r="D19" s="186"/>
      <c r="E19" s="20"/>
      <c r="F19" s="20"/>
      <c r="G19" s="20"/>
      <c r="H19" s="20"/>
      <c r="I19" s="20"/>
      <c r="J19" s="20"/>
      <c r="K19" s="20"/>
      <c r="L19" s="20"/>
      <c r="M19" s="20"/>
      <c r="N19" s="20"/>
      <c r="O19" s="20"/>
      <c r="P19" s="20"/>
      <c r="Q19" s="20"/>
      <c r="R19" s="20"/>
      <c r="S19" s="11"/>
      <c r="T19" s="11"/>
      <c r="U19" s="11"/>
    </row>
    <row r="20" spans="1:21" ht="32.25" x14ac:dyDescent="0.35">
      <c r="A20" s="69" t="s">
        <v>196</v>
      </c>
      <c r="B20" s="236" t="s">
        <v>49</v>
      </c>
      <c r="C20" s="188">
        <v>57</v>
      </c>
      <c r="D20" s="188" t="s">
        <v>49</v>
      </c>
      <c r="E20" s="20"/>
      <c r="F20" s="20"/>
      <c r="G20" s="20"/>
      <c r="H20" s="20"/>
      <c r="I20" s="20"/>
      <c r="J20" s="20"/>
      <c r="K20" s="20"/>
      <c r="L20" s="20"/>
      <c r="M20" s="20"/>
      <c r="N20" s="20"/>
      <c r="O20" s="20"/>
      <c r="P20" s="20"/>
      <c r="Q20" s="20"/>
      <c r="R20" s="20"/>
      <c r="S20" s="11"/>
      <c r="T20" s="11"/>
      <c r="U20" s="11"/>
    </row>
    <row r="21" spans="1:21" ht="17.25" x14ac:dyDescent="0.35">
      <c r="A21" s="238" t="s">
        <v>142</v>
      </c>
      <c r="B21" s="34">
        <v>2500</v>
      </c>
      <c r="C21" s="187">
        <f>SUM(C18:C20)</f>
        <v>2376</v>
      </c>
      <c r="D21" s="188">
        <f>+B21-C21</f>
        <v>124</v>
      </c>
      <c r="E21" s="20"/>
      <c r="F21" s="20"/>
      <c r="G21" s="20"/>
      <c r="H21" s="20"/>
      <c r="I21" s="20"/>
      <c r="J21" s="20"/>
      <c r="K21" s="20"/>
      <c r="L21" s="20"/>
      <c r="M21" s="20"/>
      <c r="N21" s="20"/>
      <c r="O21" s="20"/>
      <c r="P21" s="20"/>
      <c r="Q21" s="20"/>
      <c r="R21" s="20"/>
      <c r="S21" s="11"/>
      <c r="T21" s="11"/>
      <c r="U21" s="11"/>
    </row>
    <row r="22" spans="1:21" ht="17.25" x14ac:dyDescent="0.35">
      <c r="A22" s="235" t="s">
        <v>116</v>
      </c>
      <c r="B22" s="34">
        <v>3260</v>
      </c>
      <c r="C22" s="188">
        <v>1092</v>
      </c>
      <c r="D22" s="188">
        <f>+B22-C22</f>
        <v>2168</v>
      </c>
      <c r="E22" s="20"/>
      <c r="F22" s="20"/>
      <c r="G22" s="20"/>
      <c r="H22" s="20"/>
      <c r="I22" s="20"/>
      <c r="J22" s="20"/>
      <c r="K22" s="20"/>
      <c r="L22" s="20"/>
      <c r="M22" s="20"/>
      <c r="N22" s="20"/>
      <c r="O22" s="20"/>
      <c r="P22" s="20"/>
      <c r="Q22" s="20"/>
      <c r="R22" s="20"/>
      <c r="S22" s="11"/>
      <c r="T22" s="11"/>
      <c r="U22" s="11"/>
    </row>
    <row r="23" spans="1:21" ht="20.100000000000001" customHeight="1" x14ac:dyDescent="0.35">
      <c r="A23" s="73" t="s">
        <v>18</v>
      </c>
      <c r="B23" s="94">
        <f>+B22+B21+B16</f>
        <v>31707</v>
      </c>
      <c r="C23" s="94">
        <f>+C22+C21+C16</f>
        <v>71470</v>
      </c>
      <c r="D23" s="94">
        <f>SUM(D12:D22)</f>
        <v>-39763</v>
      </c>
      <c r="E23" s="20"/>
      <c r="F23" s="20"/>
      <c r="G23" s="20"/>
      <c r="H23" s="20"/>
      <c r="I23" s="20"/>
      <c r="J23" s="20"/>
      <c r="K23" s="20"/>
      <c r="L23" s="20"/>
      <c r="M23" s="20"/>
      <c r="N23" s="20"/>
      <c r="O23" s="20"/>
      <c r="P23" s="20"/>
      <c r="Q23" s="20"/>
      <c r="R23" s="20"/>
      <c r="S23" s="11"/>
      <c r="T23" s="11"/>
      <c r="U23" s="11"/>
    </row>
    <row r="24" spans="1:21" ht="21.95" customHeight="1" x14ac:dyDescent="0.35">
      <c r="A24" s="234" t="s">
        <v>303</v>
      </c>
      <c r="B24" s="191">
        <f>+B10-B23</f>
        <v>0</v>
      </c>
      <c r="C24" s="192">
        <f>+C10-C23</f>
        <v>0</v>
      </c>
      <c r="D24" s="101">
        <f>+D10+D23</f>
        <v>0</v>
      </c>
      <c r="E24" s="20"/>
      <c r="F24" s="20"/>
      <c r="G24" s="20"/>
      <c r="H24" s="20"/>
      <c r="I24" s="20"/>
      <c r="J24" s="20"/>
      <c r="K24" s="20"/>
      <c r="L24" s="20"/>
      <c r="M24" s="20"/>
      <c r="N24" s="20"/>
      <c r="O24" s="20"/>
      <c r="P24" s="20"/>
      <c r="Q24" s="20"/>
      <c r="R24" s="20"/>
      <c r="S24" s="11"/>
      <c r="T24" s="11"/>
      <c r="U24" s="11"/>
    </row>
    <row r="25" spans="1:21" ht="21.95" customHeight="1" x14ac:dyDescent="0.25">
      <c r="A25" s="77" t="s">
        <v>254</v>
      </c>
      <c r="B25" s="190"/>
      <c r="C25" s="193">
        <v>0</v>
      </c>
      <c r="D25" s="20"/>
      <c r="E25" s="20"/>
      <c r="F25" s="20" t="s">
        <v>49</v>
      </c>
      <c r="G25" s="20"/>
      <c r="H25" s="20"/>
      <c r="I25" s="20"/>
      <c r="J25" s="20"/>
      <c r="K25" s="20"/>
      <c r="L25" s="20"/>
      <c r="M25" s="20"/>
      <c r="N25" s="20"/>
      <c r="O25" s="20"/>
      <c r="P25" s="20"/>
      <c r="Q25" s="20"/>
      <c r="R25" s="20"/>
      <c r="S25" s="11"/>
      <c r="T25" s="11"/>
      <c r="U25" s="11"/>
    </row>
    <row r="26" spans="1:21" ht="20.100000000000001" customHeight="1" thickBot="1" x14ac:dyDescent="0.3">
      <c r="A26" s="77" t="s">
        <v>255</v>
      </c>
      <c r="B26" s="190"/>
      <c r="C26" s="194">
        <f>+C24+C25</f>
        <v>0</v>
      </c>
      <c r="D26" s="20"/>
      <c r="E26" s="20"/>
      <c r="F26" s="20"/>
      <c r="G26" s="20"/>
      <c r="H26" s="20"/>
      <c r="I26" s="20"/>
      <c r="J26" s="20"/>
      <c r="K26" s="20"/>
      <c r="L26" s="20"/>
      <c r="M26" s="20"/>
      <c r="N26" s="20"/>
      <c r="O26" s="20"/>
      <c r="P26" s="20"/>
      <c r="Q26" s="20"/>
      <c r="R26" s="20"/>
      <c r="S26" s="11"/>
      <c r="T26" s="11"/>
      <c r="U26" s="11"/>
    </row>
    <row r="27" spans="1:21" ht="16.5" thickTop="1" x14ac:dyDescent="0.25">
      <c r="A27" s="33"/>
      <c r="B27" s="190"/>
      <c r="C27" s="195"/>
      <c r="D27" s="20"/>
      <c r="E27" s="20"/>
      <c r="F27" s="20"/>
      <c r="G27" s="20"/>
      <c r="H27" s="20"/>
      <c r="I27" s="20"/>
      <c r="J27" s="20"/>
      <c r="K27" s="20"/>
      <c r="L27" s="20"/>
      <c r="M27" s="20"/>
      <c r="N27" s="20"/>
      <c r="O27" s="20"/>
      <c r="P27" s="20"/>
      <c r="Q27" s="20"/>
      <c r="R27" s="20"/>
      <c r="S27" s="11"/>
      <c r="T27" s="11"/>
      <c r="U27" s="11"/>
    </row>
    <row r="28" spans="1:21" ht="16.5" thickBot="1" x14ac:dyDescent="0.3">
      <c r="A28" s="20"/>
      <c r="B28" s="20"/>
      <c r="C28" s="20"/>
      <c r="D28" s="20"/>
      <c r="E28" s="20"/>
      <c r="F28" s="20"/>
      <c r="G28" s="20"/>
      <c r="H28" s="20"/>
      <c r="I28" s="20"/>
      <c r="J28" s="20"/>
      <c r="K28" s="20"/>
      <c r="L28" s="20"/>
      <c r="M28" s="20"/>
      <c r="N28" s="20"/>
      <c r="O28" s="20"/>
      <c r="P28" s="20"/>
      <c r="Q28" s="20"/>
      <c r="R28" s="20"/>
      <c r="S28" s="11"/>
      <c r="T28" s="11"/>
      <c r="U28" s="11"/>
    </row>
    <row r="29" spans="1:21" ht="12" customHeight="1" x14ac:dyDescent="0.25">
      <c r="A29" s="404" t="s">
        <v>299</v>
      </c>
      <c r="B29" s="405"/>
      <c r="C29" s="405"/>
      <c r="D29" s="406"/>
      <c r="E29" s="196"/>
      <c r="F29" s="20"/>
      <c r="G29" s="20"/>
      <c r="H29" s="20"/>
      <c r="I29" s="20"/>
      <c r="J29" s="20"/>
      <c r="K29" s="20"/>
      <c r="L29" s="20"/>
      <c r="M29" s="20"/>
      <c r="N29" s="20"/>
      <c r="O29" s="20"/>
      <c r="P29" s="20"/>
      <c r="Q29" s="20"/>
      <c r="R29" s="20"/>
      <c r="S29" s="11"/>
      <c r="T29" s="11"/>
      <c r="U29" s="11"/>
    </row>
    <row r="30" spans="1:21" ht="12" customHeight="1" x14ac:dyDescent="0.25">
      <c r="A30" s="407"/>
      <c r="B30" s="408"/>
      <c r="C30" s="408"/>
      <c r="D30" s="409"/>
      <c r="E30" s="196"/>
      <c r="F30" s="20"/>
      <c r="G30" s="20"/>
      <c r="H30" s="20"/>
      <c r="I30" s="20"/>
      <c r="J30" s="20"/>
      <c r="K30" s="20"/>
      <c r="L30" s="20"/>
      <c r="M30" s="20"/>
      <c r="N30" s="20"/>
      <c r="O30" s="20"/>
      <c r="P30" s="20"/>
      <c r="Q30" s="20"/>
      <c r="R30" s="20"/>
      <c r="S30" s="11"/>
      <c r="T30" s="11"/>
      <c r="U30" s="11"/>
    </row>
    <row r="31" spans="1:21" ht="12" customHeight="1" x14ac:dyDescent="0.25">
      <c r="A31" s="407"/>
      <c r="B31" s="408"/>
      <c r="C31" s="408"/>
      <c r="D31" s="409"/>
      <c r="E31" s="196"/>
      <c r="F31" s="20"/>
      <c r="G31" s="20"/>
      <c r="H31" s="20"/>
      <c r="I31" s="20"/>
      <c r="J31" s="20"/>
      <c r="K31" s="20"/>
      <c r="L31" s="20"/>
      <c r="M31" s="20"/>
      <c r="N31" s="20"/>
      <c r="O31" s="20"/>
      <c r="P31" s="20"/>
      <c r="Q31" s="20"/>
      <c r="R31" s="20"/>
      <c r="S31" s="11"/>
      <c r="T31" s="11"/>
      <c r="U31" s="11"/>
    </row>
    <row r="32" spans="1:21" ht="12.6" customHeight="1" x14ac:dyDescent="0.25">
      <c r="A32" s="407"/>
      <c r="B32" s="408"/>
      <c r="C32" s="408"/>
      <c r="D32" s="409"/>
      <c r="E32" s="196"/>
      <c r="F32" s="20"/>
      <c r="G32" s="20"/>
      <c r="H32" s="20"/>
      <c r="I32" s="20"/>
      <c r="J32" s="20"/>
      <c r="K32" s="20"/>
      <c r="L32" s="20"/>
      <c r="M32" s="20"/>
      <c r="N32" s="20"/>
      <c r="O32" s="20"/>
      <c r="P32" s="20"/>
      <c r="Q32" s="20"/>
      <c r="R32" s="20"/>
      <c r="S32" s="11"/>
      <c r="T32" s="11"/>
      <c r="U32" s="11"/>
    </row>
    <row r="33" spans="1:21" ht="20.25" customHeight="1" thickBot="1" x14ac:dyDescent="0.3">
      <c r="A33" s="410"/>
      <c r="B33" s="411"/>
      <c r="C33" s="411"/>
      <c r="D33" s="412"/>
      <c r="E33" s="196"/>
      <c r="F33" s="20"/>
      <c r="G33" s="20"/>
      <c r="H33" s="20"/>
      <c r="I33" s="20"/>
      <c r="J33" s="20"/>
      <c r="K33" s="20"/>
      <c r="L33" s="20"/>
      <c r="M33" s="20"/>
      <c r="N33" s="20"/>
      <c r="O33" s="20"/>
      <c r="P33" s="20"/>
      <c r="Q33" s="20"/>
      <c r="R33" s="20"/>
      <c r="S33" s="11"/>
      <c r="T33" s="11"/>
      <c r="U33" s="11"/>
    </row>
    <row r="34" spans="1:21" ht="12.6" customHeight="1" x14ac:dyDescent="0.25">
      <c r="A34" s="196"/>
      <c r="B34" s="196"/>
      <c r="C34" s="196"/>
      <c r="D34" s="196"/>
      <c r="E34" s="20"/>
      <c r="F34" s="20"/>
      <c r="G34" s="20"/>
      <c r="H34" s="20"/>
      <c r="I34" s="20"/>
      <c r="J34" s="20"/>
      <c r="K34" s="20"/>
      <c r="L34" s="20"/>
      <c r="M34" s="20"/>
      <c r="N34" s="20"/>
      <c r="O34" s="20"/>
      <c r="P34" s="20"/>
      <c r="Q34" s="20"/>
      <c r="R34" s="20"/>
      <c r="S34" s="11"/>
      <c r="T34" s="11"/>
      <c r="U34" s="11"/>
    </row>
    <row r="35" spans="1:21" ht="15.75" x14ac:dyDescent="0.25">
      <c r="A35" s="20"/>
      <c r="B35" s="20"/>
      <c r="C35" s="20"/>
      <c r="D35" s="20"/>
      <c r="E35" s="20"/>
      <c r="F35" s="20"/>
      <c r="G35" s="20"/>
      <c r="H35" s="20"/>
      <c r="I35" s="20"/>
      <c r="J35" s="20"/>
      <c r="K35" s="20"/>
      <c r="L35" s="20"/>
      <c r="M35" s="20"/>
      <c r="N35" s="20"/>
      <c r="O35" s="20"/>
      <c r="P35" s="20"/>
      <c r="Q35" s="20"/>
      <c r="R35" s="20"/>
      <c r="S35" s="11"/>
      <c r="T35" s="11"/>
      <c r="U35" s="11"/>
    </row>
    <row r="36" spans="1:21" ht="15.75" x14ac:dyDescent="0.25">
      <c r="A36" s="20"/>
      <c r="B36" s="20"/>
      <c r="C36" s="20"/>
      <c r="D36" s="20"/>
      <c r="E36" s="20"/>
      <c r="F36" s="20"/>
      <c r="G36" s="20"/>
      <c r="H36" s="20"/>
      <c r="I36" s="20"/>
      <c r="J36" s="20"/>
      <c r="K36" s="20"/>
      <c r="L36" s="20"/>
      <c r="M36" s="20"/>
      <c r="N36" s="20"/>
      <c r="O36" s="20"/>
      <c r="P36" s="20"/>
      <c r="Q36" s="20"/>
      <c r="R36" s="20"/>
      <c r="S36" s="11"/>
      <c r="T36" s="11"/>
      <c r="U36" s="11"/>
    </row>
    <row r="37" spans="1:21" ht="15.75" x14ac:dyDescent="0.25">
      <c r="A37" s="403"/>
      <c r="B37" s="20"/>
      <c r="C37" s="20"/>
      <c r="D37" s="20"/>
      <c r="E37" s="20"/>
      <c r="F37" s="20"/>
      <c r="G37" s="20"/>
      <c r="H37" s="20"/>
      <c r="I37" s="20"/>
      <c r="J37" s="20"/>
      <c r="K37" s="20"/>
      <c r="L37" s="20"/>
      <c r="M37" s="20"/>
      <c r="N37" s="20"/>
      <c r="O37" s="20"/>
      <c r="P37" s="20"/>
      <c r="Q37" s="20"/>
      <c r="R37" s="20"/>
      <c r="S37" s="11"/>
      <c r="T37" s="11"/>
      <c r="U37" s="11"/>
    </row>
    <row r="38" spans="1:21" ht="33.75" customHeight="1" x14ac:dyDescent="0.25">
      <c r="A38" s="403"/>
      <c r="B38" s="20"/>
      <c r="C38" s="20"/>
      <c r="D38" s="20"/>
      <c r="E38" s="20"/>
      <c r="F38" s="20"/>
      <c r="G38" s="20"/>
      <c r="H38" s="20"/>
      <c r="I38" s="20"/>
      <c r="J38" s="20"/>
      <c r="K38" s="20"/>
      <c r="L38" s="20"/>
      <c r="M38" s="20"/>
      <c r="N38" s="20"/>
      <c r="O38" s="20"/>
      <c r="P38" s="20"/>
      <c r="Q38" s="20"/>
      <c r="R38" s="20"/>
      <c r="S38" s="11"/>
      <c r="T38" s="11"/>
      <c r="U38" s="11"/>
    </row>
    <row r="39" spans="1:21" ht="35.1" customHeight="1" x14ac:dyDescent="0.25">
      <c r="A39" s="91" t="s">
        <v>294</v>
      </c>
      <c r="B39" s="39"/>
      <c r="C39" s="86" t="str">
        <f>IF(C23-'Govt Funds Inc Stmt Exh 4'!S24=0,"Yes",C23-'Govt Funds Inc Stmt Exh 4'!S24)</f>
        <v>Yes</v>
      </c>
      <c r="D39" s="20"/>
      <c r="E39" s="20"/>
      <c r="F39" s="20"/>
      <c r="G39" s="20"/>
      <c r="H39" s="20"/>
      <c r="I39" s="20"/>
      <c r="J39" s="20"/>
      <c r="K39" s="20"/>
      <c r="L39" s="20"/>
      <c r="M39" s="20"/>
      <c r="N39" s="20"/>
      <c r="O39" s="20"/>
      <c r="P39" s="20"/>
      <c r="Q39" s="20"/>
      <c r="R39" s="20"/>
      <c r="S39" s="11"/>
      <c r="T39" s="11"/>
      <c r="U39" s="11"/>
    </row>
    <row r="40" spans="1:21" ht="35.1" customHeight="1" x14ac:dyDescent="0.25">
      <c r="A40" s="91" t="s">
        <v>293</v>
      </c>
      <c r="B40" s="39"/>
      <c r="C40" s="86" t="str">
        <f>IF(C24-'Govt Funds Inc Stmt Exh 4'!S32=0,"Yes",C24-'Govt Funds Inc Stmt Exh 4'!S32)</f>
        <v>Yes</v>
      </c>
      <c r="D40" s="20"/>
      <c r="E40" s="20"/>
      <c r="F40" s="20"/>
      <c r="G40" s="20"/>
      <c r="H40" s="20"/>
      <c r="I40" s="20"/>
      <c r="J40" s="20"/>
      <c r="K40" s="20"/>
      <c r="L40" s="20"/>
      <c r="M40" s="20"/>
      <c r="N40" s="20"/>
      <c r="O40" s="20"/>
      <c r="P40" s="20"/>
      <c r="Q40" s="20"/>
      <c r="R40" s="20"/>
      <c r="S40" s="11"/>
      <c r="T40" s="11"/>
      <c r="U40" s="11"/>
    </row>
    <row r="41" spans="1:21" ht="21.95" customHeight="1" x14ac:dyDescent="0.25">
      <c r="A41" s="165" t="s">
        <v>306</v>
      </c>
      <c r="B41" s="134" t="str">
        <f>IF(B24=0,"Yes",B24)</f>
        <v>Yes</v>
      </c>
      <c r="C41" s="20"/>
      <c r="D41" s="20"/>
      <c r="E41" s="20"/>
      <c r="F41" s="20"/>
      <c r="G41" s="20"/>
      <c r="H41" s="20"/>
      <c r="I41" s="20"/>
      <c r="J41" s="20"/>
      <c r="K41" s="20"/>
      <c r="L41" s="20"/>
      <c r="M41" s="20"/>
      <c r="N41" s="20"/>
      <c r="O41" s="20"/>
      <c r="P41" s="20"/>
      <c r="Q41" s="20"/>
      <c r="R41" s="20"/>
      <c r="S41" s="11"/>
      <c r="T41" s="11"/>
      <c r="U41" s="11"/>
    </row>
    <row r="42" spans="1:21" ht="15.75" x14ac:dyDescent="0.25">
      <c r="A42" s="20"/>
      <c r="B42" s="20"/>
      <c r="C42" s="20"/>
      <c r="D42" s="20"/>
      <c r="E42" s="20"/>
      <c r="F42" s="20"/>
      <c r="G42" s="20"/>
      <c r="H42" s="20"/>
      <c r="I42" s="20"/>
      <c r="J42" s="20"/>
      <c r="K42" s="20"/>
      <c r="L42" s="20"/>
      <c r="M42" s="20"/>
      <c r="N42" s="20"/>
      <c r="O42" s="20"/>
      <c r="P42" s="20"/>
      <c r="Q42" s="20"/>
      <c r="R42" s="20"/>
      <c r="S42" s="11"/>
      <c r="T42" s="11"/>
      <c r="U42" s="11"/>
    </row>
    <row r="43" spans="1:21" ht="15.75" x14ac:dyDescent="0.25">
      <c r="A43" s="20"/>
      <c r="B43" s="20"/>
      <c r="C43" s="20"/>
      <c r="D43" s="20"/>
      <c r="E43" s="20"/>
      <c r="F43" s="20"/>
      <c r="G43" s="20"/>
      <c r="H43" s="20"/>
      <c r="I43" s="20"/>
      <c r="J43" s="20"/>
      <c r="K43" s="20"/>
      <c r="L43" s="20"/>
      <c r="M43" s="20"/>
      <c r="N43" s="20"/>
      <c r="O43" s="20"/>
      <c r="P43" s="20"/>
      <c r="Q43" s="20"/>
      <c r="R43" s="20"/>
      <c r="S43" s="11"/>
      <c r="T43" s="11"/>
      <c r="U43" s="11"/>
    </row>
    <row r="44" spans="1:21" ht="15.75" x14ac:dyDescent="0.25">
      <c r="A44" s="20"/>
      <c r="B44" s="20"/>
      <c r="C44" s="20"/>
      <c r="D44" s="20"/>
      <c r="E44" s="20"/>
      <c r="F44" s="20"/>
      <c r="G44" s="20"/>
      <c r="H44" s="20"/>
      <c r="I44" s="20"/>
      <c r="J44" s="20"/>
      <c r="K44" s="20"/>
      <c r="L44" s="20"/>
      <c r="M44" s="20"/>
      <c r="N44" s="20"/>
      <c r="O44" s="20"/>
      <c r="P44" s="20"/>
      <c r="Q44" s="20"/>
      <c r="R44" s="20"/>
      <c r="S44" s="11"/>
      <c r="T44" s="11"/>
      <c r="U44" s="11"/>
    </row>
    <row r="45" spans="1:21" ht="15.75" x14ac:dyDescent="0.25">
      <c r="A45" s="20"/>
      <c r="B45" s="20"/>
      <c r="C45" s="20"/>
      <c r="D45" s="20"/>
      <c r="E45" s="20"/>
      <c r="F45" s="20"/>
      <c r="G45" s="20"/>
      <c r="H45" s="20"/>
      <c r="I45" s="20"/>
      <c r="J45" s="20"/>
      <c r="K45" s="20"/>
      <c r="L45" s="20"/>
      <c r="M45" s="20"/>
      <c r="N45" s="20"/>
      <c r="O45" s="20"/>
      <c r="P45" s="20"/>
      <c r="Q45" s="20"/>
      <c r="R45" s="20"/>
      <c r="S45" s="11"/>
      <c r="T45" s="11"/>
      <c r="U45" s="11"/>
    </row>
    <row r="46" spans="1:21" ht="15.75" x14ac:dyDescent="0.25">
      <c r="A46" s="20"/>
      <c r="B46" s="20"/>
      <c r="C46" s="20"/>
      <c r="D46" s="20"/>
      <c r="E46" s="20"/>
      <c r="F46" s="20"/>
      <c r="G46" s="20"/>
      <c r="H46" s="20"/>
      <c r="I46" s="20"/>
      <c r="J46" s="20"/>
      <c r="K46" s="20"/>
      <c r="L46" s="20"/>
      <c r="M46" s="20"/>
      <c r="N46" s="20"/>
      <c r="O46" s="20"/>
      <c r="P46" s="20"/>
      <c r="Q46" s="20"/>
      <c r="R46" s="20"/>
      <c r="S46" s="11"/>
      <c r="T46" s="11"/>
      <c r="U46" s="11"/>
    </row>
    <row r="47" spans="1:21" ht="15.75" x14ac:dyDescent="0.25">
      <c r="A47" s="20"/>
      <c r="B47" s="20"/>
      <c r="C47" s="20"/>
      <c r="D47" s="20"/>
      <c r="E47" s="20"/>
      <c r="F47" s="20"/>
      <c r="G47" s="20"/>
      <c r="H47" s="20"/>
      <c r="I47" s="20"/>
      <c r="J47" s="20"/>
      <c r="K47" s="20"/>
      <c r="L47" s="20"/>
      <c r="M47" s="20"/>
      <c r="N47" s="20"/>
      <c r="O47" s="20"/>
      <c r="P47" s="20"/>
      <c r="Q47" s="20"/>
      <c r="R47" s="20"/>
      <c r="S47" s="11"/>
      <c r="T47" s="11"/>
      <c r="U47" s="11"/>
    </row>
    <row r="48" spans="1:21" ht="15.75" x14ac:dyDescent="0.25">
      <c r="A48" s="20"/>
      <c r="B48" s="20"/>
      <c r="C48" s="20"/>
      <c r="D48" s="20"/>
      <c r="E48" s="20"/>
      <c r="F48" s="20"/>
      <c r="G48" s="20"/>
      <c r="H48" s="20"/>
      <c r="I48" s="20"/>
      <c r="J48" s="20"/>
      <c r="K48" s="20"/>
      <c r="L48" s="20"/>
      <c r="M48" s="20"/>
      <c r="N48" s="20"/>
      <c r="O48" s="20"/>
      <c r="P48" s="20"/>
      <c r="Q48" s="20"/>
      <c r="R48" s="20"/>
      <c r="S48" s="11"/>
      <c r="T48" s="11"/>
      <c r="U48" s="11"/>
    </row>
    <row r="49" spans="1:21" ht="15.75" x14ac:dyDescent="0.25">
      <c r="A49" s="20"/>
      <c r="B49" s="20"/>
      <c r="C49" s="20"/>
      <c r="D49" s="20"/>
      <c r="E49" s="20"/>
      <c r="F49" s="20"/>
      <c r="G49" s="20"/>
      <c r="H49" s="20"/>
      <c r="I49" s="20"/>
      <c r="J49" s="20"/>
      <c r="K49" s="20"/>
      <c r="L49" s="20"/>
      <c r="M49" s="20"/>
      <c r="N49" s="20"/>
      <c r="O49" s="20"/>
      <c r="P49" s="20"/>
      <c r="Q49" s="20"/>
      <c r="R49" s="20"/>
      <c r="S49" s="11"/>
      <c r="T49" s="11"/>
      <c r="U49" s="11"/>
    </row>
    <row r="50" spans="1:21" ht="15.75" x14ac:dyDescent="0.25">
      <c r="A50" s="20"/>
      <c r="B50" s="20"/>
      <c r="C50" s="20"/>
      <c r="D50" s="20"/>
      <c r="E50" s="20"/>
      <c r="F50" s="20"/>
      <c r="G50" s="20"/>
      <c r="H50" s="20"/>
      <c r="I50" s="20"/>
      <c r="J50" s="20"/>
      <c r="K50" s="20"/>
      <c r="L50" s="20"/>
      <c r="M50" s="20"/>
      <c r="N50" s="20"/>
      <c r="O50" s="20"/>
      <c r="P50" s="20"/>
      <c r="Q50" s="20"/>
      <c r="R50" s="20"/>
      <c r="S50" s="11"/>
      <c r="T50" s="11"/>
      <c r="U50" s="11"/>
    </row>
    <row r="51" spans="1:21" ht="15.75" x14ac:dyDescent="0.25">
      <c r="A51" s="20"/>
      <c r="B51" s="20"/>
      <c r="C51" s="20"/>
      <c r="D51" s="20"/>
      <c r="E51" s="20"/>
      <c r="F51" s="20"/>
      <c r="G51" s="20"/>
      <c r="H51" s="20"/>
      <c r="I51" s="20"/>
      <c r="J51" s="20"/>
      <c r="K51" s="20"/>
      <c r="L51" s="20"/>
      <c r="M51" s="20"/>
      <c r="N51" s="20"/>
      <c r="O51" s="20"/>
      <c r="P51" s="20"/>
      <c r="Q51" s="20"/>
      <c r="R51" s="20"/>
      <c r="S51" s="11"/>
      <c r="T51" s="11"/>
      <c r="U51" s="11"/>
    </row>
    <row r="52" spans="1:21" ht="15.75" x14ac:dyDescent="0.25">
      <c r="A52" s="20"/>
      <c r="B52" s="20"/>
      <c r="C52" s="20"/>
      <c r="D52" s="20"/>
      <c r="E52" s="20"/>
      <c r="F52" s="20"/>
      <c r="G52" s="20"/>
      <c r="H52" s="20"/>
      <c r="I52" s="20"/>
      <c r="J52" s="20"/>
      <c r="K52" s="20"/>
      <c r="L52" s="20"/>
      <c r="M52" s="20"/>
      <c r="N52" s="20"/>
      <c r="O52" s="20"/>
      <c r="P52" s="20"/>
      <c r="Q52" s="20"/>
      <c r="R52" s="20"/>
      <c r="S52" s="11"/>
      <c r="T52" s="11"/>
      <c r="U52" s="11"/>
    </row>
    <row r="53" spans="1:21" ht="15.75" x14ac:dyDescent="0.25">
      <c r="A53" s="20"/>
      <c r="B53" s="20"/>
      <c r="C53" s="20"/>
      <c r="D53" s="20"/>
      <c r="E53" s="20"/>
      <c r="F53" s="20"/>
      <c r="G53" s="20"/>
      <c r="H53" s="20"/>
      <c r="I53" s="20"/>
      <c r="J53" s="20"/>
      <c r="K53" s="20"/>
      <c r="L53" s="20"/>
      <c r="M53" s="20"/>
      <c r="N53" s="20"/>
      <c r="O53" s="20"/>
      <c r="P53" s="20"/>
      <c r="Q53" s="20"/>
      <c r="R53" s="20"/>
      <c r="S53" s="11"/>
      <c r="T53" s="11"/>
      <c r="U53" s="11"/>
    </row>
    <row r="54" spans="1:21" ht="15.75" x14ac:dyDescent="0.25">
      <c r="A54" s="20"/>
      <c r="B54" s="20"/>
      <c r="C54" s="20"/>
      <c r="D54" s="20"/>
      <c r="E54" s="20"/>
      <c r="F54" s="20"/>
      <c r="G54" s="20"/>
      <c r="H54" s="20"/>
      <c r="I54" s="20"/>
      <c r="J54" s="20"/>
      <c r="K54" s="20"/>
      <c r="L54" s="20"/>
      <c r="M54" s="20"/>
      <c r="N54" s="20"/>
      <c r="O54" s="20"/>
      <c r="P54" s="20"/>
      <c r="Q54" s="20"/>
      <c r="R54" s="20"/>
      <c r="S54" s="11"/>
      <c r="T54" s="11"/>
      <c r="U54" s="11"/>
    </row>
    <row r="55" spans="1:21" ht="15.75" x14ac:dyDescent="0.25">
      <c r="A55" s="20"/>
      <c r="B55" s="20"/>
      <c r="C55" s="20"/>
      <c r="D55" s="20"/>
      <c r="E55" s="20"/>
      <c r="F55" s="20"/>
      <c r="G55" s="20"/>
      <c r="H55" s="20"/>
      <c r="I55" s="20"/>
      <c r="J55" s="20"/>
      <c r="K55" s="20"/>
      <c r="L55" s="20"/>
      <c r="M55" s="20"/>
      <c r="N55" s="20"/>
      <c r="O55" s="20"/>
      <c r="P55" s="20"/>
      <c r="Q55" s="20"/>
      <c r="R55" s="20"/>
      <c r="S55" s="11"/>
      <c r="T55" s="11"/>
      <c r="U55" s="11"/>
    </row>
    <row r="56" spans="1:21" ht="15.75" x14ac:dyDescent="0.25">
      <c r="A56" s="20"/>
      <c r="B56" s="20"/>
      <c r="C56" s="20"/>
      <c r="D56" s="20"/>
      <c r="E56" s="20"/>
      <c r="F56" s="20"/>
      <c r="G56" s="20"/>
      <c r="H56" s="20"/>
      <c r="I56" s="20"/>
      <c r="J56" s="20"/>
      <c r="K56" s="20"/>
      <c r="L56" s="20"/>
      <c r="M56" s="20"/>
      <c r="N56" s="20"/>
      <c r="O56" s="20"/>
      <c r="P56" s="20"/>
      <c r="Q56" s="20"/>
      <c r="R56" s="20"/>
      <c r="S56" s="11"/>
      <c r="T56" s="11"/>
      <c r="U56" s="11"/>
    </row>
    <row r="57" spans="1:21" ht="15.75" x14ac:dyDescent="0.25">
      <c r="A57" s="20"/>
      <c r="B57" s="20"/>
      <c r="C57" s="20"/>
      <c r="D57" s="20"/>
      <c r="E57" s="20"/>
      <c r="F57" s="20"/>
      <c r="G57" s="20"/>
      <c r="H57" s="20"/>
      <c r="I57" s="20"/>
      <c r="J57" s="20"/>
      <c r="K57" s="20"/>
      <c r="L57" s="20"/>
      <c r="M57" s="20"/>
      <c r="N57" s="20"/>
      <c r="O57" s="20"/>
      <c r="P57" s="20"/>
      <c r="Q57" s="20"/>
      <c r="R57" s="20"/>
      <c r="S57" s="11"/>
      <c r="T57" s="11"/>
      <c r="U57" s="11"/>
    </row>
    <row r="58" spans="1:21" ht="15.75" x14ac:dyDescent="0.25">
      <c r="A58" s="20"/>
      <c r="B58" s="20"/>
      <c r="C58" s="20"/>
      <c r="D58" s="20"/>
      <c r="E58" s="20"/>
      <c r="F58" s="20"/>
      <c r="G58" s="20"/>
      <c r="H58" s="20"/>
      <c r="I58" s="20"/>
      <c r="J58" s="20"/>
      <c r="K58" s="20"/>
      <c r="L58" s="20"/>
      <c r="M58" s="20"/>
      <c r="N58" s="20"/>
      <c r="O58" s="20"/>
      <c r="P58" s="20"/>
      <c r="Q58" s="20"/>
      <c r="R58" s="20"/>
      <c r="S58" s="11"/>
      <c r="T58" s="11"/>
      <c r="U58" s="11"/>
    </row>
    <row r="59" spans="1:21" ht="15.75" x14ac:dyDescent="0.25">
      <c r="A59" s="20"/>
      <c r="B59" s="20"/>
      <c r="C59" s="20"/>
      <c r="D59" s="20"/>
      <c r="E59" s="20"/>
      <c r="F59" s="20"/>
      <c r="G59" s="20"/>
      <c r="H59" s="20"/>
      <c r="I59" s="20"/>
      <c r="J59" s="20"/>
      <c r="K59" s="20"/>
      <c r="L59" s="20"/>
      <c r="M59" s="20"/>
      <c r="N59" s="20"/>
      <c r="O59" s="20"/>
      <c r="P59" s="20"/>
      <c r="Q59" s="20"/>
      <c r="R59" s="20"/>
      <c r="S59" s="11"/>
      <c r="T59" s="11"/>
      <c r="U59" s="11"/>
    </row>
    <row r="60" spans="1:21" ht="15.75" x14ac:dyDescent="0.25">
      <c r="A60" s="20"/>
      <c r="B60" s="20"/>
      <c r="C60" s="20"/>
      <c r="D60" s="20"/>
      <c r="E60" s="20"/>
      <c r="F60" s="20"/>
      <c r="G60" s="20"/>
      <c r="H60" s="20"/>
      <c r="I60" s="20"/>
      <c r="J60" s="20"/>
      <c r="K60" s="20"/>
      <c r="L60" s="20"/>
      <c r="M60" s="20"/>
      <c r="N60" s="20"/>
      <c r="O60" s="20"/>
      <c r="P60" s="20"/>
      <c r="Q60" s="20"/>
      <c r="R60" s="20"/>
      <c r="S60" s="11"/>
      <c r="T60" s="11"/>
      <c r="U60" s="11"/>
    </row>
    <row r="61" spans="1:21" ht="15.75" x14ac:dyDescent="0.25">
      <c r="A61" s="20"/>
      <c r="B61" s="20"/>
      <c r="C61" s="20"/>
      <c r="D61" s="20"/>
      <c r="E61" s="20"/>
      <c r="F61" s="20"/>
      <c r="G61" s="20"/>
      <c r="H61" s="20"/>
      <c r="I61" s="20"/>
      <c r="J61" s="20"/>
      <c r="K61" s="20"/>
      <c r="L61" s="20"/>
      <c r="M61" s="20"/>
      <c r="N61" s="20"/>
      <c r="O61" s="20"/>
      <c r="P61" s="20"/>
      <c r="Q61" s="20"/>
      <c r="R61" s="20"/>
      <c r="S61" s="11"/>
      <c r="T61" s="11"/>
      <c r="U61" s="11"/>
    </row>
    <row r="62" spans="1:21" ht="15.75" x14ac:dyDescent="0.25">
      <c r="A62" s="20"/>
      <c r="B62" s="20"/>
      <c r="C62" s="20"/>
      <c r="D62" s="20"/>
      <c r="E62" s="20"/>
      <c r="F62" s="20"/>
      <c r="G62" s="20"/>
      <c r="H62" s="20"/>
      <c r="I62" s="20"/>
      <c r="J62" s="20"/>
      <c r="K62" s="20"/>
      <c r="L62" s="20"/>
      <c r="M62" s="20"/>
      <c r="N62" s="20"/>
      <c r="O62" s="20"/>
      <c r="P62" s="20"/>
      <c r="Q62" s="20"/>
      <c r="R62" s="20"/>
      <c r="S62" s="11"/>
      <c r="T62" s="11"/>
      <c r="U62" s="11"/>
    </row>
    <row r="63" spans="1:21" ht="15.75" x14ac:dyDescent="0.25">
      <c r="A63" s="20"/>
      <c r="B63" s="20"/>
      <c r="C63" s="20"/>
      <c r="D63" s="20"/>
      <c r="E63" s="20"/>
      <c r="F63" s="20"/>
      <c r="G63" s="20"/>
      <c r="H63" s="20"/>
      <c r="I63" s="20"/>
      <c r="J63" s="20"/>
      <c r="K63" s="20"/>
      <c r="L63" s="20"/>
      <c r="M63" s="20"/>
      <c r="N63" s="20"/>
      <c r="O63" s="20"/>
      <c r="P63" s="20"/>
      <c r="Q63" s="20"/>
      <c r="R63" s="20"/>
      <c r="S63" s="11"/>
      <c r="T63" s="11"/>
      <c r="U63" s="11"/>
    </row>
    <row r="64" spans="1:21" ht="15.75" x14ac:dyDescent="0.25">
      <c r="A64" s="20"/>
      <c r="B64" s="20"/>
      <c r="C64" s="20"/>
      <c r="D64" s="20"/>
      <c r="E64" s="20"/>
      <c r="F64" s="20"/>
      <c r="G64" s="20"/>
      <c r="H64" s="20"/>
      <c r="I64" s="20"/>
      <c r="J64" s="20"/>
      <c r="K64" s="20"/>
      <c r="L64" s="20"/>
      <c r="M64" s="20"/>
      <c r="N64" s="20"/>
      <c r="O64" s="20"/>
      <c r="P64" s="20"/>
      <c r="Q64" s="20"/>
      <c r="R64" s="20"/>
      <c r="S64" s="11"/>
      <c r="T64" s="11"/>
      <c r="U64" s="11"/>
    </row>
    <row r="65" spans="1:21" ht="15.75" x14ac:dyDescent="0.25">
      <c r="A65" s="20"/>
      <c r="B65" s="20"/>
      <c r="C65" s="20"/>
      <c r="D65" s="20"/>
      <c r="E65" s="20"/>
      <c r="F65" s="20"/>
      <c r="G65" s="20"/>
      <c r="H65" s="20"/>
      <c r="I65" s="20"/>
      <c r="J65" s="20"/>
      <c r="K65" s="20"/>
      <c r="L65" s="20"/>
      <c r="M65" s="20"/>
      <c r="N65" s="20"/>
      <c r="O65" s="20"/>
      <c r="P65" s="20"/>
      <c r="Q65" s="20"/>
      <c r="R65" s="20"/>
      <c r="S65" s="11"/>
      <c r="T65" s="11"/>
      <c r="U65" s="11"/>
    </row>
    <row r="66" spans="1:21" ht="15.75" x14ac:dyDescent="0.25">
      <c r="A66" s="20"/>
      <c r="B66" s="20"/>
      <c r="C66" s="20"/>
      <c r="D66" s="20"/>
      <c r="E66" s="20"/>
      <c r="F66" s="20"/>
      <c r="G66" s="20"/>
      <c r="H66" s="20"/>
      <c r="I66" s="20"/>
      <c r="J66" s="20"/>
      <c r="K66" s="20"/>
      <c r="L66" s="20"/>
      <c r="M66" s="20"/>
      <c r="N66" s="20"/>
      <c r="O66" s="20"/>
      <c r="P66" s="20"/>
      <c r="Q66" s="20"/>
      <c r="R66" s="20"/>
      <c r="S66" s="11"/>
      <c r="T66" s="11"/>
      <c r="U66" s="11"/>
    </row>
    <row r="67" spans="1:21" ht="15.75" x14ac:dyDescent="0.25">
      <c r="A67" s="20"/>
      <c r="B67" s="20"/>
      <c r="C67" s="20"/>
      <c r="D67" s="20"/>
      <c r="E67" s="20"/>
      <c r="F67" s="20"/>
      <c r="G67" s="20"/>
      <c r="H67" s="20"/>
      <c r="I67" s="20"/>
      <c r="J67" s="20"/>
      <c r="K67" s="20"/>
      <c r="L67" s="20"/>
      <c r="M67" s="20"/>
      <c r="N67" s="20"/>
      <c r="O67" s="20"/>
      <c r="P67" s="20"/>
      <c r="Q67" s="20"/>
      <c r="R67" s="20"/>
      <c r="S67" s="11"/>
      <c r="T67" s="11"/>
      <c r="U67" s="11"/>
    </row>
    <row r="68" spans="1:21" ht="15.75" x14ac:dyDescent="0.25">
      <c r="A68" s="20"/>
      <c r="B68" s="20"/>
      <c r="C68" s="20"/>
      <c r="D68" s="20"/>
      <c r="E68" s="20"/>
      <c r="F68" s="20"/>
      <c r="G68" s="20"/>
      <c r="H68" s="20"/>
      <c r="I68" s="20"/>
      <c r="J68" s="20"/>
      <c r="K68" s="20"/>
      <c r="L68" s="20"/>
      <c r="M68" s="20"/>
      <c r="N68" s="20"/>
      <c r="O68" s="20"/>
      <c r="P68" s="20"/>
      <c r="Q68" s="20"/>
      <c r="R68" s="20"/>
      <c r="S68" s="11"/>
      <c r="T68" s="11"/>
      <c r="U68" s="11"/>
    </row>
    <row r="69" spans="1:21" ht="15.75" x14ac:dyDescent="0.25">
      <c r="A69" s="20"/>
      <c r="B69" s="20"/>
      <c r="C69" s="20"/>
      <c r="D69" s="20"/>
      <c r="E69" s="20"/>
      <c r="F69" s="20"/>
      <c r="G69" s="20"/>
      <c r="H69" s="20"/>
      <c r="I69" s="20"/>
      <c r="J69" s="20"/>
      <c r="K69" s="20"/>
      <c r="L69" s="20"/>
      <c r="M69" s="20"/>
      <c r="N69" s="20"/>
      <c r="O69" s="20"/>
      <c r="P69" s="20"/>
      <c r="Q69" s="20"/>
      <c r="R69" s="20"/>
      <c r="S69" s="11"/>
      <c r="T69" s="11"/>
      <c r="U69" s="11"/>
    </row>
    <row r="70" spans="1:21" ht="15.75" x14ac:dyDescent="0.25">
      <c r="A70" s="20"/>
      <c r="B70" s="20"/>
      <c r="C70" s="20"/>
      <c r="D70" s="20"/>
      <c r="E70" s="20"/>
      <c r="F70" s="20"/>
      <c r="G70" s="20"/>
      <c r="H70" s="20"/>
      <c r="I70" s="20"/>
      <c r="J70" s="20"/>
      <c r="K70" s="20"/>
      <c r="L70" s="20"/>
      <c r="M70" s="20"/>
      <c r="N70" s="20"/>
      <c r="O70" s="20"/>
      <c r="P70" s="20"/>
      <c r="Q70" s="20"/>
      <c r="R70" s="20"/>
      <c r="S70" s="11"/>
      <c r="T70" s="11"/>
      <c r="U70" s="11"/>
    </row>
    <row r="71" spans="1:21" ht="15.75" x14ac:dyDescent="0.25">
      <c r="A71" s="20"/>
      <c r="B71" s="20"/>
      <c r="C71" s="20"/>
      <c r="D71" s="20"/>
      <c r="E71" s="20"/>
      <c r="F71" s="20"/>
      <c r="G71" s="20"/>
      <c r="H71" s="20"/>
      <c r="I71" s="20"/>
      <c r="J71" s="20"/>
      <c r="K71" s="20"/>
      <c r="L71" s="20"/>
      <c r="M71" s="20"/>
      <c r="N71" s="20"/>
      <c r="O71" s="20"/>
      <c r="P71" s="20"/>
      <c r="Q71" s="20"/>
      <c r="R71" s="20"/>
      <c r="S71" s="11"/>
      <c r="T71" s="11"/>
      <c r="U71" s="11"/>
    </row>
    <row r="72" spans="1:21" ht="15.75" x14ac:dyDescent="0.25">
      <c r="A72" s="20"/>
      <c r="B72" s="20"/>
      <c r="C72" s="20"/>
      <c r="D72" s="20"/>
      <c r="E72" s="20"/>
      <c r="F72" s="20"/>
      <c r="G72" s="20"/>
      <c r="H72" s="20"/>
      <c r="I72" s="20"/>
      <c r="J72" s="20"/>
      <c r="K72" s="20"/>
      <c r="L72" s="20"/>
      <c r="M72" s="20"/>
      <c r="N72" s="20"/>
      <c r="O72" s="20"/>
      <c r="P72" s="20"/>
      <c r="Q72" s="20"/>
      <c r="R72" s="20"/>
      <c r="S72" s="11"/>
      <c r="T72" s="11"/>
      <c r="U72" s="11"/>
    </row>
    <row r="73" spans="1:21" ht="15.75" x14ac:dyDescent="0.25">
      <c r="A73" s="11"/>
      <c r="B73" s="11"/>
      <c r="C73" s="11"/>
      <c r="D73" s="11"/>
      <c r="E73" s="11"/>
      <c r="F73" s="11"/>
      <c r="G73" s="11"/>
      <c r="H73" s="11"/>
      <c r="I73" s="11"/>
      <c r="J73" s="11"/>
      <c r="K73" s="11"/>
      <c r="L73" s="11"/>
      <c r="M73" s="11"/>
      <c r="N73" s="11"/>
      <c r="O73" s="11"/>
      <c r="P73" s="11"/>
      <c r="Q73" s="11"/>
      <c r="R73" s="11"/>
      <c r="S73" s="11"/>
      <c r="T73" s="11"/>
      <c r="U73" s="11"/>
    </row>
    <row r="74" spans="1:21" ht="15.75" x14ac:dyDescent="0.25">
      <c r="A74" s="11"/>
      <c r="B74" s="11"/>
      <c r="C74" s="11"/>
      <c r="D74" s="11"/>
      <c r="E74" s="11"/>
      <c r="F74" s="11"/>
      <c r="G74" s="11"/>
      <c r="H74" s="11"/>
      <c r="I74" s="11"/>
      <c r="J74" s="11"/>
      <c r="K74" s="11"/>
      <c r="L74" s="11"/>
      <c r="M74" s="11"/>
      <c r="N74" s="11"/>
      <c r="O74" s="11"/>
      <c r="P74" s="11"/>
      <c r="Q74" s="11"/>
      <c r="R74" s="11"/>
      <c r="S74" s="11"/>
      <c r="T74" s="11"/>
      <c r="U74" s="11"/>
    </row>
    <row r="75" spans="1:21" ht="15.75" x14ac:dyDescent="0.25">
      <c r="A75" s="11"/>
      <c r="B75" s="11"/>
      <c r="C75" s="11"/>
      <c r="D75" s="11"/>
      <c r="E75" s="11"/>
      <c r="F75" s="11"/>
      <c r="G75" s="11"/>
      <c r="H75" s="11"/>
      <c r="I75" s="11"/>
      <c r="J75" s="11"/>
      <c r="K75" s="11"/>
      <c r="L75" s="11"/>
      <c r="M75" s="11"/>
      <c r="N75" s="11"/>
      <c r="O75" s="11"/>
      <c r="P75" s="11"/>
      <c r="Q75" s="11"/>
      <c r="R75" s="11"/>
      <c r="S75" s="11"/>
      <c r="T75" s="11"/>
      <c r="U75" s="11"/>
    </row>
    <row r="76" spans="1:21" ht="15.75" x14ac:dyDescent="0.25">
      <c r="A76" s="11"/>
      <c r="B76" s="11"/>
      <c r="C76" s="11"/>
      <c r="D76" s="11"/>
      <c r="E76" s="11"/>
      <c r="F76" s="11"/>
      <c r="G76" s="11"/>
      <c r="H76" s="11"/>
      <c r="I76" s="11"/>
      <c r="J76" s="11"/>
      <c r="K76" s="11"/>
      <c r="L76" s="11"/>
      <c r="M76" s="11"/>
      <c r="N76" s="11"/>
      <c r="O76" s="11"/>
      <c r="P76" s="11"/>
      <c r="Q76" s="11"/>
      <c r="R76" s="11"/>
      <c r="S76" s="11"/>
      <c r="T76" s="11"/>
      <c r="U76" s="11"/>
    </row>
    <row r="77" spans="1:21" ht="15.75" x14ac:dyDescent="0.25">
      <c r="A77" s="11"/>
      <c r="B77" s="11"/>
      <c r="C77" s="11"/>
      <c r="D77" s="11"/>
      <c r="E77" s="11"/>
      <c r="F77" s="11"/>
      <c r="G77" s="11"/>
      <c r="H77" s="11"/>
      <c r="I77" s="11"/>
      <c r="J77" s="11"/>
      <c r="K77" s="11"/>
      <c r="L77" s="11"/>
      <c r="M77" s="11"/>
      <c r="N77" s="11"/>
      <c r="O77" s="11"/>
      <c r="P77" s="11"/>
      <c r="Q77" s="11"/>
      <c r="R77" s="11"/>
      <c r="S77" s="11"/>
      <c r="T77" s="11"/>
      <c r="U77" s="11"/>
    </row>
    <row r="78" spans="1:21" ht="15.75" x14ac:dyDescent="0.25">
      <c r="A78" s="11"/>
      <c r="B78" s="11"/>
      <c r="C78" s="11"/>
      <c r="D78" s="11"/>
      <c r="E78" s="11"/>
      <c r="F78" s="11"/>
      <c r="G78" s="11"/>
      <c r="H78" s="11"/>
      <c r="I78" s="11"/>
      <c r="J78" s="11"/>
      <c r="K78" s="11"/>
      <c r="L78" s="11"/>
      <c r="M78" s="11"/>
      <c r="N78" s="11"/>
      <c r="O78" s="11"/>
      <c r="P78" s="11"/>
      <c r="Q78" s="11"/>
      <c r="R78" s="11"/>
      <c r="S78" s="11"/>
      <c r="T78" s="11"/>
      <c r="U78" s="11"/>
    </row>
    <row r="79" spans="1:21" ht="15.75" x14ac:dyDescent="0.25">
      <c r="A79" s="11"/>
      <c r="B79" s="11"/>
      <c r="C79" s="11"/>
      <c r="D79" s="11"/>
      <c r="E79" s="11"/>
      <c r="F79" s="11"/>
      <c r="G79" s="11"/>
      <c r="H79" s="11"/>
      <c r="I79" s="11"/>
      <c r="J79" s="11"/>
      <c r="K79" s="11"/>
      <c r="L79" s="11"/>
      <c r="M79" s="11"/>
      <c r="N79" s="11"/>
      <c r="O79" s="11"/>
      <c r="P79" s="11"/>
      <c r="Q79" s="11"/>
      <c r="R79" s="11"/>
      <c r="S79" s="11"/>
      <c r="T79" s="11"/>
      <c r="U79" s="11"/>
    </row>
    <row r="80" spans="1:21" ht="15.75" x14ac:dyDescent="0.25">
      <c r="A80" s="11"/>
      <c r="B80" s="11"/>
      <c r="C80" s="11"/>
      <c r="D80" s="11"/>
      <c r="E80" s="11"/>
      <c r="F80" s="11"/>
      <c r="G80" s="11"/>
      <c r="H80" s="11"/>
      <c r="I80" s="11"/>
      <c r="J80" s="11"/>
      <c r="K80" s="11"/>
      <c r="L80" s="11"/>
      <c r="M80" s="11"/>
      <c r="N80" s="11"/>
      <c r="O80" s="11"/>
      <c r="P80" s="11"/>
      <c r="Q80" s="11"/>
      <c r="R80" s="11"/>
      <c r="S80" s="11"/>
      <c r="T80" s="11"/>
      <c r="U80" s="11"/>
    </row>
    <row r="81" spans="1:21" ht="15.75" x14ac:dyDescent="0.25">
      <c r="A81" s="11"/>
      <c r="B81" s="11"/>
      <c r="C81" s="11"/>
      <c r="D81" s="11"/>
      <c r="E81" s="11"/>
      <c r="F81" s="11"/>
      <c r="G81" s="11"/>
      <c r="H81" s="11"/>
      <c r="I81" s="11"/>
      <c r="J81" s="11"/>
      <c r="K81" s="11"/>
      <c r="L81" s="11"/>
      <c r="M81" s="11"/>
      <c r="N81" s="11"/>
      <c r="O81" s="11"/>
      <c r="P81" s="11"/>
      <c r="Q81" s="11"/>
      <c r="R81" s="11"/>
      <c r="S81" s="11"/>
      <c r="T81" s="11"/>
      <c r="U81" s="11"/>
    </row>
    <row r="82" spans="1:21" ht="15.75" x14ac:dyDescent="0.25">
      <c r="A82" s="11"/>
      <c r="B82" s="11"/>
      <c r="C82" s="11"/>
      <c r="D82" s="11"/>
      <c r="E82" s="11"/>
      <c r="F82" s="11"/>
      <c r="G82" s="11"/>
      <c r="H82" s="11"/>
      <c r="I82" s="11"/>
      <c r="J82" s="11"/>
      <c r="K82" s="11"/>
      <c r="L82" s="11"/>
      <c r="M82" s="11"/>
      <c r="N82" s="11"/>
      <c r="O82" s="11"/>
      <c r="P82" s="11"/>
      <c r="Q82" s="11"/>
      <c r="R82" s="11"/>
      <c r="S82" s="11"/>
      <c r="T82" s="11"/>
      <c r="U82" s="11"/>
    </row>
    <row r="83" spans="1:21" ht="15.75" x14ac:dyDescent="0.25">
      <c r="A83" s="11"/>
      <c r="B83" s="11"/>
      <c r="C83" s="11"/>
      <c r="D83" s="11"/>
      <c r="E83" s="11"/>
      <c r="F83" s="11"/>
      <c r="G83" s="11"/>
      <c r="H83" s="11"/>
      <c r="I83" s="11"/>
      <c r="J83" s="11"/>
      <c r="K83" s="11"/>
      <c r="L83" s="11"/>
      <c r="M83" s="11"/>
      <c r="N83" s="11"/>
      <c r="O83" s="11"/>
      <c r="P83" s="11"/>
      <c r="Q83" s="11"/>
      <c r="R83" s="11"/>
      <c r="S83" s="11"/>
      <c r="T83" s="11"/>
      <c r="U83" s="11"/>
    </row>
    <row r="84" spans="1:21" ht="15.75" x14ac:dyDescent="0.25">
      <c r="A84" s="11"/>
      <c r="B84" s="11"/>
      <c r="C84" s="11"/>
      <c r="D84" s="11"/>
      <c r="E84" s="11"/>
      <c r="F84" s="11"/>
      <c r="G84" s="11"/>
      <c r="H84" s="11"/>
      <c r="I84" s="11"/>
      <c r="J84" s="11"/>
      <c r="K84" s="11"/>
      <c r="L84" s="11"/>
      <c r="M84" s="11"/>
      <c r="N84" s="11"/>
      <c r="O84" s="11"/>
      <c r="P84" s="11"/>
      <c r="Q84" s="11"/>
      <c r="R84" s="11"/>
      <c r="S84" s="11"/>
      <c r="T84" s="11"/>
      <c r="U84" s="11"/>
    </row>
    <row r="85" spans="1:21" ht="15.75" x14ac:dyDescent="0.25">
      <c r="A85" s="11"/>
      <c r="B85" s="11"/>
      <c r="C85" s="11"/>
      <c r="D85" s="11"/>
      <c r="E85" s="11"/>
      <c r="F85" s="11"/>
      <c r="G85" s="11"/>
      <c r="H85" s="11"/>
      <c r="I85" s="11"/>
      <c r="J85" s="11"/>
      <c r="K85" s="11"/>
      <c r="L85" s="11"/>
      <c r="M85" s="11"/>
      <c r="N85" s="11"/>
      <c r="O85" s="11"/>
      <c r="P85" s="11"/>
      <c r="Q85" s="11"/>
      <c r="R85" s="11"/>
      <c r="S85" s="11"/>
      <c r="T85" s="11"/>
      <c r="U85" s="11"/>
    </row>
    <row r="86" spans="1:21" ht="15.75" x14ac:dyDescent="0.25">
      <c r="A86" s="11"/>
      <c r="B86" s="11"/>
      <c r="C86" s="11"/>
      <c r="D86" s="11"/>
      <c r="E86" s="11"/>
      <c r="F86" s="11"/>
      <c r="G86" s="11"/>
      <c r="H86" s="11"/>
      <c r="I86" s="11"/>
      <c r="J86" s="11"/>
      <c r="K86" s="11"/>
      <c r="L86" s="11"/>
      <c r="M86" s="11"/>
      <c r="N86" s="11"/>
      <c r="O86" s="11"/>
      <c r="P86" s="11"/>
      <c r="Q86" s="11"/>
      <c r="R86" s="11"/>
      <c r="S86" s="11"/>
      <c r="T86" s="11"/>
      <c r="U86" s="11"/>
    </row>
    <row r="87" spans="1:21" ht="15.75" x14ac:dyDescent="0.25">
      <c r="A87" s="11"/>
      <c r="B87" s="11"/>
      <c r="C87" s="11"/>
      <c r="D87" s="11"/>
      <c r="E87" s="11"/>
      <c r="F87" s="11"/>
      <c r="G87" s="11"/>
      <c r="H87" s="11"/>
      <c r="I87" s="11"/>
      <c r="J87" s="11"/>
      <c r="K87" s="11"/>
      <c r="L87" s="11"/>
      <c r="M87" s="11"/>
      <c r="N87" s="11"/>
      <c r="O87" s="11"/>
      <c r="P87" s="11"/>
      <c r="Q87" s="11"/>
      <c r="R87" s="11"/>
      <c r="S87" s="11"/>
      <c r="T87" s="11"/>
      <c r="U87" s="11"/>
    </row>
    <row r="88" spans="1:21" ht="15.75" x14ac:dyDescent="0.25">
      <c r="A88" s="11"/>
      <c r="B88" s="11"/>
      <c r="C88" s="11"/>
      <c r="D88" s="11"/>
      <c r="E88" s="11"/>
      <c r="F88" s="11"/>
      <c r="G88" s="11"/>
      <c r="H88" s="11"/>
      <c r="I88" s="11"/>
      <c r="J88" s="11"/>
      <c r="K88" s="11"/>
      <c r="L88" s="11"/>
      <c r="M88" s="11"/>
      <c r="N88" s="11"/>
      <c r="O88" s="11"/>
      <c r="P88" s="11"/>
      <c r="Q88" s="11"/>
      <c r="R88" s="11"/>
      <c r="S88" s="11"/>
      <c r="T88" s="11"/>
      <c r="U88" s="11"/>
    </row>
    <row r="89" spans="1:21" ht="15.75" x14ac:dyDescent="0.25">
      <c r="A89" s="11"/>
      <c r="B89" s="11"/>
      <c r="C89" s="11"/>
      <c r="D89" s="11"/>
      <c r="E89" s="11"/>
      <c r="F89" s="11"/>
      <c r="G89" s="11"/>
      <c r="H89" s="11"/>
      <c r="I89" s="11"/>
      <c r="J89" s="11"/>
      <c r="K89" s="11"/>
      <c r="L89" s="11"/>
      <c r="M89" s="11"/>
      <c r="N89" s="11"/>
      <c r="O89" s="11"/>
      <c r="P89" s="11"/>
      <c r="Q89" s="11"/>
      <c r="R89" s="11"/>
      <c r="S89" s="11"/>
      <c r="T89" s="11"/>
      <c r="U89" s="11"/>
    </row>
    <row r="90" spans="1:21" ht="15.75" x14ac:dyDescent="0.25">
      <c r="A90" s="11"/>
      <c r="B90" s="11"/>
      <c r="C90" s="11"/>
      <c r="D90" s="11"/>
      <c r="E90" s="11"/>
      <c r="F90" s="11"/>
      <c r="G90" s="11"/>
      <c r="H90" s="11"/>
      <c r="I90" s="11"/>
      <c r="J90" s="11"/>
      <c r="K90" s="11"/>
      <c r="L90" s="11"/>
      <c r="M90" s="11"/>
      <c r="N90" s="11"/>
      <c r="O90" s="11"/>
      <c r="P90" s="11"/>
      <c r="Q90" s="11"/>
      <c r="R90" s="11"/>
      <c r="S90" s="11"/>
      <c r="T90" s="11"/>
      <c r="U90" s="11"/>
    </row>
    <row r="91" spans="1:21" ht="15.75" x14ac:dyDescent="0.25">
      <c r="A91" s="11"/>
      <c r="B91" s="11"/>
      <c r="C91" s="11"/>
      <c r="D91" s="11"/>
      <c r="E91" s="11"/>
      <c r="F91" s="11"/>
      <c r="G91" s="11"/>
      <c r="H91" s="11"/>
      <c r="I91" s="11"/>
      <c r="J91" s="11"/>
      <c r="K91" s="11"/>
      <c r="L91" s="11"/>
      <c r="M91" s="11"/>
      <c r="N91" s="11"/>
      <c r="O91" s="11"/>
      <c r="P91" s="11"/>
      <c r="Q91" s="11"/>
      <c r="R91" s="11"/>
      <c r="S91" s="11"/>
      <c r="T91" s="11"/>
      <c r="U91" s="11"/>
    </row>
    <row r="92" spans="1:21" ht="15.75" x14ac:dyDescent="0.25">
      <c r="A92" s="11"/>
      <c r="B92" s="11"/>
      <c r="C92" s="11"/>
      <c r="D92" s="11"/>
      <c r="E92" s="11"/>
      <c r="F92" s="11"/>
      <c r="G92" s="11"/>
      <c r="H92" s="11"/>
      <c r="I92" s="11"/>
      <c r="J92" s="11"/>
      <c r="K92" s="11"/>
      <c r="L92" s="11"/>
      <c r="M92" s="11"/>
      <c r="N92" s="11"/>
      <c r="O92" s="11"/>
      <c r="P92" s="11"/>
      <c r="Q92" s="11"/>
      <c r="R92" s="11"/>
      <c r="S92" s="11"/>
      <c r="T92" s="11"/>
      <c r="U92" s="11"/>
    </row>
    <row r="93" spans="1:21" ht="15.75" x14ac:dyDescent="0.25">
      <c r="A93" s="11"/>
      <c r="B93" s="11"/>
      <c r="C93" s="11"/>
      <c r="D93" s="11"/>
      <c r="E93" s="11"/>
      <c r="F93" s="11"/>
      <c r="G93" s="11"/>
      <c r="H93" s="11"/>
      <c r="I93" s="11"/>
      <c r="J93" s="11"/>
      <c r="K93" s="11"/>
      <c r="L93" s="11"/>
      <c r="M93" s="11"/>
      <c r="N93" s="11"/>
      <c r="O93" s="11"/>
      <c r="P93" s="11"/>
      <c r="Q93" s="11"/>
      <c r="R93" s="11"/>
      <c r="S93" s="11"/>
      <c r="T93" s="11"/>
      <c r="U93" s="11"/>
    </row>
    <row r="94" spans="1:21" ht="15.75" x14ac:dyDescent="0.25">
      <c r="A94" s="11"/>
      <c r="B94" s="11"/>
      <c r="C94" s="11"/>
      <c r="D94" s="11"/>
      <c r="E94" s="11"/>
      <c r="F94" s="11"/>
      <c r="G94" s="11"/>
      <c r="H94" s="11"/>
      <c r="I94" s="11"/>
      <c r="J94" s="11"/>
      <c r="K94" s="11"/>
      <c r="L94" s="11"/>
      <c r="M94" s="11"/>
      <c r="N94" s="11"/>
      <c r="O94" s="11"/>
      <c r="P94" s="11"/>
      <c r="Q94" s="11"/>
      <c r="R94" s="11"/>
      <c r="S94" s="11"/>
      <c r="T94" s="11"/>
      <c r="U94" s="11"/>
    </row>
    <row r="95" spans="1:21" ht="15.75" x14ac:dyDescent="0.25">
      <c r="A95" s="11"/>
      <c r="B95" s="11"/>
      <c r="C95" s="11"/>
      <c r="D95" s="11"/>
      <c r="E95" s="11"/>
      <c r="F95" s="11"/>
      <c r="G95" s="11"/>
      <c r="H95" s="11"/>
      <c r="I95" s="11"/>
      <c r="J95" s="11"/>
      <c r="K95" s="11"/>
      <c r="L95" s="11"/>
      <c r="M95" s="11"/>
      <c r="N95" s="11"/>
      <c r="O95" s="11"/>
      <c r="P95" s="11"/>
      <c r="Q95" s="11"/>
      <c r="R95" s="11"/>
      <c r="S95" s="11"/>
      <c r="T95" s="11"/>
      <c r="U95" s="11"/>
    </row>
    <row r="96" spans="1:21" ht="15.75" x14ac:dyDescent="0.25">
      <c r="A96" s="11"/>
      <c r="B96" s="11"/>
      <c r="C96" s="11"/>
      <c r="D96" s="11"/>
      <c r="E96" s="11"/>
      <c r="F96" s="11"/>
      <c r="G96" s="11"/>
      <c r="H96" s="11"/>
      <c r="I96" s="11"/>
      <c r="J96" s="11"/>
      <c r="K96" s="11"/>
      <c r="L96" s="11"/>
      <c r="M96" s="11"/>
      <c r="N96" s="11"/>
      <c r="O96" s="11"/>
      <c r="P96" s="11"/>
      <c r="Q96" s="11"/>
      <c r="R96" s="11"/>
      <c r="S96" s="11"/>
      <c r="T96" s="11"/>
      <c r="U96" s="11"/>
    </row>
    <row r="97" spans="1:21" ht="15.75" x14ac:dyDescent="0.25">
      <c r="A97" s="11"/>
      <c r="B97" s="11"/>
      <c r="C97" s="11"/>
      <c r="D97" s="11"/>
      <c r="E97" s="11"/>
      <c r="F97" s="11"/>
      <c r="G97" s="11"/>
      <c r="H97" s="11"/>
      <c r="I97" s="11"/>
      <c r="J97" s="11"/>
      <c r="K97" s="11"/>
      <c r="L97" s="11"/>
      <c r="M97" s="11"/>
      <c r="N97" s="11"/>
      <c r="O97" s="11"/>
      <c r="P97" s="11"/>
      <c r="Q97" s="11"/>
      <c r="R97" s="11"/>
      <c r="S97" s="11"/>
      <c r="T97" s="11"/>
      <c r="U97" s="11"/>
    </row>
    <row r="98" spans="1:21" ht="15.75" x14ac:dyDescent="0.25">
      <c r="A98" s="11"/>
      <c r="B98" s="11"/>
      <c r="C98" s="11"/>
      <c r="D98" s="11"/>
      <c r="E98" s="11"/>
      <c r="F98" s="11"/>
      <c r="G98" s="11"/>
      <c r="H98" s="11"/>
      <c r="I98" s="11"/>
      <c r="J98" s="11"/>
      <c r="K98" s="11"/>
      <c r="L98" s="11"/>
      <c r="M98" s="11"/>
      <c r="N98" s="11"/>
      <c r="O98" s="11"/>
      <c r="P98" s="11"/>
      <c r="Q98" s="11"/>
      <c r="R98" s="11"/>
      <c r="S98" s="11"/>
      <c r="T98" s="11"/>
      <c r="U98" s="11"/>
    </row>
    <row r="99" spans="1:21" ht="15.75" x14ac:dyDescent="0.25">
      <c r="A99" s="11"/>
      <c r="B99" s="11"/>
      <c r="C99" s="11"/>
      <c r="D99" s="11"/>
      <c r="E99" s="11"/>
      <c r="F99" s="11"/>
      <c r="G99" s="11"/>
      <c r="H99" s="11"/>
      <c r="I99" s="11"/>
      <c r="J99" s="11"/>
      <c r="K99" s="11"/>
      <c r="L99" s="11"/>
      <c r="M99" s="11"/>
      <c r="N99" s="11"/>
      <c r="O99" s="11"/>
      <c r="P99" s="11"/>
      <c r="Q99" s="11"/>
      <c r="R99" s="11"/>
      <c r="S99" s="11"/>
      <c r="T99" s="11"/>
      <c r="U99" s="11"/>
    </row>
    <row r="100" spans="1:21" ht="15.75" x14ac:dyDescent="0.2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75" x14ac:dyDescent="0.2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75" x14ac:dyDescent="0.2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75" x14ac:dyDescent="0.2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75" x14ac:dyDescent="0.2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75" x14ac:dyDescent="0.2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75" x14ac:dyDescent="0.2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75" x14ac:dyDescent="0.2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75" x14ac:dyDescent="0.2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75" x14ac:dyDescent="0.2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75" x14ac:dyDescent="0.2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75" x14ac:dyDescent="0.2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75" x14ac:dyDescent="0.2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75" x14ac:dyDescent="0.2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75" x14ac:dyDescent="0.2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75" x14ac:dyDescent="0.2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75" x14ac:dyDescent="0.2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75" x14ac:dyDescent="0.2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75" x14ac:dyDescent="0.2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75" x14ac:dyDescent="0.2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75" x14ac:dyDescent="0.2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75" x14ac:dyDescent="0.2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75" x14ac:dyDescent="0.2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75" x14ac:dyDescent="0.2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75" x14ac:dyDescent="0.2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75" x14ac:dyDescent="0.2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75" x14ac:dyDescent="0.2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75" x14ac:dyDescent="0.2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75" x14ac:dyDescent="0.2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75" x14ac:dyDescent="0.2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75" x14ac:dyDescent="0.2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75" x14ac:dyDescent="0.2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75" x14ac:dyDescent="0.2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75" x14ac:dyDescent="0.2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75" x14ac:dyDescent="0.2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75" x14ac:dyDescent="0.2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75" x14ac:dyDescent="0.25">
      <c r="A136" s="11"/>
      <c r="B136" s="11"/>
      <c r="C136" s="11"/>
      <c r="D136" s="11"/>
      <c r="E136" s="11"/>
      <c r="F136" s="11"/>
      <c r="G136" s="11"/>
      <c r="H136" s="11"/>
      <c r="I136" s="11"/>
      <c r="J136" s="11"/>
      <c r="K136" s="11"/>
      <c r="L136" s="11"/>
      <c r="M136" s="11"/>
      <c r="N136" s="11"/>
      <c r="O136" s="11"/>
      <c r="P136" s="11"/>
      <c r="Q136" s="11"/>
      <c r="R136" s="11"/>
      <c r="S136" s="11"/>
      <c r="T136" s="11"/>
      <c r="U136" s="11"/>
    </row>
  </sheetData>
  <mergeCells count="8">
    <mergeCell ref="A37:A38"/>
    <mergeCell ref="A29:D33"/>
    <mergeCell ref="B6:D6"/>
    <mergeCell ref="A1:D1"/>
    <mergeCell ref="A2:D2"/>
    <mergeCell ref="A3:D3"/>
    <mergeCell ref="A4:D4"/>
    <mergeCell ref="A5:D5"/>
  </mergeCells>
  <phoneticPr fontId="0" type="noConversion"/>
  <conditionalFormatting sqref="B41">
    <cfRule type="cellIs" dxfId="12" priority="2" stopIfTrue="1" operator="notEqual">
      <formula>"Yes"</formula>
    </cfRule>
  </conditionalFormatting>
  <conditionalFormatting sqref="C39:C40 B41">
    <cfRule type="cellIs" dxfId="11" priority="1" stopIfTrue="1" operator="notEqual">
      <formula>"Yes"</formula>
    </cfRule>
  </conditionalFormatting>
  <pageMargins left="0.75" right="0.75" top="0.75" bottom="0.75" header="0.5" footer="0.5"/>
  <pageSetup firstPageNumber="19" orientation="portrait" useFirstPageNumber="1" r:id="rId1"/>
  <headerFooter alignWithMargins="0">
    <oddHeader>&amp;R&amp;12Schedule 4</oddHeader>
    <oddFooter>&amp;L&amp;12Revised:  July 2020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5">
    <tabColor theme="7" tint="0.59999389629810485"/>
    <pageSetUpPr fitToPage="1"/>
  </sheetPr>
  <dimension ref="A1:T73"/>
  <sheetViews>
    <sheetView showGridLines="0" zoomScaleNormal="100" workbookViewId="0">
      <selection activeCell="A6" sqref="A6"/>
    </sheetView>
  </sheetViews>
  <sheetFormatPr defaultRowHeight="12.75" x14ac:dyDescent="0.2"/>
  <cols>
    <col min="1" max="1" width="40.7109375" customWidth="1"/>
    <col min="2" max="4" width="14.7109375" customWidth="1"/>
    <col min="6" max="6" width="2.5703125" customWidth="1"/>
  </cols>
  <sheetData>
    <row r="1" spans="1:20" ht="15.75" x14ac:dyDescent="0.25">
      <c r="A1" s="342" t="s">
        <v>223</v>
      </c>
      <c r="B1" s="342"/>
      <c r="C1" s="342"/>
      <c r="D1" s="342"/>
      <c r="E1" s="12"/>
      <c r="F1" s="11"/>
      <c r="G1" s="11"/>
      <c r="H1" s="11"/>
      <c r="I1" s="11"/>
      <c r="J1" s="11"/>
      <c r="K1" s="11"/>
      <c r="L1" s="11"/>
      <c r="M1" s="11"/>
      <c r="N1" s="11"/>
      <c r="O1" s="11"/>
      <c r="P1" s="11"/>
      <c r="Q1" s="11"/>
    </row>
    <row r="2" spans="1:20" ht="15.75" x14ac:dyDescent="0.25">
      <c r="A2" s="413" t="s">
        <v>366</v>
      </c>
      <c r="B2" s="413"/>
      <c r="C2" s="413"/>
      <c r="D2" s="413"/>
      <c r="E2" s="20"/>
      <c r="F2" s="20"/>
      <c r="G2" s="20"/>
      <c r="H2" s="20"/>
      <c r="I2" s="20"/>
      <c r="J2" s="20"/>
      <c r="K2" s="20"/>
      <c r="L2" s="20"/>
      <c r="M2" s="20"/>
      <c r="N2" s="20"/>
      <c r="O2" s="20"/>
      <c r="P2" s="20"/>
      <c r="Q2" s="20"/>
      <c r="R2" s="4"/>
      <c r="S2" s="4"/>
      <c r="T2" s="4"/>
    </row>
    <row r="3" spans="1:20" ht="15.75" x14ac:dyDescent="0.25">
      <c r="A3" s="414" t="s">
        <v>149</v>
      </c>
      <c r="B3" s="414"/>
      <c r="C3" s="414"/>
      <c r="D3" s="414"/>
      <c r="E3" s="20"/>
      <c r="F3" s="20"/>
      <c r="G3" s="20"/>
      <c r="H3" s="20"/>
      <c r="I3" s="20"/>
      <c r="J3" s="20"/>
      <c r="K3" s="20"/>
      <c r="L3" s="20"/>
      <c r="M3" s="20"/>
      <c r="N3" s="20"/>
      <c r="O3" s="20"/>
      <c r="P3" s="20"/>
      <c r="Q3" s="20"/>
      <c r="R3" s="4"/>
      <c r="S3" s="4"/>
      <c r="T3" s="4"/>
    </row>
    <row r="4" spans="1:20" ht="15.75" x14ac:dyDescent="0.25">
      <c r="A4" s="414" t="s">
        <v>365</v>
      </c>
      <c r="B4" s="414"/>
      <c r="C4" s="414"/>
      <c r="D4" s="414"/>
      <c r="E4" s="20"/>
      <c r="F4" s="20"/>
      <c r="G4" s="20"/>
      <c r="H4" s="20"/>
      <c r="I4" s="20"/>
      <c r="J4" s="20"/>
      <c r="K4" s="20"/>
      <c r="L4" s="20"/>
      <c r="M4" s="20"/>
      <c r="N4" s="20"/>
      <c r="O4" s="20"/>
      <c r="P4" s="20"/>
      <c r="Q4" s="20"/>
      <c r="R4" s="4"/>
      <c r="S4" s="4"/>
      <c r="T4" s="4"/>
    </row>
    <row r="5" spans="1:20" ht="15.75" x14ac:dyDescent="0.25">
      <c r="A5" s="414" t="str">
        <f>+'GW Stmt Activities Exh 2'!A3</f>
        <v>For the Year Ended June 30, 2020</v>
      </c>
      <c r="B5" s="414"/>
      <c r="C5" s="414"/>
      <c r="D5" s="414"/>
      <c r="E5" s="20"/>
      <c r="F5" s="20"/>
      <c r="G5" s="20"/>
      <c r="H5" s="20"/>
      <c r="I5" s="20"/>
      <c r="J5" s="20"/>
      <c r="K5" s="20"/>
      <c r="L5" s="20"/>
      <c r="M5" s="20"/>
      <c r="N5" s="20"/>
      <c r="O5" s="20"/>
      <c r="P5" s="20"/>
      <c r="Q5" s="20"/>
      <c r="R5" s="4"/>
      <c r="S5" s="4"/>
      <c r="T5" s="4"/>
    </row>
    <row r="6" spans="1:20" ht="21.95" customHeight="1" x14ac:dyDescent="0.35">
      <c r="A6" s="204"/>
      <c r="B6" s="372" t="str">
        <f>'Govt Funds Bal Sh Exh 3'!D7</f>
        <v>Owl - Erudio</v>
      </c>
      <c r="C6" s="372"/>
      <c r="D6" s="372"/>
      <c r="E6" s="20"/>
      <c r="F6" s="20"/>
      <c r="G6" s="20"/>
      <c r="H6" s="20"/>
      <c r="I6" s="20"/>
      <c r="J6" s="20"/>
      <c r="K6" s="20"/>
      <c r="L6" s="20"/>
      <c r="M6" s="20"/>
      <c r="N6" s="20"/>
      <c r="O6" s="20"/>
      <c r="P6" s="20"/>
      <c r="Q6" s="20"/>
      <c r="R6" s="4"/>
      <c r="S6" s="4"/>
      <c r="T6" s="4"/>
    </row>
    <row r="7" spans="1:20" ht="17.25" x14ac:dyDescent="0.35">
      <c r="A7" s="239"/>
      <c r="B7" s="63"/>
      <c r="C7" s="20"/>
      <c r="D7" s="67" t="s">
        <v>48</v>
      </c>
      <c r="E7" s="20"/>
      <c r="F7" s="20"/>
      <c r="G7" s="20"/>
      <c r="H7" s="20"/>
      <c r="I7" s="20"/>
      <c r="J7" s="20"/>
      <c r="K7" s="20"/>
      <c r="L7" s="20"/>
      <c r="M7" s="20"/>
      <c r="N7" s="20"/>
      <c r="O7" s="20"/>
      <c r="P7" s="20"/>
      <c r="Q7" s="20"/>
      <c r="R7" s="4"/>
      <c r="S7" s="4"/>
      <c r="T7" s="4"/>
    </row>
    <row r="8" spans="1:20" ht="36" customHeight="1" x14ac:dyDescent="0.35">
      <c r="A8" s="20"/>
      <c r="B8" s="24" t="s">
        <v>248</v>
      </c>
      <c r="C8" s="24" t="s">
        <v>47</v>
      </c>
      <c r="D8" s="27" t="s">
        <v>250</v>
      </c>
      <c r="E8" s="20"/>
      <c r="F8" s="20"/>
      <c r="G8" s="20"/>
      <c r="H8" s="20"/>
      <c r="I8" s="20"/>
      <c r="J8" s="20"/>
      <c r="K8" s="20"/>
      <c r="L8" s="20"/>
      <c r="M8" s="20"/>
      <c r="N8" s="20"/>
      <c r="O8" s="20"/>
      <c r="P8" s="20"/>
      <c r="Q8" s="20"/>
      <c r="R8" s="4"/>
      <c r="S8" s="4"/>
      <c r="T8" s="4"/>
    </row>
    <row r="9" spans="1:20" ht="15.75" x14ac:dyDescent="0.25">
      <c r="A9" s="176" t="s">
        <v>233</v>
      </c>
      <c r="B9" s="20"/>
      <c r="C9" s="20"/>
      <c r="D9" s="20"/>
      <c r="E9" s="20"/>
      <c r="F9" s="20"/>
      <c r="G9" s="20"/>
      <c r="H9" s="20"/>
      <c r="I9" s="20"/>
      <c r="J9" s="20"/>
      <c r="K9" s="20"/>
      <c r="L9" s="20"/>
      <c r="M9" s="20"/>
      <c r="N9" s="20"/>
      <c r="O9" s="20"/>
      <c r="P9" s="20"/>
      <c r="Q9" s="20"/>
      <c r="R9" s="4"/>
      <c r="S9" s="4"/>
      <c r="T9" s="4"/>
    </row>
    <row r="10" spans="1:20" ht="15" x14ac:dyDescent="0.2">
      <c r="A10" s="77" t="s">
        <v>137</v>
      </c>
      <c r="B10" s="197" t="s">
        <v>49</v>
      </c>
      <c r="C10" s="197">
        <v>725</v>
      </c>
      <c r="D10" s="197" t="s">
        <v>49</v>
      </c>
      <c r="E10" s="20"/>
      <c r="F10" s="20"/>
      <c r="G10" s="20"/>
      <c r="H10" s="20"/>
      <c r="I10" s="20"/>
      <c r="J10" s="20"/>
      <c r="K10" s="20"/>
      <c r="L10" s="20"/>
      <c r="M10" s="20"/>
      <c r="N10" s="20"/>
      <c r="O10" s="20"/>
      <c r="P10" s="20"/>
      <c r="Q10" s="20"/>
      <c r="R10" s="4"/>
      <c r="S10" s="4"/>
      <c r="T10" s="4"/>
    </row>
    <row r="11" spans="1:20" ht="17.25" x14ac:dyDescent="0.35">
      <c r="A11" s="77" t="s">
        <v>91</v>
      </c>
      <c r="B11" s="198" t="s">
        <v>49</v>
      </c>
      <c r="C11" s="198">
        <v>766</v>
      </c>
      <c r="D11" s="198" t="s">
        <v>49</v>
      </c>
      <c r="E11" s="20"/>
      <c r="F11" s="20"/>
      <c r="G11" s="20"/>
      <c r="H11" s="20"/>
      <c r="I11" s="20"/>
      <c r="J11" s="20"/>
      <c r="K11" s="20"/>
      <c r="L11" s="20"/>
      <c r="M11" s="20"/>
      <c r="N11" s="20"/>
      <c r="O11" s="20"/>
      <c r="P11" s="20"/>
      <c r="Q11" s="20"/>
      <c r="R11" s="4"/>
      <c r="S11" s="4"/>
      <c r="T11" s="4"/>
    </row>
    <row r="12" spans="1:20" ht="20.100000000000001" customHeight="1" x14ac:dyDescent="0.35">
      <c r="A12" s="73" t="s">
        <v>13</v>
      </c>
      <c r="B12" s="188">
        <v>1000</v>
      </c>
      <c r="C12" s="188">
        <f>SUM(C10:C11)</f>
        <v>1491</v>
      </c>
      <c r="D12" s="188">
        <f>+C12-B12</f>
        <v>491</v>
      </c>
      <c r="E12" s="20"/>
      <c r="F12" s="20"/>
      <c r="G12" s="20"/>
      <c r="H12" s="20"/>
      <c r="I12" s="20"/>
      <c r="J12" s="20"/>
      <c r="K12" s="20"/>
      <c r="L12" s="20"/>
      <c r="M12" s="20"/>
      <c r="N12" s="20"/>
      <c r="O12" s="20"/>
      <c r="P12" s="20"/>
      <c r="Q12" s="20"/>
      <c r="R12" s="4"/>
      <c r="S12" s="4"/>
      <c r="T12" s="4"/>
    </row>
    <row r="13" spans="1:20" ht="21.95" customHeight="1" x14ac:dyDescent="0.25">
      <c r="A13" s="176" t="s">
        <v>234</v>
      </c>
      <c r="B13" s="190"/>
      <c r="C13" s="190"/>
      <c r="D13" s="189"/>
      <c r="E13" s="20"/>
      <c r="F13" s="20"/>
      <c r="G13" s="20"/>
      <c r="H13" s="20"/>
      <c r="I13" s="20"/>
      <c r="J13" s="20"/>
      <c r="K13" s="20"/>
      <c r="L13" s="20"/>
      <c r="M13" s="20"/>
      <c r="N13" s="20"/>
      <c r="O13" s="20"/>
      <c r="P13" s="20"/>
      <c r="Q13" s="20"/>
      <c r="R13" s="4"/>
      <c r="S13" s="4"/>
      <c r="T13" s="4"/>
    </row>
    <row r="14" spans="1:20" ht="20.100000000000001" customHeight="1" x14ac:dyDescent="0.25">
      <c r="A14" s="28" t="s">
        <v>280</v>
      </c>
      <c r="B14" s="190"/>
      <c r="C14" s="190"/>
      <c r="D14" s="189"/>
      <c r="E14" s="20"/>
      <c r="F14" s="20"/>
      <c r="G14" s="20"/>
      <c r="H14" s="20"/>
      <c r="I14" s="20"/>
      <c r="J14" s="20"/>
      <c r="K14" s="20"/>
      <c r="L14" s="20"/>
      <c r="M14" s="20"/>
      <c r="N14" s="20"/>
      <c r="O14" s="20"/>
      <c r="P14" s="20"/>
      <c r="Q14" s="20"/>
      <c r="R14" s="4"/>
      <c r="S14" s="4"/>
      <c r="T14" s="4"/>
    </row>
    <row r="15" spans="1:20" ht="15" x14ac:dyDescent="0.2">
      <c r="A15" s="36" t="s">
        <v>155</v>
      </c>
      <c r="B15" s="47"/>
      <c r="C15" s="47"/>
      <c r="D15" s="47"/>
      <c r="E15" s="20"/>
      <c r="F15" s="20"/>
      <c r="G15" s="20"/>
      <c r="H15" s="20"/>
      <c r="I15" s="20"/>
      <c r="J15" s="20"/>
      <c r="K15" s="20"/>
      <c r="L15" s="20"/>
      <c r="M15" s="20"/>
      <c r="N15" s="20"/>
      <c r="O15" s="20"/>
      <c r="P15" s="20"/>
      <c r="Q15" s="20"/>
      <c r="R15" s="4"/>
      <c r="S15" s="4"/>
      <c r="T15" s="4"/>
    </row>
    <row r="16" spans="1:20" ht="17.25" x14ac:dyDescent="0.35">
      <c r="A16" s="73" t="s">
        <v>139</v>
      </c>
      <c r="B16" s="34" t="s">
        <v>49</v>
      </c>
      <c r="C16" s="34">
        <v>2038</v>
      </c>
      <c r="D16" s="94" t="s">
        <v>49</v>
      </c>
      <c r="E16" s="20"/>
      <c r="F16" s="20"/>
      <c r="G16" s="20"/>
      <c r="H16" s="20"/>
      <c r="I16" s="20"/>
      <c r="J16" s="20"/>
      <c r="K16" s="20"/>
      <c r="L16" s="20"/>
      <c r="M16" s="20"/>
      <c r="N16" s="20"/>
      <c r="O16" s="20"/>
      <c r="P16" s="20"/>
      <c r="Q16" s="20"/>
      <c r="R16" s="4"/>
      <c r="S16" s="4"/>
      <c r="T16" s="4"/>
    </row>
    <row r="17" spans="1:20" ht="20.100000000000001" customHeight="1" x14ac:dyDescent="0.35">
      <c r="A17" s="103" t="s">
        <v>18</v>
      </c>
      <c r="B17" s="34">
        <v>3000</v>
      </c>
      <c r="C17" s="34">
        <f>SUM(C16:C16)</f>
        <v>2038</v>
      </c>
      <c r="D17" s="34">
        <f>B17-C17</f>
        <v>962</v>
      </c>
      <c r="E17" s="20"/>
      <c r="F17" s="20"/>
      <c r="G17" s="20"/>
      <c r="H17" s="20"/>
      <c r="I17" s="20"/>
      <c r="J17" s="20"/>
      <c r="K17" s="20"/>
      <c r="L17" s="20"/>
      <c r="M17" s="20"/>
      <c r="N17" s="20"/>
      <c r="O17" s="20"/>
      <c r="P17" s="20"/>
      <c r="Q17" s="20"/>
      <c r="R17" s="4"/>
      <c r="S17" s="4"/>
      <c r="T17" s="4"/>
    </row>
    <row r="18" spans="1:20" ht="37.5" customHeight="1" x14ac:dyDescent="0.35">
      <c r="A18" s="79" t="s">
        <v>190</v>
      </c>
      <c r="B18" s="199">
        <f>+B12-B17</f>
        <v>-2000</v>
      </c>
      <c r="C18" s="199">
        <f>+C12-C17</f>
        <v>-547</v>
      </c>
      <c r="D18" s="199">
        <f>+D12-D17</f>
        <v>-471</v>
      </c>
      <c r="E18" s="20"/>
      <c r="F18" s="20"/>
      <c r="G18" s="20"/>
      <c r="H18" s="20"/>
      <c r="I18" s="20"/>
      <c r="J18" s="20"/>
      <c r="K18" s="20"/>
      <c r="L18" s="20"/>
      <c r="M18" s="20"/>
      <c r="N18" s="20"/>
      <c r="O18" s="20"/>
      <c r="P18" s="20"/>
      <c r="Q18" s="20"/>
      <c r="R18" s="4"/>
      <c r="S18" s="4"/>
      <c r="T18" s="4"/>
    </row>
    <row r="19" spans="1:20" ht="21.95" customHeight="1" x14ac:dyDescent="0.25">
      <c r="A19" s="28" t="s">
        <v>237</v>
      </c>
      <c r="B19" s="117"/>
      <c r="C19" s="117"/>
      <c r="D19" s="117"/>
      <c r="E19" s="20"/>
      <c r="F19" s="20"/>
      <c r="G19" s="20"/>
      <c r="H19" s="20"/>
      <c r="I19" s="20"/>
      <c r="J19" s="20"/>
      <c r="K19" s="20"/>
      <c r="L19" s="20"/>
      <c r="M19" s="20"/>
      <c r="N19" s="20"/>
      <c r="O19" s="20"/>
      <c r="P19" s="20"/>
      <c r="Q19" s="20"/>
      <c r="R19" s="4"/>
      <c r="S19" s="4"/>
      <c r="T19" s="4"/>
    </row>
    <row r="20" spans="1:20" ht="17.25" customHeight="1" x14ac:dyDescent="0.35">
      <c r="A20" s="70" t="s">
        <v>83</v>
      </c>
      <c r="B20" s="34">
        <v>2000</v>
      </c>
      <c r="C20" s="34">
        <v>5000</v>
      </c>
      <c r="D20" s="188">
        <f>+C20-B20</f>
        <v>3000</v>
      </c>
      <c r="E20" s="20"/>
      <c r="F20" s="20"/>
      <c r="G20" s="20"/>
      <c r="H20" s="20"/>
      <c r="I20" s="20"/>
      <c r="J20" s="20"/>
      <c r="K20" s="20"/>
      <c r="L20" s="20"/>
      <c r="M20" s="20"/>
      <c r="N20" s="20"/>
      <c r="O20" s="20"/>
      <c r="P20" s="20"/>
      <c r="Q20" s="20"/>
      <c r="R20" s="4"/>
      <c r="S20" s="4"/>
      <c r="T20" s="4"/>
    </row>
    <row r="21" spans="1:20" ht="17.25" customHeight="1" x14ac:dyDescent="0.35">
      <c r="A21" s="69" t="s">
        <v>145</v>
      </c>
      <c r="B21" s="34">
        <f>SUM(B20)</f>
        <v>2000</v>
      </c>
      <c r="C21" s="34">
        <f>SUM(C20)</f>
        <v>5000</v>
      </c>
      <c r="D21" s="34">
        <f>SUM(D20)</f>
        <v>3000</v>
      </c>
      <c r="E21" s="20"/>
      <c r="F21" s="20"/>
      <c r="G21" s="20"/>
      <c r="H21" s="20"/>
      <c r="I21" s="20"/>
      <c r="J21" s="20"/>
      <c r="K21" s="20"/>
      <c r="L21" s="20"/>
      <c r="M21" s="20"/>
      <c r="N21" s="20"/>
      <c r="O21" s="20"/>
      <c r="P21" s="20"/>
      <c r="Q21" s="20"/>
      <c r="R21" s="4"/>
      <c r="S21" s="4"/>
      <c r="T21" s="4"/>
    </row>
    <row r="22" spans="1:20" ht="21.95" customHeight="1" x14ac:dyDescent="0.35">
      <c r="A22" s="113" t="s">
        <v>303</v>
      </c>
      <c r="B22" s="241">
        <f>+B18+B21</f>
        <v>0</v>
      </c>
      <c r="C22" s="200">
        <f>+C18+C21</f>
        <v>4453</v>
      </c>
      <c r="D22" s="241">
        <f>+D18+D21</f>
        <v>2529</v>
      </c>
      <c r="E22" s="20"/>
      <c r="F22" s="20"/>
      <c r="G22" s="20"/>
      <c r="H22" s="20"/>
      <c r="I22" s="20"/>
      <c r="J22" s="20"/>
      <c r="K22" s="20"/>
      <c r="L22" s="20"/>
      <c r="M22" s="20"/>
      <c r="N22" s="20"/>
      <c r="O22" s="20"/>
      <c r="P22" s="20"/>
      <c r="Q22" s="20"/>
      <c r="R22" s="4"/>
      <c r="S22" s="4"/>
      <c r="T22" s="4"/>
    </row>
    <row r="23" spans="1:20" ht="21.95" customHeight="1" x14ac:dyDescent="0.35">
      <c r="A23" s="77" t="s">
        <v>254</v>
      </c>
      <c r="B23" s="34"/>
      <c r="C23" s="34">
        <v>562</v>
      </c>
      <c r="D23" s="94"/>
      <c r="E23" s="20"/>
      <c r="F23" s="20"/>
      <c r="G23" s="20"/>
      <c r="H23" s="20"/>
      <c r="I23" s="20"/>
      <c r="J23" s="20"/>
      <c r="K23" s="20"/>
      <c r="L23" s="20"/>
      <c r="M23" s="20"/>
      <c r="N23" s="20"/>
      <c r="O23" s="20"/>
      <c r="P23" s="20"/>
      <c r="Q23" s="20"/>
      <c r="R23" s="4"/>
      <c r="S23" s="4"/>
      <c r="T23" s="4"/>
    </row>
    <row r="24" spans="1:20" ht="20.100000000000001" customHeight="1" x14ac:dyDescent="0.35">
      <c r="A24" s="77" t="s">
        <v>255</v>
      </c>
      <c r="B24" s="37"/>
      <c r="C24" s="37">
        <f>+C22+C23</f>
        <v>5015</v>
      </c>
      <c r="D24" s="37"/>
      <c r="E24" s="20"/>
      <c r="F24" s="20"/>
      <c r="G24" s="20"/>
      <c r="H24" s="20"/>
      <c r="I24" s="20"/>
      <c r="J24" s="20"/>
      <c r="K24" s="20"/>
      <c r="L24" s="20"/>
      <c r="M24" s="20"/>
      <c r="N24" s="20"/>
      <c r="O24" s="20"/>
      <c r="P24" s="20"/>
      <c r="Q24" s="20"/>
      <c r="R24" s="4"/>
      <c r="S24" s="4"/>
      <c r="T24" s="4"/>
    </row>
    <row r="25" spans="1:20" ht="15" x14ac:dyDescent="0.2">
      <c r="A25" s="20"/>
      <c r="B25" s="20"/>
      <c r="C25" s="20"/>
      <c r="D25" s="20"/>
      <c r="E25" s="20"/>
      <c r="F25" s="20"/>
      <c r="G25" s="20"/>
      <c r="H25" s="20"/>
      <c r="I25" s="20"/>
      <c r="J25" s="20"/>
      <c r="K25" s="20"/>
      <c r="L25" s="20"/>
      <c r="M25" s="20"/>
      <c r="N25" s="20"/>
      <c r="O25" s="20"/>
      <c r="P25" s="20"/>
      <c r="Q25" s="20"/>
      <c r="R25" s="4"/>
      <c r="S25" s="4"/>
      <c r="T25" s="4"/>
    </row>
    <row r="26" spans="1:20" ht="15" x14ac:dyDescent="0.2">
      <c r="A26" s="20"/>
      <c r="B26" s="20"/>
      <c r="C26" s="20"/>
      <c r="D26" s="20"/>
      <c r="E26" s="20"/>
      <c r="F26" s="20"/>
      <c r="G26" s="20"/>
      <c r="H26" s="20"/>
      <c r="I26" s="20"/>
      <c r="J26" s="20"/>
      <c r="K26" s="20"/>
      <c r="L26" s="20"/>
      <c r="M26" s="20"/>
      <c r="N26" s="20"/>
      <c r="O26" s="20"/>
      <c r="P26" s="20"/>
      <c r="Q26" s="20"/>
      <c r="R26" s="4"/>
      <c r="S26" s="4"/>
      <c r="T26" s="4"/>
    </row>
    <row r="27" spans="1:20" ht="15" x14ac:dyDescent="0.2">
      <c r="A27" s="20"/>
      <c r="B27" s="20"/>
      <c r="C27" s="20"/>
      <c r="D27" s="20"/>
      <c r="E27" s="20"/>
      <c r="F27" s="20"/>
      <c r="G27" s="20"/>
      <c r="H27" s="20"/>
      <c r="I27" s="20"/>
      <c r="J27" s="20"/>
      <c r="K27" s="20"/>
      <c r="L27" s="20"/>
      <c r="M27" s="20"/>
      <c r="N27" s="20"/>
      <c r="O27" s="20"/>
      <c r="P27" s="20"/>
      <c r="Q27" s="20"/>
      <c r="R27" s="4"/>
      <c r="S27" s="4"/>
      <c r="T27" s="4"/>
    </row>
    <row r="28" spans="1:20" ht="15" x14ac:dyDescent="0.2">
      <c r="A28" s="20"/>
      <c r="B28" s="20"/>
      <c r="C28" s="20"/>
      <c r="D28" s="20"/>
      <c r="E28" s="20"/>
      <c r="F28" s="20"/>
      <c r="G28" s="20"/>
      <c r="H28" s="20"/>
      <c r="I28" s="20"/>
      <c r="J28" s="20"/>
      <c r="K28" s="20"/>
      <c r="L28" s="20"/>
      <c r="M28" s="20"/>
      <c r="N28" s="20"/>
      <c r="O28" s="20"/>
      <c r="P28" s="20"/>
      <c r="Q28" s="20"/>
      <c r="R28" s="4"/>
      <c r="S28" s="4"/>
      <c r="T28" s="4"/>
    </row>
    <row r="29" spans="1:20" ht="15" x14ac:dyDescent="0.2">
      <c r="A29" s="4"/>
      <c r="B29" s="4"/>
      <c r="C29" s="20"/>
      <c r="D29" s="20"/>
      <c r="E29" s="20"/>
      <c r="F29" s="20"/>
      <c r="G29" s="20"/>
      <c r="H29" s="20"/>
      <c r="I29" s="20"/>
      <c r="J29" s="20"/>
      <c r="K29" s="20"/>
      <c r="L29" s="20"/>
      <c r="M29" s="20"/>
      <c r="N29" s="20"/>
      <c r="O29" s="20"/>
      <c r="P29" s="20"/>
      <c r="Q29" s="20"/>
      <c r="R29" s="4"/>
      <c r="S29" s="4"/>
      <c r="T29" s="4"/>
    </row>
    <row r="30" spans="1:20" ht="15" x14ac:dyDescent="0.2">
      <c r="A30" s="20"/>
      <c r="B30" s="20"/>
      <c r="C30" s="20"/>
      <c r="D30" s="20"/>
      <c r="E30" s="20"/>
      <c r="F30" s="20"/>
      <c r="G30" s="20"/>
      <c r="H30" s="20"/>
      <c r="I30" s="20"/>
      <c r="J30" s="20"/>
      <c r="K30" s="20"/>
      <c r="L30" s="20"/>
      <c r="M30" s="20"/>
      <c r="N30" s="20"/>
      <c r="O30" s="20"/>
      <c r="P30" s="20"/>
      <c r="Q30" s="20"/>
      <c r="R30" s="4"/>
      <c r="S30" s="4"/>
      <c r="T30" s="4"/>
    </row>
    <row r="31" spans="1:20" ht="35.1" customHeight="1" x14ac:dyDescent="0.2">
      <c r="A31" s="75" t="s">
        <v>295</v>
      </c>
      <c r="B31" s="276"/>
      <c r="C31" s="134" t="str">
        <f>IF(C22-'Govt Funds Inc Stmt Exh 4'!X32=0,"Yes",C22-'Govt Funds Inc Stmt Exh 4'!X32)</f>
        <v>Yes</v>
      </c>
      <c r="D31" s="20"/>
      <c r="E31" s="20"/>
      <c r="F31" s="20"/>
      <c r="G31" s="20"/>
      <c r="H31" s="20"/>
      <c r="I31" s="20"/>
      <c r="J31" s="20"/>
      <c r="K31" s="20"/>
      <c r="L31" s="20"/>
      <c r="M31" s="20"/>
      <c r="N31" s="20"/>
      <c r="O31" s="20"/>
      <c r="P31" s="20"/>
      <c r="Q31" s="20"/>
      <c r="R31" s="4"/>
      <c r="S31" s="4"/>
      <c r="T31" s="4"/>
    </row>
    <row r="32" spans="1:20" ht="35.1" customHeight="1" x14ac:dyDescent="0.2">
      <c r="A32" s="75" t="s">
        <v>270</v>
      </c>
      <c r="B32" s="276"/>
      <c r="C32" s="134" t="str">
        <f>IF(C24-'Govt Funds Inc Stmt Exh 4'!X34=0,"Yes",C24-'Govt Funds Inc Stmt Exh 4'!X34)</f>
        <v>Yes</v>
      </c>
      <c r="D32" s="20"/>
      <c r="E32" s="20"/>
      <c r="F32" s="20"/>
      <c r="G32" s="20"/>
      <c r="H32" s="20"/>
      <c r="I32" s="20"/>
      <c r="J32" s="20"/>
      <c r="K32" s="20"/>
      <c r="L32" s="20"/>
      <c r="M32" s="20"/>
      <c r="N32" s="20"/>
      <c r="O32" s="20"/>
      <c r="P32" s="20"/>
      <c r="Q32" s="20"/>
      <c r="R32" s="4"/>
      <c r="S32" s="4"/>
      <c r="T32" s="4"/>
    </row>
    <row r="33" spans="1:20" ht="21.95" customHeight="1" x14ac:dyDescent="0.2">
      <c r="A33" s="165" t="s">
        <v>306</v>
      </c>
      <c r="B33" s="134" t="str">
        <f>IF(B22=0,"Yes",B22)</f>
        <v>Yes</v>
      </c>
      <c r="C33" s="20"/>
      <c r="D33" s="20"/>
      <c r="E33" s="20"/>
      <c r="F33" s="20"/>
      <c r="G33" s="20"/>
      <c r="H33" s="20"/>
      <c r="I33" s="20"/>
      <c r="J33" s="20"/>
      <c r="K33" s="20"/>
      <c r="L33" s="20"/>
      <c r="M33" s="20"/>
      <c r="N33" s="20"/>
      <c r="O33" s="20"/>
      <c r="P33" s="20"/>
      <c r="Q33" s="20"/>
      <c r="R33" s="4"/>
      <c r="S33" s="4"/>
      <c r="T33" s="4"/>
    </row>
    <row r="34" spans="1:20" ht="15" x14ac:dyDescent="0.2">
      <c r="A34" s="20"/>
      <c r="B34" s="20"/>
      <c r="C34" s="20"/>
      <c r="D34" s="20"/>
      <c r="E34" s="20"/>
      <c r="F34" s="20"/>
      <c r="G34" s="20"/>
      <c r="H34" s="20"/>
      <c r="I34" s="20"/>
      <c r="J34" s="20"/>
      <c r="K34" s="20"/>
      <c r="L34" s="20"/>
      <c r="M34" s="20"/>
      <c r="N34" s="20"/>
      <c r="O34" s="20"/>
      <c r="P34" s="20"/>
      <c r="Q34" s="20"/>
      <c r="R34" s="4"/>
      <c r="S34" s="4"/>
      <c r="T34" s="4"/>
    </row>
    <row r="35" spans="1:20" ht="43.5" customHeight="1" x14ac:dyDescent="0.2">
      <c r="A35" s="75"/>
      <c r="B35" s="68"/>
      <c r="C35" s="68"/>
      <c r="D35" s="68"/>
      <c r="E35" s="20"/>
      <c r="F35" s="20"/>
      <c r="G35" s="20"/>
      <c r="H35" s="20"/>
      <c r="I35" s="20"/>
      <c r="J35" s="20"/>
      <c r="K35" s="20"/>
      <c r="L35" s="20"/>
      <c r="M35" s="20"/>
      <c r="N35" s="20"/>
      <c r="O35" s="20"/>
      <c r="P35" s="20"/>
      <c r="Q35" s="20"/>
      <c r="R35" s="4"/>
      <c r="S35" s="4"/>
      <c r="T35" s="4"/>
    </row>
    <row r="36" spans="1:20" ht="15" x14ac:dyDescent="0.2">
      <c r="A36" s="20"/>
      <c r="B36" s="20"/>
      <c r="C36" s="20"/>
      <c r="D36" s="20"/>
      <c r="E36" s="20"/>
      <c r="F36" s="20"/>
      <c r="G36" s="20"/>
      <c r="H36" s="20"/>
      <c r="I36" s="20"/>
      <c r="J36" s="20"/>
      <c r="K36" s="20"/>
      <c r="L36" s="20"/>
      <c r="M36" s="20"/>
      <c r="N36" s="20"/>
      <c r="O36" s="20"/>
      <c r="P36" s="20"/>
      <c r="Q36" s="20"/>
      <c r="R36" s="4"/>
      <c r="S36" s="4"/>
      <c r="T36" s="4"/>
    </row>
    <row r="37" spans="1:20" ht="15" x14ac:dyDescent="0.2">
      <c r="A37" s="20"/>
      <c r="B37" s="20"/>
      <c r="C37" s="20"/>
      <c r="D37" s="63"/>
      <c r="E37" s="20"/>
      <c r="F37" s="20"/>
      <c r="G37" s="20"/>
      <c r="H37" s="20"/>
      <c r="I37" s="20"/>
      <c r="J37" s="20"/>
      <c r="K37" s="20"/>
      <c r="L37" s="20"/>
      <c r="M37" s="20"/>
      <c r="N37" s="20"/>
      <c r="O37" s="20"/>
      <c r="P37" s="20"/>
      <c r="Q37" s="20"/>
      <c r="R37" s="4"/>
      <c r="S37" s="4"/>
      <c r="T37" s="4"/>
    </row>
    <row r="38" spans="1:20" ht="15" x14ac:dyDescent="0.2">
      <c r="A38" s="20"/>
      <c r="B38" s="20"/>
      <c r="C38" s="20"/>
      <c r="D38" s="20"/>
      <c r="E38" s="20"/>
      <c r="F38" s="20"/>
      <c r="G38" s="20"/>
      <c r="H38" s="20"/>
      <c r="I38" s="20"/>
      <c r="J38" s="20"/>
      <c r="K38" s="20"/>
      <c r="L38" s="20"/>
      <c r="M38" s="20"/>
      <c r="N38" s="20"/>
      <c r="O38" s="20"/>
      <c r="P38" s="20"/>
      <c r="Q38" s="20"/>
      <c r="R38" s="4"/>
      <c r="S38" s="4"/>
      <c r="T38" s="4"/>
    </row>
    <row r="39" spans="1:20" ht="15" x14ac:dyDescent="0.2">
      <c r="A39" s="20"/>
      <c r="B39" s="20"/>
      <c r="C39" s="20"/>
      <c r="D39" s="20"/>
      <c r="E39" s="20"/>
      <c r="F39" s="20"/>
      <c r="G39" s="20"/>
      <c r="H39" s="20"/>
      <c r="I39" s="20"/>
      <c r="J39" s="20"/>
      <c r="K39" s="20"/>
      <c r="L39" s="20"/>
      <c r="M39" s="20"/>
      <c r="N39" s="20"/>
      <c r="O39" s="20"/>
      <c r="P39" s="20"/>
      <c r="Q39" s="20"/>
      <c r="R39" s="4"/>
      <c r="S39" s="4"/>
      <c r="T39" s="4"/>
    </row>
    <row r="40" spans="1:20" ht="15" x14ac:dyDescent="0.2">
      <c r="A40" s="20"/>
      <c r="B40" s="20"/>
      <c r="C40" s="20"/>
      <c r="D40" s="20"/>
      <c r="E40" s="20"/>
      <c r="F40" s="20"/>
      <c r="G40" s="20"/>
      <c r="H40" s="20"/>
      <c r="I40" s="20"/>
      <c r="J40" s="20"/>
      <c r="K40" s="20"/>
      <c r="L40" s="20"/>
      <c r="M40" s="20"/>
      <c r="N40" s="20"/>
      <c r="O40" s="20"/>
      <c r="P40" s="20"/>
      <c r="Q40" s="20"/>
      <c r="R40" s="4"/>
      <c r="S40" s="4"/>
      <c r="T40" s="4"/>
    </row>
    <row r="41" spans="1:20" ht="15" x14ac:dyDescent="0.2">
      <c r="A41" s="20"/>
      <c r="B41" s="20"/>
      <c r="C41" s="20"/>
      <c r="D41" s="20"/>
      <c r="E41" s="20"/>
      <c r="F41" s="20"/>
      <c r="G41" s="20"/>
      <c r="H41" s="20"/>
      <c r="I41" s="20"/>
      <c r="J41" s="20"/>
      <c r="K41" s="20"/>
      <c r="L41" s="20"/>
      <c r="M41" s="20"/>
      <c r="N41" s="20"/>
      <c r="O41" s="20"/>
      <c r="P41" s="20"/>
      <c r="Q41" s="20"/>
      <c r="R41" s="4"/>
      <c r="S41" s="4"/>
      <c r="T41" s="4"/>
    </row>
    <row r="42" spans="1:20" ht="15" x14ac:dyDescent="0.2">
      <c r="A42" s="20"/>
      <c r="B42" s="20"/>
      <c r="C42" s="20"/>
      <c r="D42" s="20"/>
      <c r="E42" s="20"/>
      <c r="F42" s="20"/>
      <c r="G42" s="20"/>
      <c r="H42" s="20"/>
      <c r="I42" s="20"/>
      <c r="J42" s="20"/>
      <c r="K42" s="20"/>
      <c r="L42" s="20"/>
      <c r="M42" s="20"/>
      <c r="N42" s="20"/>
      <c r="O42" s="20"/>
      <c r="P42" s="20"/>
      <c r="Q42" s="20"/>
      <c r="R42" s="4"/>
      <c r="S42" s="4"/>
      <c r="T42" s="4"/>
    </row>
    <row r="43" spans="1:20" ht="15" x14ac:dyDescent="0.2">
      <c r="A43" s="20"/>
      <c r="B43" s="20"/>
      <c r="C43" s="20"/>
      <c r="D43" s="20"/>
      <c r="E43" s="20"/>
      <c r="F43" s="20"/>
      <c r="G43" s="20"/>
      <c r="H43" s="20"/>
      <c r="I43" s="20"/>
      <c r="J43" s="20"/>
      <c r="K43" s="20"/>
      <c r="L43" s="20"/>
      <c r="M43" s="20"/>
      <c r="N43" s="20"/>
      <c r="O43" s="20"/>
      <c r="P43" s="20"/>
      <c r="Q43" s="20"/>
      <c r="R43" s="4"/>
      <c r="S43" s="4"/>
      <c r="T43" s="4"/>
    </row>
    <row r="44" spans="1:20" ht="15" x14ac:dyDescent="0.2">
      <c r="A44" s="20"/>
      <c r="B44" s="20"/>
      <c r="C44" s="20"/>
      <c r="D44" s="20"/>
      <c r="E44" s="20"/>
      <c r="F44" s="20"/>
      <c r="G44" s="20"/>
      <c r="H44" s="20"/>
      <c r="I44" s="20"/>
      <c r="J44" s="20"/>
      <c r="K44" s="20"/>
      <c r="L44" s="20"/>
      <c r="M44" s="20"/>
      <c r="N44" s="20"/>
      <c r="O44" s="20"/>
      <c r="P44" s="20"/>
      <c r="Q44" s="20"/>
      <c r="R44" s="4"/>
      <c r="S44" s="4"/>
      <c r="T44" s="4"/>
    </row>
    <row r="45" spans="1:20" ht="15" x14ac:dyDescent="0.2">
      <c r="A45" s="20"/>
      <c r="B45" s="20"/>
      <c r="C45" s="20"/>
      <c r="D45" s="20"/>
      <c r="E45" s="20"/>
      <c r="F45" s="20"/>
      <c r="G45" s="20"/>
      <c r="H45" s="20"/>
      <c r="I45" s="20"/>
      <c r="J45" s="20"/>
      <c r="K45" s="20"/>
      <c r="L45" s="20"/>
      <c r="M45" s="20"/>
      <c r="N45" s="20"/>
      <c r="O45" s="20"/>
      <c r="P45" s="20"/>
      <c r="Q45" s="20"/>
      <c r="R45" s="4"/>
      <c r="S45" s="4"/>
      <c r="T45" s="4"/>
    </row>
    <row r="46" spans="1:20" ht="15" x14ac:dyDescent="0.2">
      <c r="A46" s="20"/>
      <c r="B46" s="20"/>
      <c r="C46" s="20"/>
      <c r="D46" s="20"/>
      <c r="E46" s="20"/>
      <c r="F46" s="20"/>
      <c r="G46" s="20"/>
      <c r="H46" s="20"/>
      <c r="I46" s="20"/>
      <c r="J46" s="20"/>
      <c r="K46" s="20"/>
      <c r="L46" s="20"/>
      <c r="M46" s="20"/>
      <c r="N46" s="20"/>
      <c r="O46" s="20"/>
      <c r="P46" s="20"/>
      <c r="Q46" s="20"/>
      <c r="R46" s="4"/>
      <c r="S46" s="4"/>
      <c r="T46" s="4"/>
    </row>
    <row r="47" spans="1:20" ht="15" x14ac:dyDescent="0.2">
      <c r="A47" s="20"/>
      <c r="B47" s="20"/>
      <c r="C47" s="20"/>
      <c r="D47" s="20"/>
      <c r="E47" s="20"/>
      <c r="F47" s="20"/>
      <c r="G47" s="20"/>
      <c r="H47" s="20"/>
      <c r="I47" s="20"/>
      <c r="J47" s="20"/>
      <c r="K47" s="20"/>
      <c r="L47" s="20"/>
      <c r="M47" s="20"/>
      <c r="N47" s="20"/>
      <c r="O47" s="20"/>
      <c r="P47" s="20"/>
      <c r="Q47" s="20"/>
      <c r="R47" s="4"/>
      <c r="S47" s="4"/>
      <c r="T47" s="4"/>
    </row>
    <row r="48" spans="1:20" ht="15" x14ac:dyDescent="0.2">
      <c r="A48" s="20"/>
      <c r="B48" s="20"/>
      <c r="C48" s="20"/>
      <c r="D48" s="20"/>
      <c r="E48" s="20"/>
      <c r="F48" s="20"/>
      <c r="G48" s="20"/>
      <c r="H48" s="20"/>
      <c r="I48" s="20"/>
      <c r="J48" s="20"/>
      <c r="K48" s="20"/>
      <c r="L48" s="20"/>
      <c r="M48" s="20"/>
      <c r="N48" s="20"/>
      <c r="O48" s="20"/>
      <c r="P48" s="20"/>
      <c r="Q48" s="20"/>
      <c r="R48" s="4"/>
      <c r="S48" s="4"/>
      <c r="T48" s="4"/>
    </row>
    <row r="49" spans="1:20" ht="15" x14ac:dyDescent="0.2">
      <c r="A49" s="20"/>
      <c r="B49" s="20"/>
      <c r="C49" s="20"/>
      <c r="D49" s="20"/>
      <c r="E49" s="20"/>
      <c r="F49" s="20"/>
      <c r="G49" s="20"/>
      <c r="H49" s="20"/>
      <c r="I49" s="20"/>
      <c r="J49" s="20"/>
      <c r="K49" s="20"/>
      <c r="L49" s="20"/>
      <c r="M49" s="20"/>
      <c r="N49" s="20"/>
      <c r="O49" s="20"/>
      <c r="P49" s="20"/>
      <c r="Q49" s="20"/>
      <c r="R49" s="4"/>
      <c r="S49" s="4"/>
      <c r="T49" s="4"/>
    </row>
    <row r="50" spans="1:20" ht="15" x14ac:dyDescent="0.2">
      <c r="A50" s="20"/>
      <c r="B50" s="20"/>
      <c r="C50" s="20"/>
      <c r="D50" s="20"/>
      <c r="E50" s="20"/>
      <c r="F50" s="20"/>
      <c r="G50" s="20"/>
      <c r="H50" s="20"/>
      <c r="I50" s="20"/>
      <c r="J50" s="20"/>
      <c r="K50" s="20"/>
      <c r="L50" s="20"/>
      <c r="M50" s="20"/>
      <c r="N50" s="20"/>
      <c r="O50" s="20"/>
      <c r="P50" s="20"/>
      <c r="Q50" s="20"/>
      <c r="R50" s="4"/>
      <c r="S50" s="4"/>
      <c r="T50" s="4"/>
    </row>
    <row r="51" spans="1:20" ht="15" x14ac:dyDescent="0.2">
      <c r="A51" s="20"/>
      <c r="B51" s="20"/>
      <c r="C51" s="20"/>
      <c r="D51" s="20"/>
      <c r="E51" s="20"/>
      <c r="F51" s="20"/>
      <c r="G51" s="20"/>
      <c r="H51" s="20"/>
      <c r="I51" s="20"/>
      <c r="J51" s="20"/>
      <c r="K51" s="20"/>
      <c r="L51" s="20"/>
      <c r="M51" s="20"/>
      <c r="N51" s="20"/>
      <c r="O51" s="20"/>
      <c r="P51" s="20"/>
      <c r="Q51" s="20"/>
      <c r="R51" s="4"/>
      <c r="S51" s="4"/>
      <c r="T51" s="4"/>
    </row>
    <row r="52" spans="1:20" ht="15" x14ac:dyDescent="0.2">
      <c r="A52" s="20"/>
      <c r="B52" s="20"/>
      <c r="C52" s="20"/>
      <c r="D52" s="20"/>
      <c r="E52" s="20"/>
      <c r="F52" s="20"/>
      <c r="G52" s="20"/>
      <c r="H52" s="20"/>
      <c r="I52" s="20"/>
      <c r="J52" s="20"/>
      <c r="K52" s="20"/>
      <c r="L52" s="20"/>
      <c r="M52" s="20"/>
      <c r="N52" s="20"/>
      <c r="O52" s="20"/>
      <c r="P52" s="20"/>
      <c r="Q52" s="20"/>
      <c r="R52" s="4"/>
      <c r="S52" s="4"/>
      <c r="T52" s="4"/>
    </row>
    <row r="53" spans="1:20" ht="15" x14ac:dyDescent="0.2">
      <c r="A53" s="20"/>
      <c r="B53" s="20"/>
      <c r="C53" s="20"/>
      <c r="D53" s="20"/>
      <c r="E53" s="20"/>
      <c r="F53" s="20"/>
      <c r="G53" s="20"/>
      <c r="H53" s="20"/>
      <c r="I53" s="20"/>
      <c r="J53" s="20"/>
      <c r="K53" s="20"/>
      <c r="L53" s="20"/>
      <c r="M53" s="20"/>
      <c r="N53" s="20"/>
      <c r="O53" s="20"/>
      <c r="P53" s="20"/>
      <c r="Q53" s="20"/>
      <c r="R53" s="4"/>
      <c r="S53" s="4"/>
      <c r="T53" s="4"/>
    </row>
    <row r="54" spans="1:20" ht="15.75" x14ac:dyDescent="0.25">
      <c r="A54" s="11"/>
      <c r="B54" s="11"/>
      <c r="C54" s="11"/>
      <c r="D54" s="11"/>
      <c r="E54" s="11"/>
      <c r="F54" s="11"/>
      <c r="G54" s="11"/>
      <c r="H54" s="11"/>
      <c r="I54" s="11"/>
      <c r="J54" s="11"/>
      <c r="K54" s="11"/>
      <c r="L54" s="11"/>
      <c r="M54" s="11"/>
      <c r="N54" s="11"/>
      <c r="O54" s="11"/>
      <c r="P54" s="11"/>
      <c r="Q54" s="11"/>
    </row>
    <row r="55" spans="1:20" ht="15.75" x14ac:dyDescent="0.25">
      <c r="A55" s="11"/>
      <c r="B55" s="11"/>
      <c r="C55" s="11"/>
      <c r="D55" s="11"/>
      <c r="E55" s="11"/>
      <c r="F55" s="11"/>
      <c r="G55" s="11"/>
      <c r="H55" s="11"/>
      <c r="I55" s="11"/>
      <c r="J55" s="11"/>
      <c r="K55" s="11"/>
      <c r="L55" s="11"/>
      <c r="M55" s="11"/>
      <c r="N55" s="11"/>
      <c r="O55" s="11"/>
      <c r="P55" s="11"/>
      <c r="Q55" s="11"/>
    </row>
    <row r="56" spans="1:20" ht="15.75" x14ac:dyDescent="0.25">
      <c r="A56" s="11"/>
      <c r="B56" s="11"/>
      <c r="C56" s="11"/>
      <c r="D56" s="11"/>
      <c r="E56" s="11"/>
      <c r="F56" s="11"/>
      <c r="G56" s="11"/>
      <c r="H56" s="11"/>
      <c r="I56" s="11"/>
      <c r="J56" s="11"/>
      <c r="K56" s="11"/>
      <c r="L56" s="11"/>
      <c r="M56" s="11"/>
      <c r="N56" s="11"/>
      <c r="O56" s="11"/>
      <c r="P56" s="11"/>
      <c r="Q56" s="11"/>
    </row>
    <row r="57" spans="1:20" ht="15.75" x14ac:dyDescent="0.25">
      <c r="A57" s="11"/>
      <c r="B57" s="11"/>
      <c r="C57" s="11"/>
      <c r="D57" s="11"/>
      <c r="E57" s="11"/>
      <c r="F57" s="11"/>
      <c r="G57" s="11"/>
      <c r="H57" s="11"/>
      <c r="I57" s="11"/>
      <c r="J57" s="11"/>
      <c r="K57" s="11"/>
      <c r="L57" s="11"/>
      <c r="M57" s="11"/>
      <c r="N57" s="11"/>
      <c r="O57" s="11"/>
      <c r="P57" s="11"/>
      <c r="Q57" s="11"/>
    </row>
    <row r="58" spans="1:20" ht="15.75" x14ac:dyDescent="0.25">
      <c r="A58" s="11"/>
      <c r="B58" s="11"/>
      <c r="C58" s="11"/>
      <c r="D58" s="11"/>
      <c r="E58" s="11"/>
      <c r="F58" s="11"/>
      <c r="G58" s="11"/>
      <c r="H58" s="11"/>
      <c r="I58" s="11"/>
      <c r="J58" s="11"/>
      <c r="K58" s="11"/>
      <c r="L58" s="11"/>
      <c r="M58" s="11"/>
      <c r="N58" s="11"/>
      <c r="O58" s="11"/>
      <c r="P58" s="11"/>
      <c r="Q58" s="11"/>
    </row>
    <row r="59" spans="1:20" ht="15.75" x14ac:dyDescent="0.25">
      <c r="A59" s="11"/>
      <c r="B59" s="11"/>
      <c r="C59" s="11"/>
      <c r="D59" s="11"/>
      <c r="E59" s="11"/>
      <c r="F59" s="11"/>
      <c r="G59" s="11"/>
      <c r="H59" s="11"/>
      <c r="I59" s="11"/>
      <c r="J59" s="11"/>
      <c r="K59" s="11"/>
      <c r="L59" s="11"/>
      <c r="M59" s="11"/>
      <c r="N59" s="11"/>
      <c r="O59" s="11"/>
      <c r="P59" s="11"/>
      <c r="Q59" s="11"/>
    </row>
    <row r="60" spans="1:20" ht="15.75" x14ac:dyDescent="0.25">
      <c r="A60" s="11"/>
      <c r="B60" s="11"/>
      <c r="C60" s="11"/>
      <c r="D60" s="11"/>
      <c r="E60" s="11"/>
      <c r="F60" s="11"/>
      <c r="G60" s="11"/>
      <c r="H60" s="11"/>
      <c r="I60" s="11"/>
      <c r="J60" s="11"/>
      <c r="K60" s="11"/>
      <c r="L60" s="11"/>
      <c r="M60" s="11"/>
      <c r="N60" s="11"/>
      <c r="O60" s="11"/>
      <c r="P60" s="11"/>
      <c r="Q60" s="11"/>
    </row>
    <row r="61" spans="1:20" ht="15.75" x14ac:dyDescent="0.25">
      <c r="A61" s="11"/>
      <c r="B61" s="11"/>
      <c r="C61" s="11"/>
      <c r="D61" s="11"/>
      <c r="E61" s="11"/>
      <c r="F61" s="11"/>
      <c r="G61" s="11"/>
      <c r="H61" s="11"/>
      <c r="I61" s="11"/>
      <c r="J61" s="11"/>
      <c r="K61" s="11"/>
      <c r="L61" s="11"/>
      <c r="M61" s="11"/>
      <c r="N61" s="11"/>
      <c r="O61" s="11"/>
      <c r="P61" s="11"/>
      <c r="Q61" s="11"/>
    </row>
    <row r="62" spans="1:20" ht="15.75" x14ac:dyDescent="0.25">
      <c r="A62" s="11"/>
      <c r="B62" s="11"/>
      <c r="C62" s="11"/>
      <c r="D62" s="11"/>
      <c r="E62" s="11"/>
      <c r="F62" s="11"/>
      <c r="G62" s="11"/>
      <c r="H62" s="11"/>
      <c r="I62" s="11"/>
      <c r="J62" s="11"/>
      <c r="K62" s="11"/>
      <c r="L62" s="11"/>
      <c r="M62" s="11"/>
      <c r="N62" s="11"/>
      <c r="O62" s="11"/>
      <c r="P62" s="11"/>
      <c r="Q62" s="11"/>
    </row>
    <row r="63" spans="1:20" ht="15.75" x14ac:dyDescent="0.25">
      <c r="A63" s="11"/>
      <c r="B63" s="11"/>
      <c r="C63" s="11"/>
      <c r="D63" s="11"/>
      <c r="E63" s="11"/>
      <c r="F63" s="11"/>
      <c r="G63" s="11"/>
      <c r="H63" s="11"/>
      <c r="I63" s="11"/>
      <c r="J63" s="11"/>
      <c r="K63" s="11"/>
      <c r="L63" s="11"/>
      <c r="M63" s="11"/>
      <c r="N63" s="11"/>
      <c r="O63" s="11"/>
      <c r="P63" s="11"/>
      <c r="Q63" s="11"/>
    </row>
    <row r="64" spans="1:20" ht="15.75" x14ac:dyDescent="0.25">
      <c r="A64" s="11"/>
      <c r="B64" s="11"/>
      <c r="C64" s="11"/>
      <c r="D64" s="11"/>
      <c r="E64" s="11"/>
      <c r="F64" s="11"/>
      <c r="G64" s="11"/>
      <c r="H64" s="11"/>
      <c r="I64" s="11"/>
      <c r="J64" s="11"/>
      <c r="K64" s="11"/>
      <c r="L64" s="11"/>
      <c r="M64" s="11"/>
      <c r="N64" s="11"/>
      <c r="O64" s="11"/>
      <c r="P64" s="11"/>
      <c r="Q64" s="11"/>
    </row>
    <row r="65" spans="1:17" ht="15.75" x14ac:dyDescent="0.25">
      <c r="A65" s="11"/>
      <c r="B65" s="11"/>
      <c r="C65" s="11"/>
      <c r="D65" s="11"/>
      <c r="E65" s="11"/>
      <c r="F65" s="11"/>
      <c r="G65" s="11"/>
      <c r="H65" s="11"/>
      <c r="I65" s="11"/>
      <c r="J65" s="11"/>
      <c r="K65" s="11"/>
      <c r="L65" s="11"/>
      <c r="M65" s="11"/>
      <c r="N65" s="11"/>
      <c r="O65" s="11"/>
      <c r="P65" s="11"/>
      <c r="Q65" s="11"/>
    </row>
    <row r="66" spans="1:17" ht="15.75" x14ac:dyDescent="0.25">
      <c r="A66" s="11"/>
      <c r="B66" s="11"/>
      <c r="C66" s="11"/>
      <c r="D66" s="11"/>
      <c r="E66" s="11"/>
      <c r="F66" s="11"/>
      <c r="G66" s="11"/>
      <c r="H66" s="11"/>
      <c r="I66" s="11"/>
      <c r="J66" s="11"/>
      <c r="K66" s="11"/>
      <c r="L66" s="11"/>
      <c r="M66" s="11"/>
      <c r="N66" s="11"/>
      <c r="O66" s="11"/>
      <c r="P66" s="11"/>
      <c r="Q66" s="11"/>
    </row>
    <row r="67" spans="1:17" ht="15.75" x14ac:dyDescent="0.25">
      <c r="A67" s="11"/>
      <c r="B67" s="11"/>
      <c r="C67" s="11"/>
      <c r="D67" s="11"/>
      <c r="E67" s="11"/>
      <c r="F67" s="11"/>
      <c r="G67" s="11"/>
      <c r="H67" s="11"/>
      <c r="I67" s="11"/>
      <c r="J67" s="11"/>
      <c r="K67" s="11"/>
      <c r="L67" s="11"/>
      <c r="M67" s="11"/>
      <c r="N67" s="11"/>
      <c r="O67" s="11"/>
      <c r="P67" s="11"/>
      <c r="Q67" s="11"/>
    </row>
    <row r="68" spans="1:17" ht="15.75" x14ac:dyDescent="0.25">
      <c r="A68" s="11"/>
      <c r="B68" s="11"/>
      <c r="C68" s="11"/>
      <c r="D68" s="11"/>
      <c r="E68" s="11"/>
      <c r="F68" s="11"/>
      <c r="G68" s="11"/>
      <c r="H68" s="11"/>
      <c r="I68" s="11"/>
      <c r="J68" s="11"/>
      <c r="K68" s="11"/>
      <c r="L68" s="11"/>
      <c r="M68" s="11"/>
      <c r="N68" s="11"/>
      <c r="O68" s="11"/>
      <c r="P68" s="11"/>
      <c r="Q68" s="11"/>
    </row>
    <row r="69" spans="1:17" ht="15.75" x14ac:dyDescent="0.25">
      <c r="A69" s="11"/>
      <c r="B69" s="11"/>
      <c r="C69" s="11"/>
      <c r="D69" s="11"/>
      <c r="E69" s="11"/>
      <c r="F69" s="11"/>
      <c r="G69" s="11"/>
      <c r="H69" s="11"/>
      <c r="I69" s="11"/>
      <c r="J69" s="11"/>
      <c r="K69" s="11"/>
      <c r="L69" s="11"/>
      <c r="M69" s="11"/>
      <c r="N69" s="11"/>
      <c r="O69" s="11"/>
      <c r="P69" s="11"/>
      <c r="Q69" s="11"/>
    </row>
    <row r="70" spans="1:17" ht="15.75" x14ac:dyDescent="0.25">
      <c r="A70" s="11"/>
      <c r="B70" s="11"/>
      <c r="C70" s="11"/>
      <c r="D70" s="11"/>
      <c r="E70" s="11"/>
      <c r="F70" s="11"/>
      <c r="G70" s="11"/>
      <c r="H70" s="11"/>
      <c r="I70" s="11"/>
      <c r="J70" s="11"/>
      <c r="K70" s="11"/>
      <c r="L70" s="11"/>
      <c r="M70" s="11"/>
      <c r="N70" s="11"/>
      <c r="O70" s="11"/>
      <c r="P70" s="11"/>
      <c r="Q70" s="11"/>
    </row>
    <row r="71" spans="1:17" ht="15.75" x14ac:dyDescent="0.25">
      <c r="A71" s="11"/>
      <c r="B71" s="11"/>
      <c r="C71" s="11"/>
      <c r="D71" s="11"/>
      <c r="E71" s="11"/>
      <c r="F71" s="11"/>
      <c r="G71" s="11"/>
      <c r="H71" s="11"/>
      <c r="I71" s="11"/>
      <c r="J71" s="11"/>
      <c r="K71" s="11"/>
      <c r="L71" s="11"/>
      <c r="M71" s="11"/>
      <c r="N71" s="11"/>
      <c r="O71" s="11"/>
      <c r="P71" s="11"/>
      <c r="Q71" s="11"/>
    </row>
    <row r="72" spans="1:17" ht="15.75" x14ac:dyDescent="0.25">
      <c r="A72" s="11"/>
      <c r="B72" s="11"/>
      <c r="C72" s="11"/>
      <c r="D72" s="11"/>
      <c r="E72" s="11"/>
      <c r="F72" s="11"/>
      <c r="G72" s="11"/>
      <c r="H72" s="11"/>
      <c r="I72" s="11"/>
      <c r="J72" s="11"/>
      <c r="K72" s="11"/>
      <c r="L72" s="11"/>
      <c r="M72" s="11"/>
      <c r="N72" s="11"/>
      <c r="O72" s="11"/>
      <c r="P72" s="11"/>
      <c r="Q72" s="11"/>
    </row>
    <row r="73" spans="1:17" ht="15.75" x14ac:dyDescent="0.25">
      <c r="A73" s="11"/>
      <c r="B73" s="11"/>
      <c r="C73" s="11"/>
      <c r="D73" s="11"/>
      <c r="E73" s="11"/>
      <c r="F73" s="11"/>
      <c r="G73" s="11"/>
      <c r="H73" s="11"/>
      <c r="I73" s="11"/>
      <c r="J73" s="11"/>
      <c r="K73" s="11"/>
      <c r="L73" s="11"/>
      <c r="M73" s="11"/>
      <c r="N73" s="11"/>
      <c r="O73" s="11"/>
      <c r="P73" s="11"/>
      <c r="Q73" s="11"/>
    </row>
  </sheetData>
  <mergeCells count="6">
    <mergeCell ref="B6:D6"/>
    <mergeCell ref="A1:D1"/>
    <mergeCell ref="A2:D2"/>
    <mergeCell ref="A3:D3"/>
    <mergeCell ref="A4:D4"/>
    <mergeCell ref="A5:D5"/>
  </mergeCells>
  <conditionalFormatting sqref="B33">
    <cfRule type="cellIs" dxfId="10" priority="2" stopIfTrue="1" operator="notEqual">
      <formula>"Yes"</formula>
    </cfRule>
  </conditionalFormatting>
  <conditionalFormatting sqref="C31:C32">
    <cfRule type="cellIs" dxfId="9" priority="1" stopIfTrue="1" operator="notEqual">
      <formula>"Yes"</formula>
    </cfRule>
  </conditionalFormatting>
  <pageMargins left="0.75" right="0.75" top="0.75" bottom="0.75" header="0.5" footer="0.5"/>
  <pageSetup firstPageNumber="19" orientation="portrait" useFirstPageNumber="1" r:id="rId1"/>
  <headerFooter alignWithMargins="0">
    <oddHeader>&amp;R&amp;12Schedule 5</oddHeader>
    <oddFooter>&amp;L&amp;12Revised:  July 2020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5">
    <tabColor theme="7" tint="0.59999389629810485"/>
    <pageSetUpPr fitToPage="1"/>
  </sheetPr>
  <dimension ref="A1:S127"/>
  <sheetViews>
    <sheetView showGridLines="0" zoomScaleNormal="100" workbookViewId="0">
      <pane xSplit="1" ySplit="8" topLeftCell="B9" activePane="bottomRight" state="frozen"/>
      <selection activeCell="A6" sqref="A6"/>
      <selection pane="topRight" activeCell="A6" sqref="A6"/>
      <selection pane="bottomLeft" activeCell="A6" sqref="A6"/>
      <selection pane="bottomRight" activeCell="A6" sqref="A6"/>
    </sheetView>
  </sheetViews>
  <sheetFormatPr defaultColWidth="8" defaultRowHeight="12.75" x14ac:dyDescent="0.2"/>
  <cols>
    <col min="1" max="1" width="40.7109375" style="8" customWidth="1"/>
    <col min="2" max="4" width="14.7109375" style="8" customWidth="1"/>
    <col min="5" max="5" width="1.7109375" style="8" customWidth="1"/>
    <col min="6" max="8" width="14.7109375" style="8" customWidth="1"/>
    <col min="9" max="9" width="1.7109375" style="8" customWidth="1"/>
    <col min="10" max="12" width="14.7109375" style="8" customWidth="1"/>
    <col min="13" max="13" width="1.7109375" style="8" customWidth="1"/>
    <col min="14" max="16" width="14.7109375" style="8" customWidth="1"/>
    <col min="17" max="17" width="8" style="8"/>
    <col min="18" max="18" width="19.7109375" style="8" customWidth="1"/>
    <col min="19" max="19" width="9.85546875" style="8" bestFit="1" customWidth="1"/>
    <col min="20" max="16384" width="8" style="8"/>
  </cols>
  <sheetData>
    <row r="1" spans="1:19" ht="15.75" x14ac:dyDescent="0.25">
      <c r="A1" s="415" t="s">
        <v>223</v>
      </c>
      <c r="B1" s="415"/>
      <c r="C1" s="415"/>
      <c r="D1" s="415"/>
      <c r="E1" s="415"/>
      <c r="F1" s="415"/>
      <c r="G1" s="415"/>
      <c r="H1" s="415"/>
      <c r="I1" s="415"/>
      <c r="J1" s="415"/>
      <c r="K1" s="415"/>
      <c r="L1" s="415"/>
      <c r="M1" s="205"/>
      <c r="N1" s="206"/>
      <c r="O1" s="206"/>
      <c r="P1" s="206"/>
      <c r="Q1" s="206"/>
      <c r="R1" s="206"/>
      <c r="S1" s="206"/>
    </row>
    <row r="2" spans="1:19" s="9" customFormat="1" ht="15.75" x14ac:dyDescent="0.25">
      <c r="A2" s="416" t="s">
        <v>351</v>
      </c>
      <c r="B2" s="416"/>
      <c r="C2" s="416"/>
      <c r="D2" s="416"/>
      <c r="E2" s="416"/>
      <c r="F2" s="416"/>
      <c r="G2" s="416"/>
      <c r="H2" s="416"/>
      <c r="I2" s="416"/>
      <c r="J2" s="416"/>
      <c r="K2" s="416"/>
      <c r="L2" s="416"/>
      <c r="M2" s="205"/>
      <c r="N2" s="207"/>
      <c r="O2" s="207"/>
      <c r="P2" s="207"/>
      <c r="Q2" s="207"/>
      <c r="R2" s="207"/>
      <c r="S2" s="207"/>
    </row>
    <row r="3" spans="1:19" s="9" customFormat="1" ht="15.75" x14ac:dyDescent="0.25">
      <c r="A3" s="416" t="s">
        <v>367</v>
      </c>
      <c r="B3" s="416"/>
      <c r="C3" s="416"/>
      <c r="D3" s="416"/>
      <c r="E3" s="416"/>
      <c r="F3" s="416"/>
      <c r="G3" s="416"/>
      <c r="H3" s="416"/>
      <c r="I3" s="416"/>
      <c r="J3" s="416"/>
      <c r="K3" s="416"/>
      <c r="L3" s="416"/>
      <c r="M3" s="205"/>
      <c r="N3" s="207"/>
      <c r="O3" s="207"/>
      <c r="P3" s="207"/>
      <c r="Q3" s="207"/>
      <c r="R3" s="207"/>
      <c r="S3" s="207"/>
    </row>
    <row r="4" spans="1:19" s="9" customFormat="1" ht="15.75" x14ac:dyDescent="0.25">
      <c r="A4" s="416" t="s">
        <v>113</v>
      </c>
      <c r="B4" s="416"/>
      <c r="C4" s="416"/>
      <c r="D4" s="416"/>
      <c r="E4" s="416"/>
      <c r="F4" s="416"/>
      <c r="G4" s="416"/>
      <c r="H4" s="416"/>
      <c r="I4" s="416"/>
      <c r="J4" s="416"/>
      <c r="K4" s="416"/>
      <c r="L4" s="416"/>
      <c r="M4" s="205"/>
      <c r="N4" s="415" t="s">
        <v>272</v>
      </c>
      <c r="O4" s="415"/>
      <c r="P4" s="415"/>
      <c r="Q4" s="207"/>
      <c r="R4" s="207"/>
      <c r="S4" s="207"/>
    </row>
    <row r="5" spans="1:19" s="9" customFormat="1" ht="15.75" x14ac:dyDescent="0.25">
      <c r="A5" s="414" t="str">
        <f>+'GW Stmt Activities Exh 2'!A3</f>
        <v>For the Year Ended June 30, 2020</v>
      </c>
      <c r="B5" s="414"/>
      <c r="C5" s="414"/>
      <c r="D5" s="414"/>
      <c r="E5" s="414"/>
      <c r="F5" s="414"/>
      <c r="G5" s="414"/>
      <c r="H5" s="414"/>
      <c r="I5" s="414"/>
      <c r="J5" s="414"/>
      <c r="K5" s="414"/>
      <c r="L5" s="414"/>
      <c r="M5" s="205"/>
      <c r="N5" s="207"/>
      <c r="O5" s="207"/>
      <c r="P5" s="207"/>
      <c r="Q5" s="207"/>
      <c r="R5" s="207"/>
      <c r="S5" s="207"/>
    </row>
    <row r="6" spans="1:19" ht="21.95" customHeight="1" x14ac:dyDescent="0.35">
      <c r="A6" s="206"/>
      <c r="B6" s="365" t="str">
        <f>'Govt Funds Bal Sh Exh 3'!C7</f>
        <v>Owl - Doceo</v>
      </c>
      <c r="C6" s="365"/>
      <c r="D6" s="365"/>
      <c r="E6" s="67"/>
      <c r="F6" s="365" t="str">
        <f>'Govt Funds Bal Sh Exh 3'!D7</f>
        <v>Owl - Erudio</v>
      </c>
      <c r="G6" s="365"/>
      <c r="H6" s="365"/>
      <c r="I6" s="67"/>
      <c r="J6" s="372" t="str">
        <f>'Govt Funds Bal Sh Exh 3'!E7</f>
        <v>Owl - Discite</v>
      </c>
      <c r="K6" s="372"/>
      <c r="L6" s="372"/>
      <c r="M6" s="156"/>
      <c r="N6" s="417" t="s">
        <v>266</v>
      </c>
      <c r="O6" s="417"/>
      <c r="P6" s="417"/>
      <c r="Q6" s="206"/>
      <c r="R6" s="206"/>
      <c r="S6" s="206"/>
    </row>
    <row r="7" spans="1:19" ht="17.25" customHeight="1" x14ac:dyDescent="0.35">
      <c r="A7" s="206"/>
      <c r="D7" s="208" t="s">
        <v>48</v>
      </c>
      <c r="E7" s="208"/>
      <c r="H7" s="208" t="s">
        <v>48</v>
      </c>
      <c r="I7" s="208"/>
      <c r="L7" s="208" t="s">
        <v>48</v>
      </c>
      <c r="M7" s="208"/>
      <c r="P7" s="208" t="s">
        <v>48</v>
      </c>
      <c r="Q7" s="206"/>
      <c r="R7" s="206"/>
      <c r="S7" s="206"/>
    </row>
    <row r="8" spans="1:19" ht="34.5" customHeight="1" x14ac:dyDescent="0.35">
      <c r="A8" s="206"/>
      <c r="B8" s="27" t="s">
        <v>248</v>
      </c>
      <c r="C8" s="27" t="s">
        <v>47</v>
      </c>
      <c r="D8" s="27" t="s">
        <v>250</v>
      </c>
      <c r="E8" s="157"/>
      <c r="F8" s="27" t="s">
        <v>248</v>
      </c>
      <c r="G8" s="27" t="s">
        <v>47</v>
      </c>
      <c r="H8" s="27" t="s">
        <v>250</v>
      </c>
      <c r="I8" s="157"/>
      <c r="J8" s="27" t="s">
        <v>248</v>
      </c>
      <c r="K8" s="27" t="s">
        <v>47</v>
      </c>
      <c r="L8" s="27" t="s">
        <v>250</v>
      </c>
      <c r="M8" s="157"/>
      <c r="N8" s="27" t="s">
        <v>248</v>
      </c>
      <c r="O8" s="27" t="s">
        <v>47</v>
      </c>
      <c r="P8" s="27" t="s">
        <v>250</v>
      </c>
      <c r="Q8" s="206"/>
      <c r="R8" s="209" t="s">
        <v>258</v>
      </c>
      <c r="S8" s="206"/>
    </row>
    <row r="9" spans="1:19" ht="15.75" x14ac:dyDescent="0.25">
      <c r="A9" s="207" t="s">
        <v>257</v>
      </c>
      <c r="F9" s="206"/>
      <c r="G9" s="206"/>
      <c r="H9" s="206"/>
      <c r="I9" s="206"/>
      <c r="J9" s="206"/>
      <c r="K9" s="206"/>
      <c r="L9" s="206"/>
      <c r="M9" s="206"/>
      <c r="N9" s="206"/>
      <c r="O9" s="206"/>
      <c r="P9" s="206"/>
      <c r="Q9" s="206"/>
      <c r="R9" s="206"/>
      <c r="S9" s="206"/>
    </row>
    <row r="10" spans="1:19" ht="17.25" x14ac:dyDescent="0.35">
      <c r="A10" s="245" t="s">
        <v>102</v>
      </c>
      <c r="B10" s="83">
        <v>16000</v>
      </c>
      <c r="C10" s="83">
        <v>16574</v>
      </c>
      <c r="D10" s="83">
        <f>+C10-B10</f>
        <v>574</v>
      </c>
      <c r="E10" s="83"/>
      <c r="F10" s="83">
        <v>20000</v>
      </c>
      <c r="G10" s="83">
        <v>19587</v>
      </c>
      <c r="H10" s="83">
        <f>+G10-F10</f>
        <v>-413</v>
      </c>
      <c r="I10" s="83"/>
      <c r="J10" s="83">
        <v>13000</v>
      </c>
      <c r="K10" s="83">
        <v>14062</v>
      </c>
      <c r="L10" s="83">
        <f>+K10-J10</f>
        <v>1062</v>
      </c>
      <c r="M10" s="83"/>
      <c r="N10" s="83">
        <f>B10+F10+J10</f>
        <v>49000</v>
      </c>
      <c r="O10" s="83">
        <f>C10+G10+K10</f>
        <v>50223</v>
      </c>
      <c r="P10" s="83">
        <f>+O10-N10</f>
        <v>1223</v>
      </c>
      <c r="Q10" s="206"/>
      <c r="R10" s="210" t="str">
        <f>IF(O10-'Enterprise Income Stmt Exh 7'!J11-'Enterprise Income Stmt Exh 7'!K11-'Enterprise Income Stmt Exh 7'!L11=0,"Yes",O10-'Enterprise Income Stmt Exh 7'!J11-'Enterprise Income Stmt Exh 7'!K11-'Enterprise Income Stmt Exh 7'!L11)</f>
        <v>Yes</v>
      </c>
      <c r="S10" s="211"/>
    </row>
    <row r="11" spans="1:19" ht="20.100000000000001" customHeight="1" x14ac:dyDescent="0.25">
      <c r="A11" s="244" t="s">
        <v>307</v>
      </c>
      <c r="B11" s="213"/>
      <c r="C11" s="213"/>
      <c r="D11" s="213"/>
      <c r="E11" s="213"/>
      <c r="F11" s="213"/>
      <c r="G11" s="213"/>
      <c r="H11" s="213"/>
      <c r="I11" s="213"/>
      <c r="J11" s="213"/>
      <c r="K11" s="213"/>
      <c r="L11" s="213"/>
      <c r="M11" s="213"/>
      <c r="N11" s="213"/>
      <c r="O11" s="213"/>
      <c r="P11" s="213"/>
      <c r="Q11" s="206"/>
      <c r="R11" s="211"/>
      <c r="S11" s="211"/>
    </row>
    <row r="12" spans="1:19" ht="15" x14ac:dyDescent="0.2">
      <c r="A12" s="245" t="s">
        <v>144</v>
      </c>
      <c r="B12" s="212" t="s">
        <v>49</v>
      </c>
      <c r="C12" s="212">
        <v>15147</v>
      </c>
      <c r="D12" s="71" t="s">
        <v>49</v>
      </c>
      <c r="E12" s="71"/>
      <c r="F12" s="71" t="s">
        <v>49</v>
      </c>
      <c r="G12" s="212">
        <f>17901</f>
        <v>17901</v>
      </c>
      <c r="H12" s="71" t="s">
        <v>49</v>
      </c>
      <c r="I12" s="71"/>
      <c r="J12" s="71" t="s">
        <v>49</v>
      </c>
      <c r="K12" s="212">
        <f>12851</f>
        <v>12851</v>
      </c>
      <c r="L12" s="71" t="s">
        <v>49</v>
      </c>
      <c r="M12" s="71"/>
      <c r="N12" s="71"/>
      <c r="O12" s="212">
        <f>C12+G12+K12</f>
        <v>45899</v>
      </c>
      <c r="P12" s="71"/>
      <c r="Q12" s="206"/>
      <c r="R12" s="210" t="str">
        <f>IF(O12-SUM('Enterprise Income Stmt Exh 7'!J17:'Enterprise Income Stmt Exh 7'!L17)=0,"Yes",O12-SUM('Enterprise Income Stmt Exh 7'!J17:'Enterprise Income Stmt Exh 7'!L17))</f>
        <v>Yes</v>
      </c>
      <c r="S12" s="211"/>
    </row>
    <row r="13" spans="1:19" ht="15" x14ac:dyDescent="0.2">
      <c r="A13" s="245" t="s">
        <v>105</v>
      </c>
      <c r="B13" s="212" t="s">
        <v>49</v>
      </c>
      <c r="C13" s="212">
        <f>3913+365</f>
        <v>4278</v>
      </c>
      <c r="D13" s="71" t="s">
        <v>49</v>
      </c>
      <c r="E13" s="71"/>
      <c r="F13" s="71" t="s">
        <v>49</v>
      </c>
      <c r="G13" s="212">
        <f>4625+618</f>
        <v>5243</v>
      </c>
      <c r="H13" s="71" t="s">
        <v>49</v>
      </c>
      <c r="I13" s="71"/>
      <c r="J13" s="71" t="s">
        <v>49</v>
      </c>
      <c r="K13" s="212">
        <f>3321+423</f>
        <v>3744</v>
      </c>
      <c r="L13" s="71" t="s">
        <v>49</v>
      </c>
      <c r="M13" s="71"/>
      <c r="N13" s="71"/>
      <c r="O13" s="212">
        <f>C13+G13+K13</f>
        <v>13265</v>
      </c>
      <c r="P13" s="71"/>
      <c r="Q13" s="206"/>
      <c r="R13" s="210" t="s">
        <v>301</v>
      </c>
      <c r="S13" s="211"/>
    </row>
    <row r="14" spans="1:19" ht="15" x14ac:dyDescent="0.2">
      <c r="A14" s="245" t="s">
        <v>107</v>
      </c>
      <c r="B14" s="212" t="s">
        <v>49</v>
      </c>
      <c r="C14" s="212">
        <v>50</v>
      </c>
      <c r="D14" s="71" t="s">
        <v>49</v>
      </c>
      <c r="E14" s="71"/>
      <c r="F14" s="71" t="s">
        <v>49</v>
      </c>
      <c r="G14" s="212">
        <v>60</v>
      </c>
      <c r="H14" s="71" t="s">
        <v>49</v>
      </c>
      <c r="I14" s="71"/>
      <c r="J14" s="71" t="s">
        <v>49</v>
      </c>
      <c r="K14" s="212">
        <v>43</v>
      </c>
      <c r="L14" s="71" t="s">
        <v>49</v>
      </c>
      <c r="M14" s="71"/>
      <c r="N14" s="71"/>
      <c r="O14" s="212">
        <f>C14+G14+K14</f>
        <v>153</v>
      </c>
      <c r="P14" s="71"/>
      <c r="Q14" s="206"/>
      <c r="R14" s="210" t="str">
        <f>IF(O14-SUM('Enterprise Income Stmt Exh 7'!J21:'Enterprise Income Stmt Exh 7'!L21)=0,"Yes",O14-SUM('Enterprise Income Stmt Exh 7'!J21:'Enterprise Income Stmt Exh 7'!L21))</f>
        <v>Yes</v>
      </c>
      <c r="S14" s="211"/>
    </row>
    <row r="15" spans="1:19" ht="15" x14ac:dyDescent="0.2">
      <c r="A15" s="245" t="s">
        <v>50</v>
      </c>
      <c r="B15" s="212" t="s">
        <v>49</v>
      </c>
      <c r="C15" s="212">
        <v>4610</v>
      </c>
      <c r="D15" s="71" t="s">
        <v>49</v>
      </c>
      <c r="E15" s="71"/>
      <c r="F15" s="71" t="s">
        <v>49</v>
      </c>
      <c r="G15" s="212">
        <v>5448</v>
      </c>
      <c r="H15" s="71" t="s">
        <v>49</v>
      </c>
      <c r="I15" s="71"/>
      <c r="J15" s="71" t="s">
        <v>49</v>
      </c>
      <c r="K15" s="212">
        <v>3912</v>
      </c>
      <c r="L15" s="71" t="s">
        <v>49</v>
      </c>
      <c r="M15" s="71"/>
      <c r="N15" s="71"/>
      <c r="O15" s="212">
        <f>C15+G15+K15</f>
        <v>13970</v>
      </c>
      <c r="P15" s="71"/>
      <c r="Q15" s="206"/>
      <c r="R15" s="210" t="str">
        <f>IF(O15-SUM('Enterprise Income Stmt Exh 7'!J23:'Enterprise Income Stmt Exh 7'!L23)=0,"Yes",O15-SUM('Enterprise Income Stmt Exh 7'!J23:'Enterprise Income Stmt Exh 7'!L23))</f>
        <v>Yes</v>
      </c>
      <c r="S15" s="211"/>
    </row>
    <row r="16" spans="1:19" ht="17.25" x14ac:dyDescent="0.35">
      <c r="A16" s="245" t="s">
        <v>91</v>
      </c>
      <c r="B16" s="34" t="s">
        <v>49</v>
      </c>
      <c r="C16" s="214">
        <v>27</v>
      </c>
      <c r="D16" s="34" t="s">
        <v>49</v>
      </c>
      <c r="E16" s="34"/>
      <c r="F16" s="34" t="s">
        <v>49</v>
      </c>
      <c r="G16" s="214">
        <v>32</v>
      </c>
      <c r="H16" s="34" t="s">
        <v>49</v>
      </c>
      <c r="I16" s="34"/>
      <c r="J16" s="34" t="s">
        <v>49</v>
      </c>
      <c r="K16" s="214">
        <v>23</v>
      </c>
      <c r="L16" s="34" t="s">
        <v>49</v>
      </c>
      <c r="M16" s="34"/>
      <c r="N16" s="34" t="s">
        <v>49</v>
      </c>
      <c r="O16" s="214">
        <f>C16+G16+K16</f>
        <v>82</v>
      </c>
      <c r="P16" s="34" t="s">
        <v>49</v>
      </c>
      <c r="Q16" s="206"/>
      <c r="R16" s="210" t="str">
        <f>IF(O16-SUM('Enterprise Income Stmt Exh 7'!J24:'Enterprise Income Stmt Exh 7'!L24)=0,"Yes",O16-SUM('Enterprise Income Stmt Exh 7'!J24:'Enterprise Income Stmt Exh 7'!L24))</f>
        <v>Yes</v>
      </c>
      <c r="S16" s="211"/>
    </row>
    <row r="17" spans="1:19" ht="15" x14ac:dyDescent="0.2">
      <c r="A17" s="246" t="s">
        <v>126</v>
      </c>
      <c r="B17" s="212">
        <v>25000</v>
      </c>
      <c r="C17" s="71">
        <f>SUM(C12:C16)</f>
        <v>24112</v>
      </c>
      <c r="D17" s="71">
        <f>+B17-C17</f>
        <v>888</v>
      </c>
      <c r="E17" s="71"/>
      <c r="F17" s="212">
        <v>30000</v>
      </c>
      <c r="G17" s="71">
        <f>SUM(G12:G16)</f>
        <v>28684</v>
      </c>
      <c r="H17" s="71">
        <f>+F17-G17</f>
        <v>1316</v>
      </c>
      <c r="I17" s="71"/>
      <c r="J17" s="212">
        <v>20000</v>
      </c>
      <c r="K17" s="71">
        <f>SUM(K12:K16)</f>
        <v>20573</v>
      </c>
      <c r="L17" s="71">
        <f>+J17-K17</f>
        <v>-573</v>
      </c>
      <c r="M17" s="71"/>
      <c r="N17" s="212">
        <f>B17+F17+J17</f>
        <v>75000</v>
      </c>
      <c r="O17" s="71">
        <f>SUM(O12:O16)</f>
        <v>73369</v>
      </c>
      <c r="P17" s="71">
        <f>+N17-O17</f>
        <v>1631</v>
      </c>
      <c r="Q17" s="206"/>
      <c r="R17" s="211"/>
      <c r="S17" s="211"/>
    </row>
    <row r="18" spans="1:19" ht="20.100000000000001" customHeight="1" x14ac:dyDescent="0.35">
      <c r="A18" s="247" t="s">
        <v>17</v>
      </c>
      <c r="B18" s="214">
        <v>10000</v>
      </c>
      <c r="C18" s="214">
        <v>2735</v>
      </c>
      <c r="D18" s="34">
        <f>+B18-C18</f>
        <v>7265</v>
      </c>
      <c r="E18" s="34"/>
      <c r="F18" s="214">
        <v>12000</v>
      </c>
      <c r="G18" s="214">
        <v>3232</v>
      </c>
      <c r="H18" s="34">
        <f>+F18-G18</f>
        <v>8768</v>
      </c>
      <c r="I18" s="34"/>
      <c r="J18" s="214">
        <v>8000</v>
      </c>
      <c r="K18" s="214">
        <v>2320</v>
      </c>
      <c r="L18" s="34">
        <f>+J18-K18</f>
        <v>5680</v>
      </c>
      <c r="M18" s="34"/>
      <c r="N18" s="34">
        <f>B18+F18+J18</f>
        <v>30000</v>
      </c>
      <c r="O18" s="214">
        <f>C18+G18+K18</f>
        <v>8287</v>
      </c>
      <c r="P18" s="34">
        <f>+N18-O18</f>
        <v>21713</v>
      </c>
      <c r="Q18" s="206"/>
      <c r="R18" s="210"/>
      <c r="S18" s="211"/>
    </row>
    <row r="19" spans="1:19" ht="17.25" x14ac:dyDescent="0.35">
      <c r="A19" s="248" t="s">
        <v>18</v>
      </c>
      <c r="B19" s="34">
        <f>+B18+B17</f>
        <v>35000</v>
      </c>
      <c r="C19" s="34">
        <f>+C18+C17</f>
        <v>26847</v>
      </c>
      <c r="D19" s="34">
        <f>+D17+D18</f>
        <v>8153</v>
      </c>
      <c r="E19" s="34"/>
      <c r="F19" s="34">
        <f>+F18+F17</f>
        <v>42000</v>
      </c>
      <c r="G19" s="34">
        <f>+G18+G17</f>
        <v>31916</v>
      </c>
      <c r="H19" s="34">
        <f>+H17+H18</f>
        <v>10084</v>
      </c>
      <c r="I19" s="34"/>
      <c r="J19" s="34">
        <f>+J18+J17</f>
        <v>28000</v>
      </c>
      <c r="K19" s="34">
        <f>+K18+K17</f>
        <v>22893</v>
      </c>
      <c r="L19" s="34">
        <f>+L17+L18</f>
        <v>5107</v>
      </c>
      <c r="M19" s="34"/>
      <c r="N19" s="34">
        <f>+N18+N17</f>
        <v>105000</v>
      </c>
      <c r="O19" s="34">
        <f>+O18+O17</f>
        <v>81656</v>
      </c>
      <c r="P19" s="34">
        <f>+P17+P18</f>
        <v>23344</v>
      </c>
      <c r="Q19" s="206"/>
      <c r="R19" s="211"/>
      <c r="S19" s="211"/>
    </row>
    <row r="20" spans="1:19" ht="24.95" customHeight="1" x14ac:dyDescent="0.2">
      <c r="A20" s="256" t="s">
        <v>310</v>
      </c>
      <c r="B20" s="250">
        <f>+B10-B19</f>
        <v>-19000</v>
      </c>
      <c r="C20" s="250">
        <f>+C10-C19</f>
        <v>-10273</v>
      </c>
      <c r="D20" s="250">
        <f>+C20-B20</f>
        <v>8727</v>
      </c>
      <c r="E20" s="250"/>
      <c r="F20" s="250">
        <f>+F10-F19</f>
        <v>-22000</v>
      </c>
      <c r="G20" s="250">
        <f>+G10-G19</f>
        <v>-12329</v>
      </c>
      <c r="H20" s="250">
        <f>+G20-F20</f>
        <v>9671</v>
      </c>
      <c r="I20" s="250"/>
      <c r="J20" s="250">
        <f>+J10-J19</f>
        <v>-15000</v>
      </c>
      <c r="K20" s="250">
        <f>+K10-K19</f>
        <v>-8831</v>
      </c>
      <c r="L20" s="250">
        <f>+K20-J20</f>
        <v>6169</v>
      </c>
      <c r="M20" s="250"/>
      <c r="N20" s="250">
        <f>+N10-N19</f>
        <v>-56000</v>
      </c>
      <c r="O20" s="250">
        <f>+O10-O19</f>
        <v>-31433</v>
      </c>
      <c r="P20" s="250">
        <f>+O20-N20</f>
        <v>24567</v>
      </c>
      <c r="Q20" s="249"/>
      <c r="R20" s="251"/>
      <c r="S20" s="211"/>
    </row>
    <row r="21" spans="1:19" ht="15.75" x14ac:dyDescent="0.25">
      <c r="A21" s="252" t="s">
        <v>309</v>
      </c>
      <c r="B21" s="213"/>
      <c r="C21" s="213"/>
      <c r="D21" s="213"/>
      <c r="E21" s="213"/>
      <c r="F21" s="213"/>
      <c r="G21" s="213"/>
      <c r="H21" s="213"/>
      <c r="I21" s="213"/>
      <c r="J21" s="213"/>
      <c r="K21" s="213"/>
      <c r="L21" s="213"/>
      <c r="M21" s="213"/>
      <c r="N21" s="213"/>
      <c r="O21" s="213"/>
      <c r="P21" s="213"/>
      <c r="Q21" s="206"/>
      <c r="R21" s="211"/>
      <c r="S21" s="211"/>
    </row>
    <row r="22" spans="1:19" ht="16.5" customHeight="1" x14ac:dyDescent="0.35">
      <c r="A22" s="245" t="s">
        <v>108</v>
      </c>
      <c r="B22" s="214">
        <v>19000</v>
      </c>
      <c r="C22" s="214">
        <v>15296</v>
      </c>
      <c r="D22" s="214">
        <f>+C22-B22</f>
        <v>-3704</v>
      </c>
      <c r="E22" s="214"/>
      <c r="F22" s="214">
        <v>22222</v>
      </c>
      <c r="G22" s="214">
        <v>18077</v>
      </c>
      <c r="H22" s="214">
        <f>+G22-F22</f>
        <v>-4145</v>
      </c>
      <c r="I22" s="214"/>
      <c r="J22" s="214">
        <v>15000</v>
      </c>
      <c r="K22" s="214">
        <v>12978</v>
      </c>
      <c r="L22" s="34">
        <f>+J22-K22</f>
        <v>2022</v>
      </c>
      <c r="M22" s="34"/>
      <c r="N22" s="34">
        <v>56000</v>
      </c>
      <c r="O22" s="214">
        <f>C22+G22+K22</f>
        <v>46351</v>
      </c>
      <c r="P22" s="34">
        <f>+O22-N22</f>
        <v>-9649</v>
      </c>
      <c r="Q22" s="206"/>
      <c r="R22" s="210" t="str">
        <f>IF(O22-SUM('Enterprise Income Stmt Exh 7'!J29:'Enterprise Income Stmt Exh 7'!L29)=0,"Yes",O22-SUM('Enterprise Income Stmt Exh 7'!J29:'Enterprise Income Stmt Exh 7'!L29))</f>
        <v>Yes</v>
      </c>
      <c r="S22" s="211"/>
    </row>
    <row r="23" spans="1:19" ht="17.25" hidden="1" x14ac:dyDescent="0.35">
      <c r="A23" s="245" t="s">
        <v>311</v>
      </c>
      <c r="B23" s="214">
        <v>0</v>
      </c>
      <c r="C23" s="214">
        <v>0</v>
      </c>
      <c r="D23" s="214">
        <f>+C23-B23</f>
        <v>0</v>
      </c>
      <c r="E23" s="214"/>
      <c r="F23" s="214">
        <v>0</v>
      </c>
      <c r="G23" s="214">
        <v>0</v>
      </c>
      <c r="H23" s="214">
        <f>+G23-F23</f>
        <v>0</v>
      </c>
      <c r="I23" s="214"/>
      <c r="J23" s="214">
        <v>0</v>
      </c>
      <c r="K23" s="214">
        <v>0</v>
      </c>
      <c r="L23" s="34">
        <f>+K23-J23</f>
        <v>0</v>
      </c>
      <c r="M23" s="34"/>
      <c r="N23" s="34">
        <v>0</v>
      </c>
      <c r="O23" s="34">
        <v>0</v>
      </c>
      <c r="P23" s="34">
        <f>+O23-N23</f>
        <v>0</v>
      </c>
      <c r="Q23" s="215"/>
      <c r="R23" s="210" t="str">
        <f>IF(O23-'Enterprise Income Stmt Exh 7'!B33=0,"Yes",O23-'Enterprise Income Stmt Exh 7'!B33)</f>
        <v>Yes</v>
      </c>
      <c r="S23" s="211"/>
    </row>
    <row r="24" spans="1:19" ht="17.25" x14ac:dyDescent="0.35">
      <c r="A24" s="246" t="s">
        <v>145</v>
      </c>
      <c r="B24" s="34">
        <f t="shared" ref="B24:P24" si="0">SUM(B22:B23)</f>
        <v>19000</v>
      </c>
      <c r="C24" s="34">
        <f t="shared" si="0"/>
        <v>15296</v>
      </c>
      <c r="D24" s="34">
        <f t="shared" si="0"/>
        <v>-3704</v>
      </c>
      <c r="E24" s="34"/>
      <c r="F24" s="34">
        <v>22000</v>
      </c>
      <c r="G24" s="34">
        <f t="shared" si="0"/>
        <v>18077</v>
      </c>
      <c r="H24" s="34">
        <f t="shared" si="0"/>
        <v>-4145</v>
      </c>
      <c r="I24" s="34"/>
      <c r="J24" s="34">
        <f t="shared" si="0"/>
        <v>15000</v>
      </c>
      <c r="K24" s="34">
        <f t="shared" si="0"/>
        <v>12978</v>
      </c>
      <c r="L24" s="34">
        <f t="shared" si="0"/>
        <v>2022</v>
      </c>
      <c r="M24" s="34"/>
      <c r="N24" s="34">
        <f t="shared" si="0"/>
        <v>56000</v>
      </c>
      <c r="O24" s="34">
        <f t="shared" si="0"/>
        <v>46351</v>
      </c>
      <c r="P24" s="34">
        <f t="shared" si="0"/>
        <v>-9649</v>
      </c>
      <c r="Q24" s="206"/>
      <c r="R24" s="211"/>
      <c r="S24" s="211"/>
    </row>
    <row r="25" spans="1:19" ht="35.1" customHeight="1" x14ac:dyDescent="0.35">
      <c r="A25" s="224" t="s">
        <v>256</v>
      </c>
      <c r="B25" s="37">
        <f>+B20+B24</f>
        <v>0</v>
      </c>
      <c r="C25" s="212">
        <f>+C20+C24</f>
        <v>5023</v>
      </c>
      <c r="D25" s="37">
        <f>+D24+D20</f>
        <v>5023</v>
      </c>
      <c r="E25" s="37"/>
      <c r="F25" s="37">
        <f>+F20+F24</f>
        <v>0</v>
      </c>
      <c r="G25" s="212">
        <f>+G20+G24</f>
        <v>5748</v>
      </c>
      <c r="H25" s="37">
        <f>+H24+H20</f>
        <v>5526</v>
      </c>
      <c r="I25" s="37"/>
      <c r="J25" s="37">
        <f>+J20+J24</f>
        <v>0</v>
      </c>
      <c r="K25" s="212">
        <f>+K20+K24</f>
        <v>4147</v>
      </c>
      <c r="L25" s="37">
        <f>+L24+L20</f>
        <v>8191</v>
      </c>
      <c r="M25" s="37"/>
      <c r="N25" s="49">
        <f>+N20+N24</f>
        <v>0</v>
      </c>
      <c r="O25" s="212">
        <f>+O20+O24</f>
        <v>14918</v>
      </c>
      <c r="P25" s="37">
        <f>+P24+P20</f>
        <v>14918</v>
      </c>
      <c r="Q25" s="206"/>
      <c r="R25" s="211"/>
      <c r="S25" s="211"/>
    </row>
    <row r="26" spans="1:19" ht="5.0999999999999996" customHeight="1" x14ac:dyDescent="0.2">
      <c r="A26" s="206"/>
      <c r="B26" s="213"/>
      <c r="C26" s="213"/>
      <c r="D26" s="213"/>
      <c r="E26" s="213"/>
      <c r="F26" s="213"/>
      <c r="G26" s="213"/>
      <c r="H26" s="213"/>
      <c r="I26" s="213"/>
      <c r="J26" s="213"/>
      <c r="K26" s="213"/>
      <c r="L26" s="213"/>
      <c r="M26" s="213"/>
      <c r="N26" s="213"/>
      <c r="O26" s="213"/>
      <c r="P26" s="213"/>
      <c r="Q26" s="206"/>
      <c r="R26" s="211"/>
      <c r="S26" s="211"/>
    </row>
    <row r="27" spans="1:19" ht="33" customHeight="1" x14ac:dyDescent="0.2">
      <c r="A27" s="228" t="s">
        <v>267</v>
      </c>
      <c r="B27" s="213"/>
      <c r="C27" s="213"/>
      <c r="D27" s="213"/>
      <c r="E27" s="213"/>
      <c r="F27" s="213"/>
      <c r="G27" s="213"/>
      <c r="H27" s="213"/>
      <c r="I27" s="213"/>
      <c r="J27" s="213"/>
      <c r="K27" s="213"/>
      <c r="L27" s="213"/>
      <c r="M27" s="213"/>
      <c r="N27" s="213"/>
      <c r="O27" s="213"/>
      <c r="P27" s="213"/>
      <c r="Q27" s="206"/>
      <c r="R27" s="211"/>
      <c r="S27" s="211"/>
    </row>
    <row r="28" spans="1:19" ht="17.25" customHeight="1" x14ac:dyDescent="0.2">
      <c r="A28" s="245" t="s">
        <v>53</v>
      </c>
      <c r="B28" s="213"/>
      <c r="C28" s="212"/>
      <c r="D28" s="213"/>
      <c r="E28" s="213"/>
      <c r="F28" s="213"/>
      <c r="G28" s="212"/>
      <c r="H28" s="213"/>
      <c r="I28" s="213"/>
      <c r="J28" s="213"/>
      <c r="K28" s="212"/>
      <c r="L28" s="213"/>
      <c r="M28" s="213"/>
      <c r="N28" s="213"/>
      <c r="O28" s="212"/>
      <c r="P28" s="213"/>
      <c r="Q28" s="206"/>
      <c r="R28" s="211"/>
      <c r="S28" s="211"/>
    </row>
    <row r="29" spans="1:19" ht="15" x14ac:dyDescent="0.2">
      <c r="A29" s="246" t="s">
        <v>106</v>
      </c>
      <c r="B29" s="213"/>
      <c r="C29" s="212">
        <v>-37</v>
      </c>
      <c r="D29" s="71" t="s">
        <v>49</v>
      </c>
      <c r="E29" s="71"/>
      <c r="F29" s="71" t="s">
        <v>49</v>
      </c>
      <c r="G29" s="212">
        <v>-44</v>
      </c>
      <c r="H29" s="71" t="s">
        <v>49</v>
      </c>
      <c r="I29" s="71"/>
      <c r="J29" s="71" t="s">
        <v>49</v>
      </c>
      <c r="K29" s="212">
        <v>-32</v>
      </c>
      <c r="L29" s="213"/>
      <c r="M29" s="213"/>
      <c r="N29" s="213"/>
      <c r="O29" s="212">
        <f>C29+G29+K29</f>
        <v>-113</v>
      </c>
      <c r="P29" s="213"/>
      <c r="Q29" s="206"/>
      <c r="R29" s="210" t="str">
        <f>IF(O29+SUM('Enterprise Income Stmt Exh 7'!J20:'Enterprise Income Stmt Exh 7'!L20)=0,"Yes",O29+SUM('Enterprise Income Stmt Exh 7'!J20:'Enterprise Income Stmt Exh 7'!L20))</f>
        <v>Yes</v>
      </c>
      <c r="S29" s="211"/>
    </row>
    <row r="30" spans="1:19" ht="15" x14ac:dyDescent="0.2">
      <c r="A30" s="246" t="s">
        <v>26</v>
      </c>
      <c r="B30" s="213"/>
      <c r="C30" s="212">
        <v>-315</v>
      </c>
      <c r="D30" s="71" t="s">
        <v>49</v>
      </c>
      <c r="E30" s="71"/>
      <c r="F30" s="71" t="s">
        <v>49</v>
      </c>
      <c r="G30" s="212">
        <v>-372</v>
      </c>
      <c r="H30" s="71" t="s">
        <v>49</v>
      </c>
      <c r="I30" s="71"/>
      <c r="J30" s="71" t="s">
        <v>49</v>
      </c>
      <c r="K30" s="212">
        <v>-266</v>
      </c>
      <c r="L30" s="213"/>
      <c r="M30" s="213"/>
      <c r="N30" s="213"/>
      <c r="O30" s="212">
        <f>C30+G30+K30</f>
        <v>-953</v>
      </c>
      <c r="P30" s="213"/>
      <c r="Q30" s="206"/>
      <c r="R30" s="210" t="str">
        <f>IF(-O30-SUM('Enterprise Income Stmt Exh 7'!J22:'Enterprise Income Stmt Exh 7'!L22)=0,"Yes",-O30-SUM('Enterprise Income Stmt Exh 7'!J22:'Enterprise Income Stmt Exh 7'!L22))</f>
        <v>Yes</v>
      </c>
      <c r="S30" s="211"/>
    </row>
    <row r="31" spans="1:19" ht="15" x14ac:dyDescent="0.2">
      <c r="A31" s="246" t="s">
        <v>17</v>
      </c>
      <c r="B31" s="213"/>
      <c r="C31" s="212">
        <f>+C18</f>
        <v>2735</v>
      </c>
      <c r="D31" s="71" t="s">
        <v>49</v>
      </c>
      <c r="E31" s="71"/>
      <c r="F31" s="71" t="s">
        <v>49</v>
      </c>
      <c r="G31" s="212">
        <f>+G18</f>
        <v>3232</v>
      </c>
      <c r="H31" s="71" t="s">
        <v>49</v>
      </c>
      <c r="I31" s="71"/>
      <c r="J31" s="71" t="s">
        <v>49</v>
      </c>
      <c r="K31" s="212">
        <f>+K18</f>
        <v>2320</v>
      </c>
      <c r="L31" s="213"/>
      <c r="M31" s="213"/>
      <c r="N31" s="213"/>
      <c r="O31" s="212">
        <f>C31+G31+K31</f>
        <v>8287</v>
      </c>
      <c r="P31" s="213"/>
      <c r="Q31" s="206"/>
      <c r="R31" s="211" t="str">
        <f>IF(O31-O18=0,"Yes",O31-O18)</f>
        <v>Yes</v>
      </c>
      <c r="S31" s="211"/>
    </row>
    <row r="32" spans="1:19" ht="17.25" x14ac:dyDescent="0.35">
      <c r="A32" s="246" t="s">
        <v>151</v>
      </c>
      <c r="B32" s="213"/>
      <c r="C32" s="214">
        <v>365</v>
      </c>
      <c r="D32" s="71" t="s">
        <v>49</v>
      </c>
      <c r="E32" s="71"/>
      <c r="F32" s="71" t="s">
        <v>49</v>
      </c>
      <c r="G32" s="214">
        <v>618</v>
      </c>
      <c r="H32" s="71" t="s">
        <v>49</v>
      </c>
      <c r="I32" s="71"/>
      <c r="J32" s="71" t="s">
        <v>49</v>
      </c>
      <c r="K32" s="214">
        <v>423</v>
      </c>
      <c r="L32" s="213"/>
      <c r="M32" s="213"/>
      <c r="N32" s="213"/>
      <c r="O32" s="214">
        <f>C32+G32+K32</f>
        <v>1406</v>
      </c>
      <c r="P32" s="213"/>
      <c r="Q32" s="206"/>
      <c r="R32" s="211" t="str">
        <f>IF(O32-O13+SUM('Enterprise Income Stmt Exh 7'!J19:'Enterprise Income Stmt Exh 7'!L19)=0,"Yes",O32-O13+SUM('Enterprise Income Stmt Exh 7'!J19:'Enterprise Income Stmt Exh 7'!L19))</f>
        <v>Yes</v>
      </c>
      <c r="S32" s="211"/>
    </row>
    <row r="33" spans="1:19" ht="21.95" customHeight="1" x14ac:dyDescent="0.35">
      <c r="A33" s="253" t="s">
        <v>174</v>
      </c>
      <c r="B33" s="213"/>
      <c r="C33" s="212">
        <f>SUM(C25:C32)</f>
        <v>7771</v>
      </c>
      <c r="D33" s="213"/>
      <c r="E33" s="213"/>
      <c r="F33" s="213"/>
      <c r="G33" s="212">
        <f>SUM(G25:G32)</f>
        <v>9182</v>
      </c>
      <c r="H33" s="213"/>
      <c r="I33" s="213"/>
      <c r="J33" s="213"/>
      <c r="K33" s="212">
        <f>SUM(K25:K32)</f>
        <v>6592</v>
      </c>
      <c r="L33" s="213"/>
      <c r="M33" s="213"/>
      <c r="N33" s="213"/>
      <c r="O33" s="37">
        <f>SUM(O25:O32)</f>
        <v>23545</v>
      </c>
      <c r="P33" s="213"/>
      <c r="Q33" s="206"/>
      <c r="R33" s="210" t="str">
        <f>IF(O33-SUM('Enterprise Income Stmt Exh 7'!J34:'Enterprise Income Stmt Exh 7'!L34)=0,"Yes",O33-SUM('Enterprise Income Stmt Exh 7'!J34:'Enterprise Income Stmt Exh 7'!L34))</f>
        <v>Yes</v>
      </c>
      <c r="S33" s="211"/>
    </row>
    <row r="34" spans="1:19" ht="21.95" customHeight="1" x14ac:dyDescent="0.35">
      <c r="A34" s="56" t="s">
        <v>209</v>
      </c>
      <c r="B34" s="213"/>
      <c r="C34" s="254">
        <f>'Enterprise Income Stmt Exh 7'!J35</f>
        <v>6761</v>
      </c>
      <c r="D34" s="213"/>
      <c r="E34" s="213"/>
      <c r="F34" s="213"/>
      <c r="G34" s="254">
        <f>'Enterprise Income Stmt Exh 7'!K35</f>
        <v>7987</v>
      </c>
      <c r="H34" s="213"/>
      <c r="I34" s="213"/>
      <c r="J34" s="213"/>
      <c r="K34" s="254">
        <f>'Enterprise Income Stmt Exh 7'!L35</f>
        <v>5736</v>
      </c>
      <c r="L34" s="213"/>
      <c r="M34" s="213"/>
      <c r="N34" s="213"/>
      <c r="O34" s="213"/>
      <c r="P34" s="213"/>
      <c r="Q34" s="206"/>
      <c r="R34" s="211"/>
      <c r="S34" s="211"/>
    </row>
    <row r="35" spans="1:19" ht="20.100000000000001" customHeight="1" x14ac:dyDescent="0.35">
      <c r="A35" s="30" t="s">
        <v>210</v>
      </c>
      <c r="B35" s="213"/>
      <c r="C35" s="255">
        <f>C33+C34</f>
        <v>14532</v>
      </c>
      <c r="D35" s="213"/>
      <c r="E35" s="213"/>
      <c r="F35" s="213"/>
      <c r="G35" s="255">
        <f>G33+G34</f>
        <v>17169</v>
      </c>
      <c r="H35" s="213"/>
      <c r="I35" s="213"/>
      <c r="J35" s="213"/>
      <c r="K35" s="255">
        <f>K33+K34</f>
        <v>12328</v>
      </c>
      <c r="L35" s="213"/>
      <c r="M35" s="213"/>
      <c r="N35" s="213"/>
      <c r="O35" s="213"/>
      <c r="P35" s="213"/>
      <c r="Q35" s="206"/>
      <c r="R35" s="211"/>
      <c r="S35" s="211"/>
    </row>
    <row r="36" spans="1:19" ht="15" x14ac:dyDescent="0.2">
      <c r="A36" s="206"/>
      <c r="B36" s="213"/>
      <c r="C36" s="213"/>
      <c r="D36" s="213"/>
      <c r="E36" s="213"/>
      <c r="F36" s="213"/>
      <c r="G36" s="213"/>
      <c r="H36" s="213"/>
      <c r="I36" s="213"/>
      <c r="J36" s="213"/>
      <c r="K36" s="213"/>
      <c r="L36" s="213"/>
      <c r="M36" s="213"/>
      <c r="N36" s="213"/>
      <c r="O36" s="213"/>
      <c r="P36" s="213"/>
      <c r="Q36" s="206"/>
      <c r="R36" s="211"/>
      <c r="S36" s="211"/>
    </row>
    <row r="37" spans="1:19" ht="15" x14ac:dyDescent="0.2">
      <c r="A37" s="206"/>
      <c r="B37" s="213"/>
      <c r="C37" s="213"/>
      <c r="D37" s="213"/>
      <c r="E37" s="213"/>
      <c r="F37" s="213"/>
      <c r="G37" s="213"/>
      <c r="H37" s="213"/>
      <c r="I37" s="213"/>
      <c r="J37" s="213"/>
      <c r="K37" s="213"/>
      <c r="L37" s="213"/>
      <c r="M37" s="213"/>
      <c r="N37" s="213"/>
      <c r="O37" s="213"/>
      <c r="P37" s="213"/>
      <c r="Q37" s="206"/>
      <c r="R37" s="211"/>
      <c r="S37" s="211"/>
    </row>
    <row r="38" spans="1:19" ht="15" x14ac:dyDescent="0.2">
      <c r="A38" s="206"/>
      <c r="B38" s="206"/>
      <c r="C38" s="206"/>
      <c r="D38" s="206"/>
      <c r="E38" s="206"/>
      <c r="F38" s="206"/>
      <c r="G38" s="206"/>
      <c r="H38" s="206"/>
      <c r="I38" s="206"/>
      <c r="J38" s="206"/>
      <c r="K38" s="206"/>
      <c r="L38" s="206"/>
      <c r="M38" s="206"/>
      <c r="N38" s="206"/>
      <c r="O38" s="206"/>
      <c r="P38" s="206"/>
      <c r="Q38" s="206"/>
      <c r="R38" s="211"/>
      <c r="S38" s="211"/>
    </row>
    <row r="39" spans="1:19" ht="15" x14ac:dyDescent="0.2">
      <c r="A39" s="206"/>
      <c r="B39" s="206"/>
      <c r="C39" s="206"/>
      <c r="D39" s="206"/>
      <c r="E39" s="206"/>
      <c r="F39" s="206"/>
      <c r="G39" s="206"/>
      <c r="H39" s="206"/>
      <c r="I39" s="206"/>
      <c r="J39" s="206"/>
      <c r="K39" s="206"/>
      <c r="L39" s="206"/>
      <c r="M39" s="206"/>
      <c r="N39" s="206"/>
      <c r="O39" s="206"/>
      <c r="P39" s="206"/>
      <c r="Q39" s="206"/>
      <c r="R39" s="206"/>
      <c r="S39" s="206"/>
    </row>
    <row r="40" spans="1:19" ht="15" x14ac:dyDescent="0.2">
      <c r="A40" s="206"/>
      <c r="B40" s="206"/>
      <c r="C40" s="206"/>
      <c r="D40" s="206"/>
      <c r="E40" s="206"/>
      <c r="F40" s="206"/>
      <c r="G40" s="206"/>
      <c r="H40" s="206"/>
      <c r="I40" s="206"/>
      <c r="J40" s="206"/>
      <c r="K40" s="206"/>
      <c r="L40" s="206"/>
      <c r="M40" s="206"/>
      <c r="N40" s="206"/>
      <c r="O40" s="206"/>
      <c r="P40" s="206"/>
      <c r="Q40" s="206"/>
      <c r="R40" s="206"/>
      <c r="S40" s="206"/>
    </row>
    <row r="41" spans="1:19" ht="21.95" customHeight="1" x14ac:dyDescent="0.2">
      <c r="A41" s="242" t="s">
        <v>302</v>
      </c>
      <c r="B41" s="206"/>
      <c r="C41" s="206"/>
      <c r="D41" s="206"/>
      <c r="E41" s="206"/>
      <c r="F41" s="206"/>
      <c r="G41" s="206"/>
      <c r="H41" s="206"/>
      <c r="I41" s="206"/>
      <c r="J41" s="206"/>
      <c r="K41" s="206"/>
      <c r="L41" s="206"/>
      <c r="M41" s="206"/>
      <c r="N41" s="206"/>
      <c r="O41" s="251" t="str">
        <f>IF(C33+G33+K33-O33=0,"Yes",C33+G33+K33-O33)</f>
        <v>Yes</v>
      </c>
      <c r="P41" s="206"/>
      <c r="Q41" s="206"/>
      <c r="R41" s="206"/>
      <c r="S41" s="206"/>
    </row>
    <row r="42" spans="1:19" ht="21.95" customHeight="1" x14ac:dyDescent="0.2">
      <c r="A42" s="227" t="s">
        <v>269</v>
      </c>
      <c r="B42" s="206"/>
      <c r="C42" s="135" t="str">
        <f>IF(C33-'Enterprise Income Stmt Exh 7'!J34=0,"Yes",C33-'Enterprise Income Stmt Exh 7'!J34)</f>
        <v>Yes</v>
      </c>
      <c r="D42" s="206"/>
      <c r="E42" s="206"/>
      <c r="F42" s="206"/>
      <c r="G42" s="135" t="str">
        <f>IF(G33-'Enterprise Income Stmt Exh 7'!K34=0,"Yes",G33-'Enterprise Income Stmt Exh 7'!K34)</f>
        <v>Yes</v>
      </c>
      <c r="H42" s="206"/>
      <c r="I42" s="206"/>
      <c r="J42" s="206"/>
      <c r="K42" s="135" t="str">
        <f>IF(K33-'Enterprise Income Stmt Exh 7'!L34=0,"Yes",K33-'Enterprise Income Stmt Exh 7'!L34)</f>
        <v>Yes</v>
      </c>
      <c r="L42" s="206"/>
      <c r="M42" s="206"/>
      <c r="N42" s="206"/>
      <c r="O42" s="251" t="str">
        <f>IF(O33-SUM('Enterprise Income Stmt Exh 7'!J34:'Enterprise Income Stmt Exh 7'!L34)=0,"Yes",O33-O33-SUM('Enterprise Income Stmt Exh 7'!J34:'Enterprise Income Stmt Exh 7'!L34))</f>
        <v>Yes</v>
      </c>
      <c r="P42" s="206"/>
      <c r="Q42" s="206"/>
      <c r="R42" s="206"/>
      <c r="S42" s="206"/>
    </row>
    <row r="43" spans="1:19" ht="36" customHeight="1" x14ac:dyDescent="0.2">
      <c r="A43" s="175" t="s">
        <v>308</v>
      </c>
      <c r="B43" s="230"/>
      <c r="C43" s="251" t="str">
        <f>IF(C35-'Enterprise Income Stmt Exh 7'!J36=0,"Yes",C35-'Enterprise Income Stmt Exh 7'!J36)</f>
        <v>Yes</v>
      </c>
      <c r="D43" s="230"/>
      <c r="E43" s="230"/>
      <c r="F43" s="230"/>
      <c r="G43" s="251" t="str">
        <f>IF(G35-'Enterprise Income Stmt Exh 7'!K36=0,"Yes",G35-'Enterprise Income Stmt Exh 7'!K36)</f>
        <v>Yes</v>
      </c>
      <c r="H43" s="230"/>
      <c r="I43" s="230"/>
      <c r="J43" s="230"/>
      <c r="K43" s="251" t="str">
        <f>IF(K35-'Enterprise Income Stmt Exh 7'!L36=0,"Yes",K35-'Enterprise Income Stmt Exh 7'!L36)</f>
        <v>Yes</v>
      </c>
      <c r="L43" s="206"/>
      <c r="M43" s="206"/>
      <c r="N43" s="206"/>
      <c r="O43" s="216"/>
      <c r="P43" s="206"/>
      <c r="Q43" s="206"/>
      <c r="R43" s="206"/>
      <c r="S43" s="206"/>
    </row>
    <row r="44" spans="1:19" ht="21.95" customHeight="1" x14ac:dyDescent="0.2">
      <c r="A44" s="173" t="s">
        <v>306</v>
      </c>
      <c r="B44" s="134" t="str">
        <f>IF(B25=0,"Yes",B25)</f>
        <v>Yes</v>
      </c>
      <c r="C44" s="206"/>
      <c r="D44" s="206"/>
      <c r="E44" s="206"/>
      <c r="F44" s="134" t="str">
        <f>IF(F25=0,"Yes",F25)</f>
        <v>Yes</v>
      </c>
      <c r="G44" s="206"/>
      <c r="H44" s="206"/>
      <c r="I44" s="206"/>
      <c r="J44" s="134" t="str">
        <f>IF(J25=0,"Yes",J25)</f>
        <v>Yes</v>
      </c>
      <c r="K44" s="206"/>
      <c r="L44" s="206"/>
      <c r="M44" s="206"/>
      <c r="N44" s="86" t="str">
        <f>IF(N25=0,"Yes",N25)</f>
        <v>Yes</v>
      </c>
      <c r="O44" s="206"/>
      <c r="P44" s="206"/>
      <c r="Q44" s="206"/>
      <c r="R44" s="206"/>
      <c r="S44" s="206"/>
    </row>
    <row r="45" spans="1:19" ht="15" x14ac:dyDescent="0.2">
      <c r="A45" s="206"/>
      <c r="B45" s="206"/>
      <c r="C45" s="206"/>
      <c r="D45" s="206"/>
      <c r="E45" s="206"/>
      <c r="F45" s="206"/>
      <c r="G45" s="206"/>
      <c r="H45" s="206"/>
      <c r="I45" s="206"/>
      <c r="J45" s="206"/>
      <c r="K45" s="206"/>
      <c r="L45" s="206"/>
      <c r="M45" s="206"/>
      <c r="N45" s="206"/>
      <c r="O45" s="206"/>
      <c r="P45" s="206"/>
      <c r="Q45" s="206"/>
      <c r="R45" s="206"/>
      <c r="S45" s="206"/>
    </row>
    <row r="46" spans="1:19" ht="15" x14ac:dyDescent="0.2">
      <c r="A46" s="79"/>
      <c r="B46" s="206"/>
      <c r="C46" s="206"/>
      <c r="D46" s="206"/>
      <c r="E46" s="206"/>
      <c r="F46" s="206"/>
      <c r="G46" s="206"/>
      <c r="H46" s="206"/>
      <c r="I46" s="206"/>
      <c r="J46" s="206"/>
      <c r="K46" s="206"/>
      <c r="L46" s="206"/>
      <c r="M46" s="206"/>
      <c r="N46" s="206"/>
      <c r="O46" s="206"/>
      <c r="P46" s="206"/>
      <c r="Q46" s="206"/>
      <c r="R46" s="206"/>
      <c r="S46" s="206"/>
    </row>
    <row r="47" spans="1:19" ht="15" x14ac:dyDescent="0.2">
      <c r="L47" s="206"/>
      <c r="M47" s="206"/>
      <c r="N47" s="206"/>
      <c r="O47" s="206"/>
      <c r="P47" s="206"/>
      <c r="Q47" s="206"/>
      <c r="R47" s="206"/>
      <c r="S47" s="206"/>
    </row>
    <row r="48" spans="1:19" ht="15" x14ac:dyDescent="0.2">
      <c r="A48" s="206"/>
      <c r="B48" s="206"/>
      <c r="C48" s="206"/>
      <c r="D48" s="206"/>
      <c r="E48" s="206"/>
      <c r="F48" s="206"/>
      <c r="G48" s="206"/>
      <c r="H48" s="206"/>
      <c r="I48" s="206"/>
      <c r="J48" s="206"/>
      <c r="K48" s="230"/>
      <c r="L48" s="206"/>
      <c r="M48" s="206"/>
      <c r="N48" s="206"/>
      <c r="O48" s="206"/>
      <c r="P48" s="206"/>
      <c r="Q48" s="206"/>
      <c r="R48" s="206"/>
      <c r="S48" s="206"/>
    </row>
    <row r="49" spans="1:19" ht="15" x14ac:dyDescent="0.2">
      <c r="A49" s="206"/>
      <c r="B49" s="206"/>
      <c r="C49" s="206"/>
      <c r="D49" s="206"/>
      <c r="E49" s="206"/>
      <c r="F49" s="206"/>
      <c r="G49" s="206"/>
      <c r="H49" s="206"/>
      <c r="I49" s="206"/>
      <c r="J49" s="206"/>
      <c r="K49" s="206"/>
      <c r="L49" s="206"/>
      <c r="M49" s="206"/>
      <c r="N49" s="206"/>
      <c r="O49" s="206"/>
      <c r="P49" s="206"/>
      <c r="Q49" s="206"/>
      <c r="R49" s="206"/>
      <c r="S49" s="206"/>
    </row>
    <row r="50" spans="1:19" ht="15" x14ac:dyDescent="0.2">
      <c r="A50" s="206"/>
      <c r="B50" s="206"/>
      <c r="C50" s="206"/>
      <c r="D50" s="206"/>
      <c r="E50" s="206"/>
      <c r="F50" s="206"/>
      <c r="G50" s="206"/>
      <c r="H50" s="206"/>
      <c r="I50" s="206"/>
      <c r="J50" s="206"/>
      <c r="K50" s="206"/>
      <c r="L50" s="206"/>
      <c r="M50" s="206"/>
      <c r="N50" s="206"/>
      <c r="O50" s="206"/>
      <c r="P50" s="206"/>
      <c r="Q50" s="206"/>
      <c r="R50" s="206"/>
      <c r="S50" s="206"/>
    </row>
    <row r="51" spans="1:19" ht="15" x14ac:dyDescent="0.2">
      <c r="A51" s="206"/>
      <c r="B51" s="206"/>
      <c r="C51" s="206"/>
      <c r="D51" s="206"/>
      <c r="E51" s="206"/>
      <c r="F51" s="206"/>
      <c r="G51" s="206"/>
      <c r="H51" s="206"/>
      <c r="I51" s="206"/>
      <c r="J51" s="206"/>
      <c r="K51" s="206"/>
      <c r="L51" s="206"/>
      <c r="M51" s="206"/>
      <c r="N51" s="206"/>
      <c r="O51" s="206"/>
      <c r="P51" s="206"/>
      <c r="Q51" s="206"/>
      <c r="R51" s="206"/>
      <c r="S51" s="206"/>
    </row>
    <row r="52" spans="1:19" ht="15" x14ac:dyDescent="0.2">
      <c r="A52" s="206"/>
      <c r="B52" s="206"/>
      <c r="C52" s="206"/>
      <c r="D52" s="206"/>
      <c r="E52" s="206"/>
      <c r="F52" s="206"/>
      <c r="G52" s="206"/>
      <c r="H52" s="206"/>
      <c r="I52" s="206"/>
      <c r="J52" s="206"/>
      <c r="K52" s="206"/>
      <c r="L52" s="206"/>
      <c r="M52" s="206"/>
      <c r="N52" s="206"/>
      <c r="O52" s="206"/>
      <c r="P52" s="206"/>
      <c r="Q52" s="206"/>
      <c r="R52" s="206"/>
      <c r="S52" s="206"/>
    </row>
    <row r="53" spans="1:19" ht="15" x14ac:dyDescent="0.2">
      <c r="A53" s="206"/>
      <c r="B53" s="206"/>
      <c r="C53" s="206"/>
      <c r="D53" s="206"/>
      <c r="E53" s="206"/>
      <c r="F53" s="206"/>
      <c r="G53" s="206"/>
      <c r="H53" s="206"/>
      <c r="I53" s="206"/>
      <c r="J53" s="206"/>
      <c r="K53" s="206"/>
      <c r="L53" s="206"/>
      <c r="M53" s="206"/>
      <c r="N53" s="206"/>
      <c r="O53" s="206"/>
      <c r="P53" s="206"/>
      <c r="Q53" s="206"/>
      <c r="R53" s="206"/>
      <c r="S53" s="206"/>
    </row>
    <row r="54" spans="1:19" ht="15" x14ac:dyDescent="0.2">
      <c r="A54" s="206"/>
      <c r="B54" s="206"/>
      <c r="C54" s="206"/>
      <c r="D54" s="206"/>
      <c r="E54" s="206"/>
      <c r="F54" s="206"/>
      <c r="G54" s="206"/>
      <c r="H54" s="206"/>
      <c r="I54" s="206"/>
      <c r="J54" s="206"/>
      <c r="K54" s="206"/>
      <c r="L54" s="206"/>
      <c r="M54" s="206"/>
      <c r="N54" s="206"/>
      <c r="O54" s="206"/>
      <c r="P54" s="206"/>
      <c r="Q54" s="206"/>
      <c r="R54" s="206"/>
      <c r="S54" s="206"/>
    </row>
    <row r="55" spans="1:19" ht="15" x14ac:dyDescent="0.2">
      <c r="A55" s="206"/>
      <c r="B55" s="206"/>
      <c r="C55" s="206"/>
      <c r="D55" s="206"/>
      <c r="E55" s="206"/>
      <c r="F55" s="206"/>
      <c r="G55" s="206"/>
      <c r="H55" s="206"/>
      <c r="I55" s="206"/>
      <c r="J55" s="206"/>
      <c r="K55" s="206"/>
      <c r="L55" s="206"/>
      <c r="M55" s="206"/>
      <c r="N55" s="206"/>
      <c r="O55" s="206"/>
      <c r="P55" s="206"/>
      <c r="Q55" s="206"/>
      <c r="R55" s="206"/>
      <c r="S55" s="206"/>
    </row>
    <row r="56" spans="1:19" ht="15" x14ac:dyDescent="0.2">
      <c r="A56" s="206"/>
      <c r="B56" s="206"/>
      <c r="C56" s="206"/>
      <c r="D56" s="206"/>
      <c r="E56" s="206"/>
      <c r="F56" s="206"/>
      <c r="G56" s="206"/>
      <c r="H56" s="206"/>
      <c r="I56" s="206"/>
      <c r="J56" s="206"/>
      <c r="K56" s="206"/>
      <c r="L56" s="206"/>
      <c r="M56" s="206"/>
      <c r="N56" s="206"/>
      <c r="O56" s="206"/>
      <c r="P56" s="206"/>
      <c r="Q56" s="206"/>
      <c r="R56" s="206"/>
      <c r="S56" s="206"/>
    </row>
    <row r="57" spans="1:19" ht="15" x14ac:dyDescent="0.2">
      <c r="A57" s="206"/>
      <c r="B57" s="206"/>
      <c r="C57" s="206"/>
      <c r="D57" s="206"/>
      <c r="E57" s="206"/>
      <c r="F57" s="206"/>
      <c r="G57" s="206"/>
      <c r="H57" s="206"/>
      <c r="I57" s="206"/>
      <c r="J57" s="206"/>
      <c r="K57" s="206"/>
      <c r="L57" s="206"/>
      <c r="M57" s="206"/>
      <c r="N57" s="206"/>
      <c r="O57" s="206"/>
      <c r="P57" s="206"/>
      <c r="Q57" s="206"/>
      <c r="R57" s="206"/>
      <c r="S57" s="206"/>
    </row>
    <row r="58" spans="1:19" ht="15" x14ac:dyDescent="0.2">
      <c r="A58" s="206"/>
      <c r="B58" s="206"/>
      <c r="C58" s="206"/>
      <c r="D58" s="206"/>
      <c r="E58" s="206"/>
      <c r="F58" s="206"/>
      <c r="G58" s="206"/>
      <c r="H58" s="206"/>
      <c r="I58" s="206"/>
      <c r="J58" s="206"/>
      <c r="K58" s="206"/>
      <c r="L58" s="206"/>
      <c r="M58" s="206"/>
      <c r="N58" s="206"/>
      <c r="O58" s="206"/>
      <c r="P58" s="206"/>
      <c r="Q58" s="206"/>
      <c r="R58" s="206"/>
      <c r="S58" s="206"/>
    </row>
    <row r="59" spans="1:19" ht="15" x14ac:dyDescent="0.2">
      <c r="A59" s="206"/>
      <c r="B59" s="206"/>
      <c r="C59" s="206"/>
      <c r="D59" s="206"/>
      <c r="E59" s="206"/>
      <c r="F59" s="206"/>
      <c r="G59" s="206"/>
      <c r="H59" s="206"/>
      <c r="I59" s="206"/>
      <c r="J59" s="206"/>
      <c r="K59" s="206"/>
      <c r="L59" s="206"/>
      <c r="M59" s="206"/>
      <c r="N59" s="206"/>
      <c r="O59" s="206"/>
      <c r="P59" s="206"/>
      <c r="Q59" s="206"/>
      <c r="R59" s="206"/>
      <c r="S59" s="206"/>
    </row>
    <row r="60" spans="1:19" ht="15" x14ac:dyDescent="0.2">
      <c r="A60" s="206"/>
      <c r="B60" s="206"/>
      <c r="C60" s="206"/>
      <c r="D60" s="206"/>
      <c r="E60" s="206"/>
      <c r="F60" s="206"/>
      <c r="G60" s="206"/>
      <c r="H60" s="206"/>
      <c r="I60" s="206"/>
      <c r="J60" s="206"/>
      <c r="K60" s="206"/>
      <c r="L60" s="206"/>
      <c r="M60" s="206"/>
      <c r="N60" s="206"/>
      <c r="O60" s="206"/>
      <c r="P60" s="206"/>
      <c r="Q60" s="206"/>
      <c r="R60" s="206"/>
      <c r="S60" s="206"/>
    </row>
    <row r="61" spans="1:19" ht="15" x14ac:dyDescent="0.2">
      <c r="A61" s="206"/>
      <c r="B61" s="206"/>
      <c r="C61" s="206"/>
      <c r="D61" s="206"/>
      <c r="E61" s="206"/>
      <c r="F61" s="206"/>
      <c r="G61" s="206"/>
      <c r="H61" s="206"/>
      <c r="I61" s="206"/>
      <c r="J61" s="206"/>
      <c r="K61" s="206"/>
      <c r="L61" s="206"/>
      <c r="M61" s="206"/>
      <c r="N61" s="206"/>
      <c r="O61" s="206"/>
      <c r="P61" s="206"/>
      <c r="Q61" s="206"/>
      <c r="R61" s="206"/>
      <c r="S61" s="206"/>
    </row>
    <row r="62" spans="1:19" ht="15" x14ac:dyDescent="0.2">
      <c r="A62" s="206"/>
      <c r="B62" s="206"/>
      <c r="C62" s="206"/>
      <c r="D62" s="206"/>
      <c r="E62" s="206"/>
      <c r="F62" s="206"/>
      <c r="G62" s="206"/>
      <c r="H62" s="206"/>
      <c r="I62" s="206"/>
      <c r="J62" s="206"/>
      <c r="K62" s="206"/>
      <c r="L62" s="206"/>
      <c r="M62" s="206"/>
      <c r="N62" s="206"/>
      <c r="O62" s="206"/>
      <c r="P62" s="206"/>
      <c r="Q62" s="206"/>
      <c r="R62" s="206"/>
      <c r="S62" s="206"/>
    </row>
    <row r="63" spans="1:19" ht="15" x14ac:dyDescent="0.2">
      <c r="A63" s="206"/>
      <c r="B63" s="206"/>
      <c r="C63" s="206"/>
      <c r="D63" s="206"/>
      <c r="E63" s="206"/>
      <c r="F63" s="206"/>
      <c r="G63" s="206"/>
      <c r="H63" s="206"/>
      <c r="I63" s="206"/>
      <c r="J63" s="206"/>
      <c r="K63" s="206"/>
      <c r="L63" s="206"/>
      <c r="M63" s="206"/>
      <c r="N63" s="206"/>
      <c r="O63" s="206"/>
      <c r="P63" s="206"/>
      <c r="Q63" s="206"/>
      <c r="R63" s="206"/>
      <c r="S63" s="206"/>
    </row>
    <row r="64" spans="1:19" ht="15" x14ac:dyDescent="0.2">
      <c r="A64" s="206"/>
      <c r="B64" s="206"/>
      <c r="C64" s="206"/>
      <c r="D64" s="206"/>
      <c r="E64" s="206"/>
      <c r="F64" s="206"/>
      <c r="G64" s="206"/>
      <c r="H64" s="206"/>
      <c r="I64" s="206"/>
      <c r="J64" s="206"/>
      <c r="K64" s="206"/>
      <c r="L64" s="206"/>
      <c r="M64" s="206"/>
      <c r="N64" s="206"/>
      <c r="O64" s="206"/>
      <c r="P64" s="206"/>
      <c r="Q64" s="206"/>
      <c r="R64" s="206"/>
      <c r="S64" s="206"/>
    </row>
    <row r="65" spans="1:19" ht="15" x14ac:dyDescent="0.2">
      <c r="A65" s="206"/>
      <c r="B65" s="206"/>
      <c r="C65" s="206"/>
      <c r="D65" s="206"/>
      <c r="E65" s="206"/>
      <c r="F65" s="206"/>
      <c r="G65" s="206"/>
      <c r="H65" s="206"/>
      <c r="I65" s="206"/>
      <c r="J65" s="206"/>
      <c r="K65" s="206"/>
      <c r="L65" s="206"/>
      <c r="M65" s="206"/>
      <c r="N65" s="206"/>
      <c r="O65" s="206"/>
      <c r="P65" s="206"/>
      <c r="Q65" s="206"/>
      <c r="R65" s="206"/>
      <c r="S65" s="206"/>
    </row>
    <row r="66" spans="1:19" ht="15" x14ac:dyDescent="0.2">
      <c r="A66" s="206"/>
      <c r="B66" s="206"/>
      <c r="C66" s="206"/>
      <c r="D66" s="206"/>
      <c r="E66" s="206"/>
      <c r="F66" s="206"/>
      <c r="G66" s="206"/>
      <c r="H66" s="206"/>
      <c r="I66" s="206"/>
      <c r="J66" s="206"/>
      <c r="K66" s="206"/>
      <c r="L66" s="206"/>
      <c r="M66" s="206"/>
      <c r="N66" s="206"/>
      <c r="O66" s="206"/>
      <c r="P66" s="206"/>
      <c r="Q66" s="206"/>
      <c r="R66" s="206"/>
      <c r="S66" s="206"/>
    </row>
    <row r="67" spans="1:19" ht="15" x14ac:dyDescent="0.2">
      <c r="A67" s="206"/>
      <c r="B67" s="206"/>
      <c r="C67" s="206"/>
      <c r="D67" s="206"/>
      <c r="E67" s="206"/>
      <c r="F67" s="206"/>
      <c r="G67" s="206"/>
      <c r="H67" s="206"/>
      <c r="I67" s="206"/>
      <c r="J67" s="206"/>
      <c r="K67" s="206"/>
      <c r="L67" s="206"/>
      <c r="M67" s="206"/>
      <c r="N67" s="206"/>
      <c r="O67" s="206"/>
      <c r="P67" s="206"/>
      <c r="Q67" s="206"/>
      <c r="R67" s="206"/>
      <c r="S67" s="206"/>
    </row>
    <row r="68" spans="1:19" ht="15" x14ac:dyDescent="0.2">
      <c r="A68" s="206"/>
      <c r="B68" s="206"/>
      <c r="C68" s="206"/>
      <c r="D68" s="206"/>
      <c r="E68" s="206"/>
      <c r="F68" s="206"/>
      <c r="G68" s="206"/>
      <c r="H68" s="206"/>
      <c r="I68" s="206"/>
      <c r="J68" s="206"/>
      <c r="K68" s="206"/>
      <c r="L68" s="206"/>
      <c r="M68" s="206"/>
      <c r="N68" s="206"/>
      <c r="O68" s="206"/>
      <c r="P68" s="206"/>
      <c r="Q68" s="206"/>
      <c r="R68" s="206"/>
      <c r="S68" s="206"/>
    </row>
    <row r="69" spans="1:19" ht="15" x14ac:dyDescent="0.2">
      <c r="A69" s="206"/>
      <c r="B69" s="206"/>
      <c r="C69" s="206"/>
      <c r="D69" s="206"/>
      <c r="E69" s="206"/>
      <c r="F69" s="206"/>
      <c r="G69" s="206"/>
      <c r="H69" s="206"/>
      <c r="I69" s="206"/>
      <c r="J69" s="206"/>
      <c r="K69" s="206"/>
      <c r="L69" s="206"/>
      <c r="M69" s="206"/>
      <c r="N69" s="206"/>
      <c r="O69" s="206"/>
      <c r="P69" s="206"/>
      <c r="Q69" s="206"/>
      <c r="R69" s="206"/>
      <c r="S69" s="206"/>
    </row>
    <row r="70" spans="1:19" ht="15" x14ac:dyDescent="0.2">
      <c r="A70" s="206"/>
      <c r="B70" s="206"/>
      <c r="C70" s="206"/>
      <c r="D70" s="206"/>
      <c r="E70" s="206"/>
      <c r="F70" s="206"/>
      <c r="G70" s="206"/>
      <c r="H70" s="206"/>
      <c r="I70" s="206"/>
      <c r="J70" s="206"/>
      <c r="K70" s="206"/>
      <c r="L70" s="206"/>
      <c r="M70" s="206"/>
      <c r="N70" s="206"/>
      <c r="O70" s="206"/>
      <c r="P70" s="206"/>
      <c r="Q70" s="206"/>
      <c r="R70" s="206"/>
      <c r="S70" s="206"/>
    </row>
    <row r="71" spans="1:19" ht="15" x14ac:dyDescent="0.2">
      <c r="A71" s="206"/>
      <c r="B71" s="206"/>
      <c r="C71" s="206"/>
      <c r="D71" s="206"/>
      <c r="E71" s="206"/>
      <c r="F71" s="206"/>
      <c r="G71" s="206"/>
      <c r="H71" s="206"/>
      <c r="I71" s="206"/>
      <c r="J71" s="206"/>
      <c r="K71" s="206"/>
      <c r="L71" s="206"/>
      <c r="M71" s="206"/>
      <c r="N71" s="206"/>
      <c r="O71" s="206"/>
      <c r="P71" s="206"/>
      <c r="Q71" s="206"/>
      <c r="R71" s="206"/>
      <c r="S71" s="206"/>
    </row>
    <row r="72" spans="1:19" ht="15" x14ac:dyDescent="0.2">
      <c r="A72" s="206"/>
      <c r="B72" s="206"/>
      <c r="C72" s="206"/>
      <c r="D72" s="206"/>
      <c r="E72" s="206"/>
      <c r="F72" s="206"/>
      <c r="G72" s="206"/>
      <c r="H72" s="206"/>
      <c r="I72" s="206"/>
      <c r="J72" s="206"/>
      <c r="K72" s="206"/>
      <c r="L72" s="206"/>
      <c r="M72" s="206"/>
      <c r="N72" s="206"/>
      <c r="O72" s="206"/>
      <c r="P72" s="206"/>
      <c r="Q72" s="206"/>
      <c r="R72" s="206"/>
      <c r="S72" s="206"/>
    </row>
    <row r="73" spans="1:19" ht="15" x14ac:dyDescent="0.2">
      <c r="A73" s="206"/>
      <c r="B73" s="206"/>
      <c r="C73" s="206"/>
      <c r="D73" s="206"/>
      <c r="E73" s="206"/>
      <c r="F73" s="206"/>
      <c r="G73" s="206"/>
      <c r="H73" s="206"/>
      <c r="I73" s="206"/>
      <c r="J73" s="206"/>
      <c r="K73" s="206"/>
      <c r="L73" s="206"/>
      <c r="M73" s="206"/>
      <c r="N73" s="206"/>
      <c r="O73" s="206"/>
      <c r="P73" s="206"/>
      <c r="Q73" s="206"/>
      <c r="R73" s="206"/>
      <c r="S73" s="206"/>
    </row>
    <row r="74" spans="1:19" ht="15" x14ac:dyDescent="0.2">
      <c r="A74" s="206"/>
      <c r="B74" s="206"/>
      <c r="C74" s="206"/>
      <c r="D74" s="206"/>
      <c r="E74" s="206"/>
      <c r="F74" s="206"/>
      <c r="G74" s="206"/>
      <c r="H74" s="206"/>
      <c r="I74" s="206"/>
      <c r="J74" s="206"/>
      <c r="K74" s="206"/>
      <c r="L74" s="206"/>
      <c r="M74" s="206"/>
      <c r="N74" s="206"/>
      <c r="O74" s="206"/>
      <c r="P74" s="206"/>
      <c r="Q74" s="206"/>
      <c r="R74" s="206"/>
      <c r="S74" s="206"/>
    </row>
    <row r="75" spans="1:19" ht="15" x14ac:dyDescent="0.2">
      <c r="A75" s="206"/>
      <c r="B75" s="206"/>
      <c r="C75" s="206"/>
      <c r="D75" s="206"/>
      <c r="E75" s="206"/>
      <c r="F75" s="206"/>
      <c r="G75" s="206"/>
      <c r="H75" s="206"/>
      <c r="I75" s="206"/>
      <c r="J75" s="206"/>
      <c r="K75" s="206"/>
      <c r="L75" s="206"/>
      <c r="M75" s="206"/>
      <c r="N75" s="206"/>
      <c r="O75" s="206"/>
      <c r="P75" s="206"/>
      <c r="Q75" s="206"/>
      <c r="R75" s="206"/>
      <c r="S75" s="206"/>
    </row>
    <row r="76" spans="1:19" ht="15" x14ac:dyDescent="0.2">
      <c r="A76" s="206"/>
      <c r="B76" s="206"/>
      <c r="C76" s="206"/>
      <c r="D76" s="206"/>
      <c r="E76" s="206"/>
      <c r="F76" s="206"/>
      <c r="G76" s="206"/>
      <c r="H76" s="206"/>
      <c r="I76" s="206"/>
      <c r="J76" s="206"/>
      <c r="K76" s="206"/>
      <c r="L76" s="206"/>
      <c r="M76" s="206"/>
      <c r="N76" s="206"/>
      <c r="O76" s="206"/>
      <c r="P76" s="206"/>
      <c r="Q76" s="206"/>
      <c r="R76" s="206"/>
      <c r="S76" s="206"/>
    </row>
    <row r="77" spans="1:19" ht="15" x14ac:dyDescent="0.2">
      <c r="A77" s="206"/>
      <c r="B77" s="206"/>
      <c r="C77" s="206"/>
      <c r="D77" s="206"/>
      <c r="E77" s="206"/>
      <c r="F77" s="206"/>
      <c r="G77" s="206"/>
      <c r="H77" s="206"/>
      <c r="I77" s="206"/>
      <c r="J77" s="206"/>
      <c r="K77" s="206"/>
      <c r="L77" s="206"/>
      <c r="M77" s="206"/>
      <c r="N77" s="206"/>
      <c r="O77" s="206"/>
      <c r="P77" s="206"/>
      <c r="Q77" s="206"/>
      <c r="R77" s="206"/>
      <c r="S77" s="206"/>
    </row>
    <row r="78" spans="1:19" ht="15" x14ac:dyDescent="0.2">
      <c r="A78" s="206"/>
      <c r="B78" s="206"/>
      <c r="C78" s="206"/>
      <c r="D78" s="206"/>
      <c r="E78" s="206"/>
      <c r="F78" s="206"/>
      <c r="G78" s="206"/>
      <c r="H78" s="206"/>
      <c r="I78" s="206"/>
      <c r="J78" s="206"/>
      <c r="K78" s="206"/>
      <c r="L78" s="206"/>
      <c r="M78" s="206"/>
      <c r="N78" s="206"/>
      <c r="O78" s="206"/>
      <c r="P78" s="206"/>
      <c r="Q78" s="206"/>
      <c r="R78" s="206"/>
      <c r="S78" s="206"/>
    </row>
    <row r="79" spans="1:19" ht="15" x14ac:dyDescent="0.2">
      <c r="A79" s="206"/>
      <c r="B79" s="206"/>
      <c r="C79" s="206"/>
      <c r="D79" s="206"/>
      <c r="E79" s="206"/>
      <c r="F79" s="206"/>
      <c r="G79" s="206"/>
      <c r="H79" s="206"/>
      <c r="I79" s="206"/>
      <c r="J79" s="206"/>
      <c r="K79" s="206"/>
      <c r="L79" s="206"/>
      <c r="M79" s="206"/>
      <c r="N79" s="206"/>
      <c r="O79" s="206"/>
      <c r="P79" s="206"/>
      <c r="Q79" s="206"/>
      <c r="R79" s="206"/>
      <c r="S79" s="206"/>
    </row>
    <row r="80" spans="1:19" ht="15" x14ac:dyDescent="0.2">
      <c r="A80" s="206"/>
      <c r="B80" s="206"/>
      <c r="C80" s="206"/>
      <c r="D80" s="206"/>
      <c r="E80" s="206"/>
      <c r="F80" s="206"/>
      <c r="G80" s="206"/>
      <c r="H80" s="206"/>
      <c r="I80" s="206"/>
      <c r="J80" s="206"/>
      <c r="K80" s="206"/>
      <c r="L80" s="206"/>
      <c r="M80" s="206"/>
      <c r="N80" s="206"/>
      <c r="O80" s="206"/>
      <c r="P80" s="206"/>
      <c r="Q80" s="206"/>
      <c r="R80" s="206"/>
      <c r="S80" s="206"/>
    </row>
    <row r="81" spans="1:19" ht="15" x14ac:dyDescent="0.2">
      <c r="A81" s="206"/>
      <c r="B81" s="206"/>
      <c r="C81" s="206"/>
      <c r="D81" s="206"/>
      <c r="E81" s="206"/>
      <c r="F81" s="206"/>
      <c r="G81" s="206"/>
      <c r="H81" s="206"/>
      <c r="I81" s="206"/>
      <c r="J81" s="206"/>
      <c r="K81" s="206"/>
      <c r="L81" s="206"/>
      <c r="M81" s="206"/>
      <c r="N81" s="206"/>
      <c r="O81" s="206"/>
      <c r="P81" s="206"/>
      <c r="Q81" s="206"/>
      <c r="R81" s="206"/>
      <c r="S81" s="206"/>
    </row>
    <row r="82" spans="1:19" ht="15" x14ac:dyDescent="0.2">
      <c r="A82" s="206"/>
      <c r="B82" s="206"/>
      <c r="C82" s="206"/>
      <c r="D82" s="206"/>
      <c r="E82" s="206"/>
      <c r="F82" s="206"/>
      <c r="G82" s="206"/>
      <c r="H82" s="206"/>
      <c r="I82" s="206"/>
      <c r="J82" s="206"/>
      <c r="K82" s="206"/>
      <c r="L82" s="206"/>
      <c r="M82" s="206"/>
      <c r="N82" s="206"/>
      <c r="O82" s="206"/>
      <c r="P82" s="206"/>
      <c r="Q82" s="206"/>
      <c r="R82" s="206"/>
      <c r="S82" s="206"/>
    </row>
    <row r="83" spans="1:19" ht="15" x14ac:dyDescent="0.2">
      <c r="A83" s="206"/>
      <c r="B83" s="206"/>
      <c r="C83" s="206"/>
      <c r="D83" s="206"/>
      <c r="E83" s="206"/>
      <c r="F83" s="206"/>
      <c r="G83" s="206"/>
      <c r="H83" s="206"/>
      <c r="I83" s="206"/>
      <c r="J83" s="206"/>
      <c r="K83" s="206"/>
      <c r="L83" s="206"/>
      <c r="M83" s="206"/>
      <c r="N83" s="206"/>
      <c r="O83" s="206"/>
      <c r="P83" s="206"/>
      <c r="Q83" s="206"/>
      <c r="R83" s="206"/>
      <c r="S83" s="206"/>
    </row>
    <row r="84" spans="1:19" ht="15" x14ac:dyDescent="0.2">
      <c r="A84" s="206"/>
      <c r="B84" s="206"/>
      <c r="C84" s="206"/>
      <c r="D84" s="206"/>
      <c r="E84" s="206"/>
      <c r="F84" s="206"/>
      <c r="G84" s="206"/>
      <c r="H84" s="206"/>
      <c r="I84" s="206"/>
      <c r="J84" s="206"/>
      <c r="K84" s="206"/>
      <c r="L84" s="206"/>
      <c r="M84" s="206"/>
      <c r="N84" s="206"/>
      <c r="O84" s="206"/>
      <c r="P84" s="206"/>
      <c r="Q84" s="206"/>
      <c r="R84" s="206"/>
      <c r="S84" s="206"/>
    </row>
    <row r="85" spans="1:19" ht="15" x14ac:dyDescent="0.2">
      <c r="A85" s="206"/>
      <c r="B85" s="206"/>
      <c r="C85" s="206"/>
      <c r="D85" s="206"/>
      <c r="E85" s="206"/>
      <c r="F85" s="206"/>
      <c r="G85" s="206"/>
      <c r="H85" s="206"/>
      <c r="I85" s="206"/>
      <c r="J85" s="206"/>
      <c r="K85" s="206"/>
      <c r="L85" s="206"/>
      <c r="M85" s="206"/>
      <c r="N85" s="206"/>
      <c r="O85" s="206"/>
      <c r="P85" s="206"/>
      <c r="Q85" s="206"/>
      <c r="R85" s="206"/>
      <c r="S85" s="206"/>
    </row>
    <row r="86" spans="1:19" ht="15" x14ac:dyDescent="0.2">
      <c r="A86" s="206"/>
      <c r="B86" s="206"/>
      <c r="C86" s="206"/>
      <c r="D86" s="206"/>
      <c r="E86" s="206"/>
      <c r="F86" s="206"/>
      <c r="G86" s="206"/>
      <c r="H86" s="206"/>
      <c r="I86" s="206"/>
      <c r="J86" s="206"/>
      <c r="K86" s="206"/>
      <c r="L86" s="206"/>
      <c r="M86" s="206"/>
      <c r="N86" s="206"/>
      <c r="O86" s="206"/>
      <c r="P86" s="206"/>
      <c r="Q86" s="206"/>
      <c r="R86" s="206"/>
      <c r="S86" s="206"/>
    </row>
    <row r="87" spans="1:19" ht="15" x14ac:dyDescent="0.2">
      <c r="A87" s="206"/>
      <c r="B87" s="206"/>
      <c r="C87" s="206"/>
      <c r="D87" s="206"/>
      <c r="E87" s="206"/>
      <c r="F87" s="206"/>
      <c r="G87" s="206"/>
      <c r="H87" s="206"/>
      <c r="I87" s="206"/>
      <c r="J87" s="206"/>
      <c r="K87" s="206"/>
      <c r="L87" s="206"/>
      <c r="M87" s="206"/>
      <c r="N87" s="206"/>
      <c r="O87" s="206"/>
      <c r="P87" s="206"/>
      <c r="Q87" s="206"/>
      <c r="R87" s="206"/>
      <c r="S87" s="206"/>
    </row>
    <row r="88" spans="1:19" ht="15" x14ac:dyDescent="0.2">
      <c r="A88" s="206"/>
      <c r="B88" s="206"/>
      <c r="C88" s="206"/>
      <c r="D88" s="206"/>
      <c r="E88" s="206"/>
      <c r="F88" s="206"/>
      <c r="G88" s="206"/>
      <c r="H88" s="206"/>
      <c r="I88" s="206"/>
      <c r="J88" s="206"/>
      <c r="K88" s="206"/>
      <c r="L88" s="206"/>
      <c r="M88" s="206"/>
      <c r="N88" s="206"/>
      <c r="O88" s="206"/>
      <c r="P88" s="206"/>
      <c r="Q88" s="206"/>
      <c r="R88" s="206"/>
      <c r="S88" s="206"/>
    </row>
    <row r="89" spans="1:19" ht="15" x14ac:dyDescent="0.2">
      <c r="A89" s="206"/>
      <c r="B89" s="206"/>
      <c r="C89" s="206"/>
      <c r="D89" s="206"/>
      <c r="E89" s="206"/>
      <c r="F89" s="206"/>
      <c r="G89" s="206"/>
      <c r="H89" s="206"/>
      <c r="I89" s="206"/>
      <c r="J89" s="206"/>
      <c r="K89" s="206"/>
      <c r="L89" s="206"/>
      <c r="M89" s="206"/>
      <c r="N89" s="206"/>
      <c r="O89" s="206"/>
      <c r="P89" s="206"/>
      <c r="Q89" s="206"/>
      <c r="R89" s="206"/>
      <c r="S89" s="206"/>
    </row>
    <row r="90" spans="1:19" ht="15" x14ac:dyDescent="0.2">
      <c r="A90" s="206"/>
      <c r="B90" s="206"/>
      <c r="C90" s="206"/>
      <c r="D90" s="206"/>
      <c r="E90" s="206"/>
      <c r="F90" s="206"/>
      <c r="G90" s="206"/>
      <c r="H90" s="206"/>
      <c r="I90" s="206"/>
      <c r="J90" s="206"/>
      <c r="K90" s="206"/>
      <c r="L90" s="206"/>
      <c r="M90" s="206"/>
      <c r="N90" s="206"/>
      <c r="O90" s="206"/>
      <c r="P90" s="206"/>
      <c r="Q90" s="206"/>
      <c r="R90" s="206"/>
      <c r="S90" s="206"/>
    </row>
    <row r="91" spans="1:19" ht="15" x14ac:dyDescent="0.2">
      <c r="A91" s="206"/>
      <c r="B91" s="206"/>
      <c r="C91" s="206"/>
      <c r="D91" s="206"/>
      <c r="E91" s="206"/>
      <c r="F91" s="206"/>
      <c r="G91" s="206"/>
      <c r="H91" s="206"/>
      <c r="I91" s="206"/>
      <c r="J91" s="206"/>
      <c r="K91" s="206"/>
      <c r="L91" s="206"/>
      <c r="M91" s="206"/>
      <c r="N91" s="206"/>
      <c r="O91" s="206"/>
      <c r="P91" s="206"/>
      <c r="Q91" s="206"/>
      <c r="R91" s="206"/>
      <c r="S91" s="206"/>
    </row>
    <row r="92" spans="1:19" ht="15" x14ac:dyDescent="0.2">
      <c r="A92" s="206"/>
      <c r="B92" s="206"/>
      <c r="C92" s="206"/>
      <c r="D92" s="206"/>
      <c r="E92" s="206"/>
      <c r="F92" s="206"/>
      <c r="G92" s="206"/>
      <c r="H92" s="206"/>
      <c r="I92" s="206"/>
      <c r="J92" s="206"/>
      <c r="K92" s="206"/>
      <c r="L92" s="206"/>
      <c r="M92" s="206"/>
      <c r="N92" s="206"/>
      <c r="O92" s="206"/>
      <c r="P92" s="206"/>
      <c r="Q92" s="206"/>
      <c r="R92" s="206"/>
      <c r="S92" s="206"/>
    </row>
    <row r="93" spans="1:19" ht="15" x14ac:dyDescent="0.2">
      <c r="A93" s="206"/>
      <c r="B93" s="206"/>
      <c r="C93" s="206"/>
      <c r="D93" s="206"/>
      <c r="E93" s="206"/>
      <c r="F93" s="206"/>
      <c r="G93" s="206"/>
      <c r="H93" s="206"/>
      <c r="I93" s="206"/>
      <c r="J93" s="206"/>
      <c r="K93" s="206"/>
      <c r="L93" s="206"/>
      <c r="M93" s="206"/>
      <c r="N93" s="206"/>
      <c r="O93" s="206"/>
      <c r="P93" s="206"/>
      <c r="Q93" s="206"/>
      <c r="R93" s="206"/>
      <c r="S93" s="206"/>
    </row>
    <row r="94" spans="1:19" ht="15" x14ac:dyDescent="0.2">
      <c r="A94" s="206"/>
      <c r="B94" s="206"/>
      <c r="C94" s="206"/>
      <c r="D94" s="206"/>
      <c r="E94" s="206"/>
      <c r="F94" s="206"/>
      <c r="G94" s="206"/>
      <c r="H94" s="206"/>
      <c r="I94" s="206"/>
      <c r="J94" s="206"/>
      <c r="K94" s="206"/>
      <c r="L94" s="206"/>
      <c r="M94" s="206"/>
      <c r="N94" s="206"/>
      <c r="O94" s="206"/>
      <c r="P94" s="206"/>
      <c r="Q94" s="206"/>
      <c r="R94" s="206"/>
      <c r="S94" s="206"/>
    </row>
    <row r="95" spans="1:19" ht="15" x14ac:dyDescent="0.2">
      <c r="A95" s="206"/>
      <c r="B95" s="206"/>
      <c r="C95" s="206"/>
      <c r="D95" s="206"/>
      <c r="E95" s="206"/>
      <c r="F95" s="206"/>
      <c r="G95" s="206"/>
      <c r="H95" s="206"/>
      <c r="I95" s="206"/>
      <c r="J95" s="206"/>
      <c r="K95" s="206"/>
      <c r="L95" s="206"/>
      <c r="M95" s="206"/>
      <c r="N95" s="206"/>
      <c r="O95" s="206"/>
      <c r="P95" s="206"/>
      <c r="Q95" s="206"/>
      <c r="R95" s="206"/>
      <c r="S95" s="206"/>
    </row>
    <row r="96" spans="1:19" ht="15" x14ac:dyDescent="0.2">
      <c r="A96" s="206"/>
      <c r="B96" s="206"/>
      <c r="C96" s="206"/>
      <c r="D96" s="206"/>
      <c r="E96" s="206"/>
      <c r="F96" s="206"/>
      <c r="G96" s="206"/>
      <c r="H96" s="206"/>
      <c r="I96" s="206"/>
      <c r="J96" s="206"/>
      <c r="K96" s="206"/>
      <c r="L96" s="206"/>
      <c r="M96" s="206"/>
      <c r="N96" s="206"/>
      <c r="O96" s="206"/>
      <c r="P96" s="206"/>
      <c r="Q96" s="206"/>
      <c r="R96" s="206"/>
      <c r="S96" s="206"/>
    </row>
    <row r="97" spans="1:19" ht="15" x14ac:dyDescent="0.2">
      <c r="A97" s="206"/>
      <c r="B97" s="206"/>
      <c r="C97" s="206"/>
      <c r="D97" s="206"/>
      <c r="E97" s="206"/>
      <c r="F97" s="206"/>
      <c r="G97" s="206"/>
      <c r="H97" s="206"/>
      <c r="I97" s="206"/>
      <c r="J97" s="206"/>
      <c r="K97" s="206"/>
      <c r="L97" s="206"/>
      <c r="M97" s="206"/>
      <c r="N97" s="206"/>
      <c r="O97" s="206"/>
      <c r="P97" s="206"/>
      <c r="Q97" s="206"/>
      <c r="R97" s="206"/>
      <c r="S97" s="206"/>
    </row>
    <row r="98" spans="1:19" ht="15" x14ac:dyDescent="0.2">
      <c r="A98" s="206"/>
      <c r="B98" s="206"/>
      <c r="C98" s="206"/>
      <c r="D98" s="206"/>
      <c r="E98" s="206"/>
      <c r="F98" s="206"/>
      <c r="G98" s="206"/>
      <c r="H98" s="206"/>
      <c r="I98" s="206"/>
      <c r="J98" s="206"/>
      <c r="K98" s="206"/>
      <c r="L98" s="206"/>
      <c r="M98" s="206"/>
      <c r="N98" s="206"/>
      <c r="O98" s="206"/>
      <c r="P98" s="206"/>
      <c r="Q98" s="206"/>
      <c r="R98" s="206"/>
      <c r="S98" s="206"/>
    </row>
    <row r="99" spans="1:19" ht="15" x14ac:dyDescent="0.2">
      <c r="A99" s="206"/>
      <c r="B99" s="206"/>
      <c r="C99" s="206"/>
      <c r="D99" s="206"/>
      <c r="E99" s="206"/>
      <c r="F99" s="206"/>
      <c r="G99" s="206"/>
      <c r="H99" s="206"/>
      <c r="I99" s="206"/>
      <c r="J99" s="206"/>
      <c r="K99" s="206"/>
      <c r="L99" s="206"/>
      <c r="M99" s="206"/>
      <c r="N99" s="206"/>
      <c r="O99" s="206"/>
      <c r="P99" s="206"/>
      <c r="Q99" s="206"/>
      <c r="R99" s="206"/>
      <c r="S99" s="206"/>
    </row>
    <row r="100" spans="1:19" ht="15" x14ac:dyDescent="0.2">
      <c r="A100" s="206"/>
      <c r="B100" s="206"/>
      <c r="C100" s="206"/>
      <c r="D100" s="206"/>
      <c r="E100" s="206"/>
      <c r="F100" s="206"/>
      <c r="G100" s="206"/>
      <c r="H100" s="206"/>
      <c r="I100" s="206"/>
      <c r="J100" s="206"/>
      <c r="K100" s="206"/>
      <c r="L100" s="206"/>
      <c r="M100" s="206"/>
      <c r="N100" s="206"/>
      <c r="O100" s="206"/>
      <c r="P100" s="206"/>
      <c r="Q100" s="206"/>
      <c r="R100" s="206"/>
      <c r="S100" s="206"/>
    </row>
    <row r="101" spans="1:19" ht="15" x14ac:dyDescent="0.2">
      <c r="A101" s="206"/>
      <c r="B101" s="206"/>
      <c r="C101" s="206"/>
      <c r="D101" s="206"/>
      <c r="E101" s="206"/>
      <c r="F101" s="206"/>
      <c r="G101" s="206"/>
      <c r="H101" s="206"/>
      <c r="I101" s="206"/>
      <c r="J101" s="206"/>
      <c r="K101" s="206"/>
      <c r="L101" s="206"/>
      <c r="M101" s="206"/>
      <c r="N101" s="206"/>
      <c r="O101" s="206"/>
      <c r="P101" s="206"/>
      <c r="Q101" s="206"/>
      <c r="R101" s="206"/>
      <c r="S101" s="206"/>
    </row>
    <row r="102" spans="1:19" ht="15" x14ac:dyDescent="0.2">
      <c r="A102" s="206"/>
      <c r="B102" s="206"/>
      <c r="C102" s="206"/>
      <c r="D102" s="206"/>
      <c r="E102" s="206"/>
      <c r="F102" s="206"/>
      <c r="G102" s="206"/>
      <c r="H102" s="206"/>
      <c r="I102" s="206"/>
      <c r="J102" s="206"/>
      <c r="K102" s="206"/>
      <c r="L102" s="206"/>
      <c r="M102" s="206"/>
      <c r="N102" s="206"/>
      <c r="O102" s="206"/>
      <c r="P102" s="206"/>
      <c r="Q102" s="206"/>
      <c r="R102" s="206"/>
      <c r="S102" s="206"/>
    </row>
    <row r="103" spans="1:19" ht="15" x14ac:dyDescent="0.2">
      <c r="A103" s="206"/>
      <c r="B103" s="206"/>
      <c r="C103" s="206"/>
      <c r="D103" s="206"/>
      <c r="E103" s="206"/>
      <c r="F103" s="206"/>
      <c r="G103" s="206"/>
      <c r="H103" s="206"/>
      <c r="I103" s="206"/>
      <c r="J103" s="206"/>
      <c r="K103" s="206"/>
      <c r="L103" s="206"/>
      <c r="M103" s="206"/>
      <c r="N103" s="206"/>
      <c r="O103" s="206"/>
      <c r="P103" s="206"/>
      <c r="Q103" s="206"/>
      <c r="R103" s="206"/>
      <c r="S103" s="206"/>
    </row>
    <row r="104" spans="1:19" ht="15" x14ac:dyDescent="0.2">
      <c r="A104" s="206"/>
      <c r="B104" s="206"/>
      <c r="C104" s="206"/>
      <c r="D104" s="206"/>
      <c r="E104" s="206"/>
      <c r="F104" s="206"/>
      <c r="G104" s="206"/>
      <c r="H104" s="206"/>
      <c r="I104" s="206"/>
      <c r="J104" s="206"/>
      <c r="K104" s="206"/>
      <c r="L104" s="206"/>
      <c r="M104" s="206"/>
      <c r="N104" s="206"/>
      <c r="O104" s="206"/>
      <c r="P104" s="206"/>
      <c r="Q104" s="206"/>
      <c r="R104" s="206"/>
      <c r="S104" s="206"/>
    </row>
    <row r="105" spans="1:19" ht="15" x14ac:dyDescent="0.2">
      <c r="A105" s="206"/>
      <c r="B105" s="206"/>
      <c r="C105" s="206"/>
      <c r="D105" s="206"/>
      <c r="E105" s="206"/>
      <c r="F105" s="206"/>
      <c r="G105" s="206"/>
      <c r="H105" s="206"/>
      <c r="I105" s="206"/>
      <c r="J105" s="206"/>
      <c r="K105" s="206"/>
      <c r="L105" s="206"/>
      <c r="M105" s="206"/>
      <c r="N105" s="206"/>
      <c r="O105" s="206"/>
      <c r="P105" s="206"/>
      <c r="Q105" s="206"/>
      <c r="R105" s="206"/>
      <c r="S105" s="206"/>
    </row>
    <row r="106" spans="1:19" ht="15" x14ac:dyDescent="0.2">
      <c r="A106" s="206"/>
      <c r="B106" s="206"/>
      <c r="C106" s="206"/>
      <c r="D106" s="206"/>
      <c r="E106" s="206"/>
      <c r="F106" s="206"/>
      <c r="G106" s="206"/>
      <c r="H106" s="206"/>
      <c r="I106" s="206"/>
      <c r="J106" s="206"/>
      <c r="K106" s="206"/>
      <c r="L106" s="206"/>
      <c r="M106" s="206"/>
      <c r="N106" s="206"/>
      <c r="O106" s="206"/>
      <c r="P106" s="206"/>
      <c r="Q106" s="206"/>
      <c r="R106" s="206"/>
      <c r="S106" s="206"/>
    </row>
    <row r="107" spans="1:19" ht="15.75" x14ac:dyDescent="0.25">
      <c r="A107" s="16"/>
      <c r="B107" s="16"/>
      <c r="C107" s="16"/>
      <c r="D107" s="16"/>
      <c r="E107" s="16"/>
      <c r="F107" s="16"/>
      <c r="G107" s="16"/>
      <c r="H107" s="16"/>
      <c r="I107" s="16"/>
      <c r="J107" s="16"/>
      <c r="K107" s="16"/>
      <c r="L107" s="16"/>
      <c r="M107" s="16"/>
      <c r="N107" s="16"/>
      <c r="O107" s="16"/>
      <c r="P107" s="16"/>
      <c r="Q107" s="16"/>
      <c r="R107" s="16"/>
      <c r="S107" s="16"/>
    </row>
    <row r="108" spans="1:19" ht="15.75" x14ac:dyDescent="0.25">
      <c r="A108" s="16"/>
      <c r="B108" s="16"/>
      <c r="C108" s="16"/>
      <c r="D108" s="16"/>
      <c r="E108" s="16"/>
      <c r="F108" s="16"/>
      <c r="G108" s="16"/>
      <c r="H108" s="16"/>
      <c r="I108" s="16"/>
      <c r="J108" s="16"/>
      <c r="K108" s="16"/>
      <c r="L108" s="16"/>
      <c r="M108" s="16"/>
      <c r="N108" s="16"/>
      <c r="O108" s="16"/>
      <c r="P108" s="16"/>
      <c r="Q108" s="16"/>
      <c r="R108" s="16"/>
      <c r="S108" s="16"/>
    </row>
    <row r="109" spans="1:19" ht="15.75" x14ac:dyDescent="0.25">
      <c r="A109" s="16"/>
      <c r="B109" s="16"/>
      <c r="C109" s="16"/>
      <c r="D109" s="16"/>
      <c r="E109" s="16"/>
      <c r="F109" s="16"/>
      <c r="G109" s="16"/>
      <c r="H109" s="16"/>
      <c r="I109" s="16"/>
      <c r="J109" s="16"/>
      <c r="K109" s="16"/>
      <c r="L109" s="16"/>
      <c r="M109" s="16"/>
      <c r="N109" s="16"/>
      <c r="O109" s="16"/>
      <c r="P109" s="16"/>
      <c r="Q109" s="16"/>
      <c r="R109" s="16"/>
      <c r="S109" s="16"/>
    </row>
    <row r="110" spans="1:19" ht="15.75" x14ac:dyDescent="0.25">
      <c r="A110" s="16"/>
      <c r="B110" s="16"/>
      <c r="C110" s="16"/>
      <c r="D110" s="16"/>
      <c r="E110" s="16"/>
      <c r="F110" s="16"/>
      <c r="G110" s="16"/>
      <c r="H110" s="16"/>
      <c r="I110" s="16"/>
      <c r="J110" s="16"/>
      <c r="K110" s="16"/>
      <c r="L110" s="16"/>
      <c r="M110" s="16"/>
      <c r="N110" s="16"/>
      <c r="O110" s="16"/>
      <c r="P110" s="16"/>
      <c r="Q110" s="16"/>
      <c r="R110" s="16"/>
      <c r="S110" s="16"/>
    </row>
    <row r="111" spans="1:19" ht="15.75" x14ac:dyDescent="0.25">
      <c r="A111" s="16"/>
      <c r="B111" s="16"/>
      <c r="C111" s="16"/>
      <c r="D111" s="16"/>
      <c r="E111" s="16"/>
      <c r="F111" s="16"/>
      <c r="G111" s="16"/>
      <c r="H111" s="16"/>
      <c r="I111" s="16"/>
      <c r="J111" s="16"/>
      <c r="K111" s="16"/>
      <c r="L111" s="16"/>
      <c r="M111" s="16"/>
      <c r="N111" s="16"/>
      <c r="O111" s="16"/>
      <c r="P111" s="16"/>
      <c r="Q111" s="16"/>
      <c r="R111" s="16"/>
      <c r="S111" s="16"/>
    </row>
    <row r="112" spans="1:19" ht="15.75" x14ac:dyDescent="0.25">
      <c r="A112" s="16"/>
      <c r="B112" s="16"/>
      <c r="C112" s="16"/>
      <c r="D112" s="16"/>
      <c r="E112" s="16"/>
      <c r="F112" s="16"/>
      <c r="G112" s="16"/>
      <c r="H112" s="16"/>
      <c r="I112" s="16"/>
      <c r="J112" s="16"/>
      <c r="K112" s="16"/>
      <c r="L112" s="16"/>
      <c r="M112" s="16"/>
      <c r="N112" s="16"/>
      <c r="O112" s="16"/>
      <c r="P112" s="16"/>
      <c r="Q112" s="16"/>
      <c r="R112" s="16"/>
      <c r="S112" s="16"/>
    </row>
    <row r="113" spans="1:19" ht="15.75" x14ac:dyDescent="0.25">
      <c r="A113" s="16"/>
      <c r="B113" s="16"/>
      <c r="C113" s="16"/>
      <c r="D113" s="16"/>
      <c r="E113" s="16"/>
      <c r="F113" s="16"/>
      <c r="G113" s="16"/>
      <c r="H113" s="16"/>
      <c r="I113" s="16"/>
      <c r="J113" s="16"/>
      <c r="K113" s="16"/>
      <c r="L113" s="16"/>
      <c r="M113" s="16"/>
      <c r="N113" s="16"/>
      <c r="O113" s="16"/>
      <c r="P113" s="16"/>
      <c r="Q113" s="16"/>
      <c r="R113" s="16"/>
      <c r="S113" s="16"/>
    </row>
    <row r="114" spans="1:19" ht="15.75" x14ac:dyDescent="0.25">
      <c r="A114" s="16"/>
      <c r="B114" s="16"/>
      <c r="C114" s="16"/>
      <c r="D114" s="16"/>
      <c r="E114" s="16"/>
      <c r="F114" s="16"/>
      <c r="G114" s="16"/>
      <c r="H114" s="16"/>
      <c r="I114" s="16"/>
      <c r="J114" s="16"/>
      <c r="K114" s="16"/>
      <c r="L114" s="16"/>
      <c r="M114" s="16"/>
      <c r="N114" s="16"/>
      <c r="O114" s="16"/>
      <c r="P114" s="16"/>
      <c r="Q114" s="16"/>
      <c r="R114" s="16"/>
      <c r="S114" s="16"/>
    </row>
    <row r="115" spans="1:19" ht="15.75" x14ac:dyDescent="0.25">
      <c r="A115" s="16"/>
      <c r="B115" s="16"/>
      <c r="C115" s="16"/>
      <c r="D115" s="16"/>
      <c r="E115" s="16"/>
      <c r="F115" s="16"/>
      <c r="G115" s="16"/>
      <c r="H115" s="16"/>
      <c r="I115" s="16"/>
      <c r="J115" s="16"/>
      <c r="K115" s="16"/>
      <c r="L115" s="16"/>
      <c r="M115" s="16"/>
      <c r="N115" s="16"/>
      <c r="O115" s="16"/>
      <c r="P115" s="16"/>
      <c r="Q115" s="16"/>
      <c r="R115" s="16"/>
      <c r="S115" s="16"/>
    </row>
    <row r="116" spans="1:19" ht="15.75" x14ac:dyDescent="0.25">
      <c r="A116" s="16"/>
      <c r="B116" s="16"/>
      <c r="C116" s="16"/>
      <c r="D116" s="16"/>
      <c r="E116" s="16"/>
      <c r="F116" s="16"/>
      <c r="G116" s="16"/>
      <c r="H116" s="16"/>
      <c r="I116" s="16"/>
      <c r="J116" s="16"/>
      <c r="K116" s="16"/>
      <c r="L116" s="16"/>
      <c r="M116" s="16"/>
      <c r="N116" s="16"/>
      <c r="O116" s="16"/>
      <c r="P116" s="16"/>
      <c r="Q116" s="16"/>
      <c r="R116" s="16"/>
      <c r="S116" s="16"/>
    </row>
    <row r="117" spans="1:19" ht="15.75" x14ac:dyDescent="0.25">
      <c r="A117" s="16"/>
      <c r="B117" s="16"/>
      <c r="C117" s="16"/>
      <c r="D117" s="16"/>
      <c r="E117" s="16"/>
      <c r="F117" s="16"/>
      <c r="G117" s="16"/>
      <c r="H117" s="16"/>
      <c r="I117" s="16"/>
      <c r="J117" s="16"/>
      <c r="K117" s="16"/>
      <c r="L117" s="16"/>
      <c r="M117" s="16"/>
      <c r="N117" s="16"/>
      <c r="O117" s="16"/>
      <c r="P117" s="16"/>
      <c r="Q117" s="16"/>
      <c r="R117" s="16"/>
      <c r="S117" s="16"/>
    </row>
    <row r="118" spans="1:19" ht="15.75" x14ac:dyDescent="0.25">
      <c r="A118" s="16"/>
      <c r="B118" s="16"/>
      <c r="C118" s="16"/>
      <c r="D118" s="16"/>
      <c r="E118" s="16"/>
      <c r="F118" s="16"/>
      <c r="G118" s="16"/>
      <c r="H118" s="16"/>
      <c r="I118" s="16"/>
      <c r="J118" s="16"/>
      <c r="K118" s="16"/>
      <c r="L118" s="16"/>
      <c r="M118" s="16"/>
      <c r="N118" s="16"/>
      <c r="O118" s="16"/>
      <c r="P118" s="16"/>
      <c r="Q118" s="16"/>
      <c r="R118" s="16"/>
      <c r="S118" s="16"/>
    </row>
    <row r="119" spans="1:19" ht="15.75" x14ac:dyDescent="0.25">
      <c r="A119" s="16"/>
      <c r="B119" s="16"/>
      <c r="C119" s="16"/>
      <c r="D119" s="16"/>
      <c r="E119" s="16"/>
      <c r="F119" s="16"/>
      <c r="G119" s="16"/>
      <c r="H119" s="16"/>
      <c r="I119" s="16"/>
      <c r="J119" s="16"/>
      <c r="K119" s="16"/>
      <c r="L119" s="16"/>
      <c r="M119" s="16"/>
      <c r="N119" s="16"/>
      <c r="O119" s="16"/>
      <c r="P119" s="16"/>
      <c r="Q119" s="16"/>
      <c r="R119" s="16"/>
      <c r="S119" s="16"/>
    </row>
    <row r="120" spans="1:19" ht="15.75" x14ac:dyDescent="0.25">
      <c r="A120" s="16"/>
      <c r="B120" s="16"/>
      <c r="C120" s="16"/>
      <c r="D120" s="16"/>
      <c r="E120" s="16"/>
      <c r="F120" s="16"/>
      <c r="G120" s="16"/>
      <c r="H120" s="16"/>
      <c r="I120" s="16"/>
      <c r="J120" s="16"/>
      <c r="K120" s="16"/>
      <c r="L120" s="16"/>
      <c r="M120" s="16"/>
      <c r="N120" s="16"/>
      <c r="O120" s="16"/>
      <c r="P120" s="16"/>
      <c r="Q120" s="16"/>
      <c r="R120" s="16"/>
      <c r="S120" s="16"/>
    </row>
    <row r="121" spans="1:19" ht="15.75" x14ac:dyDescent="0.25">
      <c r="A121" s="16"/>
      <c r="B121" s="16"/>
      <c r="C121" s="16"/>
      <c r="D121" s="16"/>
      <c r="E121" s="16"/>
      <c r="F121" s="16"/>
      <c r="G121" s="16"/>
      <c r="H121" s="16"/>
      <c r="I121" s="16"/>
      <c r="J121" s="16"/>
      <c r="K121" s="16"/>
      <c r="L121" s="16"/>
      <c r="M121" s="16"/>
      <c r="N121" s="16"/>
      <c r="O121" s="16"/>
      <c r="P121" s="16"/>
      <c r="Q121" s="16"/>
      <c r="R121" s="16"/>
      <c r="S121" s="16"/>
    </row>
    <row r="122" spans="1:19" ht="15.75" x14ac:dyDescent="0.25">
      <c r="A122" s="16"/>
      <c r="B122" s="16"/>
      <c r="C122" s="16"/>
      <c r="D122" s="16"/>
      <c r="E122" s="16"/>
      <c r="F122" s="16"/>
      <c r="G122" s="16"/>
      <c r="H122" s="16"/>
      <c r="I122" s="16"/>
      <c r="J122" s="16"/>
      <c r="K122" s="16"/>
      <c r="L122" s="16"/>
      <c r="M122" s="16"/>
      <c r="N122" s="16"/>
      <c r="O122" s="16"/>
      <c r="P122" s="16"/>
      <c r="Q122" s="16"/>
      <c r="R122" s="16"/>
      <c r="S122" s="16"/>
    </row>
    <row r="123" spans="1:19" ht="15.75" x14ac:dyDescent="0.25">
      <c r="A123" s="16"/>
      <c r="B123" s="16"/>
      <c r="C123" s="16"/>
      <c r="D123" s="16"/>
      <c r="E123" s="16"/>
      <c r="F123" s="16"/>
      <c r="G123" s="16"/>
      <c r="H123" s="16"/>
      <c r="I123" s="16"/>
      <c r="J123" s="16"/>
      <c r="K123" s="16"/>
      <c r="L123" s="16"/>
      <c r="M123" s="16"/>
      <c r="N123" s="16"/>
      <c r="O123" s="16"/>
      <c r="P123" s="16"/>
      <c r="Q123" s="16"/>
      <c r="R123" s="16"/>
      <c r="S123" s="16"/>
    </row>
    <row r="124" spans="1:19" ht="15.75" x14ac:dyDescent="0.25">
      <c r="A124" s="16"/>
      <c r="B124" s="16"/>
      <c r="C124" s="16"/>
      <c r="D124" s="16"/>
      <c r="E124" s="16"/>
      <c r="F124" s="16"/>
      <c r="G124" s="16"/>
      <c r="H124" s="16"/>
      <c r="I124" s="16"/>
      <c r="J124" s="16"/>
      <c r="K124" s="16"/>
      <c r="L124" s="16"/>
      <c r="M124" s="16"/>
      <c r="N124" s="16"/>
      <c r="O124" s="16"/>
      <c r="P124" s="16"/>
      <c r="Q124" s="16"/>
      <c r="R124" s="16"/>
      <c r="S124" s="16"/>
    </row>
    <row r="125" spans="1:19" ht="15.75" x14ac:dyDescent="0.25">
      <c r="A125" s="16"/>
      <c r="B125" s="16"/>
      <c r="C125" s="16"/>
      <c r="D125" s="16"/>
      <c r="E125" s="16"/>
      <c r="F125" s="16"/>
      <c r="G125" s="16"/>
      <c r="H125" s="16"/>
      <c r="I125" s="16"/>
      <c r="J125" s="16"/>
      <c r="K125" s="16"/>
      <c r="L125" s="16"/>
      <c r="M125" s="16"/>
      <c r="N125" s="16"/>
      <c r="O125" s="16"/>
      <c r="P125" s="16"/>
      <c r="Q125" s="16"/>
      <c r="R125" s="16"/>
      <c r="S125" s="16"/>
    </row>
    <row r="126" spans="1:19" ht="15.75" x14ac:dyDescent="0.25">
      <c r="A126" s="16"/>
      <c r="B126" s="16"/>
      <c r="C126" s="16"/>
      <c r="D126" s="16"/>
      <c r="E126" s="16"/>
      <c r="F126" s="16"/>
      <c r="G126" s="16"/>
      <c r="H126" s="16"/>
      <c r="I126" s="16"/>
      <c r="J126" s="16"/>
      <c r="K126" s="16"/>
      <c r="L126" s="16"/>
      <c r="M126" s="16"/>
      <c r="N126" s="16"/>
      <c r="O126" s="16"/>
      <c r="P126" s="16"/>
      <c r="Q126" s="16"/>
      <c r="R126" s="16"/>
      <c r="S126" s="16"/>
    </row>
    <row r="127" spans="1:19" ht="15.75" x14ac:dyDescent="0.25">
      <c r="A127" s="16"/>
      <c r="B127" s="16"/>
      <c r="C127" s="16"/>
      <c r="D127" s="16"/>
      <c r="E127" s="16"/>
      <c r="F127" s="16"/>
      <c r="G127" s="16"/>
      <c r="H127" s="16"/>
      <c r="I127" s="16"/>
      <c r="J127" s="16"/>
      <c r="K127" s="16"/>
      <c r="L127" s="16"/>
      <c r="M127" s="16"/>
      <c r="N127" s="16"/>
      <c r="O127" s="16"/>
      <c r="P127" s="16"/>
      <c r="Q127" s="16"/>
      <c r="R127" s="16"/>
      <c r="S127" s="16"/>
    </row>
  </sheetData>
  <mergeCells count="10">
    <mergeCell ref="N6:P6"/>
    <mergeCell ref="B6:D6"/>
    <mergeCell ref="F6:H6"/>
    <mergeCell ref="J6:L6"/>
    <mergeCell ref="N4:P4"/>
    <mergeCell ref="A1:L1"/>
    <mergeCell ref="A2:L2"/>
    <mergeCell ref="A3:L3"/>
    <mergeCell ref="A4:L4"/>
    <mergeCell ref="A5:L5"/>
  </mergeCells>
  <phoneticPr fontId="0" type="noConversion"/>
  <conditionalFormatting sqref="B44">
    <cfRule type="cellIs" dxfId="8" priority="6" stopIfTrue="1" operator="notEqual">
      <formula>"Yes"</formula>
    </cfRule>
  </conditionalFormatting>
  <conditionalFormatting sqref="F44">
    <cfRule type="cellIs" dxfId="7" priority="5" stopIfTrue="1" operator="notEqual">
      <formula>"Yes"</formula>
    </cfRule>
  </conditionalFormatting>
  <conditionalFormatting sqref="J44">
    <cfRule type="cellIs" dxfId="6" priority="4" stopIfTrue="1" operator="notEqual">
      <formula>"Yes"</formula>
    </cfRule>
  </conditionalFormatting>
  <conditionalFormatting sqref="N44">
    <cfRule type="cellIs" dxfId="5" priority="3" stopIfTrue="1" operator="notEqual">
      <formula>"Yes"</formula>
    </cfRule>
  </conditionalFormatting>
  <conditionalFormatting sqref="C42 G42 K42 O41:O42 R29:R33 R22 R14:R16 R12 R10">
    <cfRule type="cellIs" dxfId="4" priority="2" stopIfTrue="1" operator="notEqual">
      <formula>"Yes"</formula>
    </cfRule>
  </conditionalFormatting>
  <conditionalFormatting sqref="C43 G43 K43">
    <cfRule type="cellIs" dxfId="3" priority="1" stopIfTrue="1" operator="notEqual">
      <formula>"Yes"</formula>
    </cfRule>
  </conditionalFormatting>
  <pageMargins left="0.75" right="0.75" top="0.75" bottom="0.75" header="0.5" footer="0.5"/>
  <pageSetup scale="70" firstPageNumber="19" orientation="landscape" useFirstPageNumber="1" r:id="rId1"/>
  <headerFooter alignWithMargins="0">
    <oddHeader>&amp;R&amp;12Schedule 6</oddHeader>
    <oddFooter>&amp;L&amp;12Revised:  July 2020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rgb="FF00B050"/>
  </sheetPr>
  <dimension ref="A2:D2"/>
  <sheetViews>
    <sheetView showGridLines="0" workbookViewId="0">
      <selection activeCell="A6" sqref="A6"/>
    </sheetView>
  </sheetViews>
  <sheetFormatPr defaultRowHeight="12.75" x14ac:dyDescent="0.2"/>
  <sheetData>
    <row r="2" spans="1:4" ht="15" x14ac:dyDescent="0.2">
      <c r="A2" s="379" t="s">
        <v>271</v>
      </c>
      <c r="B2" s="379"/>
      <c r="C2" s="379"/>
      <c r="D2" s="379"/>
    </row>
  </sheetData>
  <mergeCells count="1">
    <mergeCell ref="A2:D2"/>
  </mergeCells>
  <printOptions horizontalCentered="1" verticalCentered="1"/>
  <pageMargins left="0.75" right="0.75" top="0.75" bottom="0.75" header="0.5" footer="0.5"/>
  <pageSetup orientation="portrait" r:id="rId1"/>
  <headerFooter>
    <oddHeader>&amp;C&amp;"Arial,Bold"&amp;12Owl Charter, Inc.</oddHeader>
    <oddFooter>&amp;L&amp;12Revised:  September  2019</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7">
    <pageSetUpPr fitToPage="1"/>
  </sheetPr>
  <dimension ref="A1:U94"/>
  <sheetViews>
    <sheetView showGridLines="0" zoomScaleNormal="100" workbookViewId="0">
      <pane xSplit="1" ySplit="8" topLeftCell="D9" activePane="bottomRight" state="frozen"/>
      <selection activeCell="A6" sqref="A6"/>
      <selection pane="topRight" activeCell="A6" sqref="A6"/>
      <selection pane="bottomLeft" activeCell="A6" sqref="A6"/>
      <selection pane="bottomRight" activeCell="A6" sqref="A6"/>
    </sheetView>
  </sheetViews>
  <sheetFormatPr defaultColWidth="11.7109375" defaultRowHeight="11.25" x14ac:dyDescent="0.2"/>
  <cols>
    <col min="1" max="1" width="33.5703125" style="1" customWidth="1"/>
    <col min="2" max="2" width="10.7109375" style="1" customWidth="1"/>
    <col min="3" max="4" width="8" style="1" customWidth="1"/>
    <col min="5" max="5" width="10.7109375" style="1" customWidth="1"/>
    <col min="6" max="7" width="8" style="1" customWidth="1"/>
    <col min="8" max="8" width="10.7109375" style="1" customWidth="1"/>
    <col min="9" max="10" width="8" style="1" customWidth="1"/>
    <col min="11" max="11" width="10.7109375" style="1" customWidth="1"/>
    <col min="12" max="12" width="8" style="1" customWidth="1"/>
    <col min="13" max="13" width="7.85546875" style="1" customWidth="1"/>
    <col min="14" max="14" width="1.7109375" style="1" customWidth="1"/>
    <col min="15" max="15" width="26.28515625" style="1" bestFit="1" customWidth="1"/>
    <col min="16" max="16384" width="11.7109375" style="1"/>
  </cols>
  <sheetData>
    <row r="1" spans="1:15" x14ac:dyDescent="0.2">
      <c r="A1" s="1" t="s">
        <v>131</v>
      </c>
    </row>
    <row r="2" spans="1:15" x14ac:dyDescent="0.2">
      <c r="A2" s="1" t="s">
        <v>32</v>
      </c>
    </row>
    <row r="3" spans="1:15" x14ac:dyDescent="0.2">
      <c r="A3" s="289" t="str">
        <f>+'GW Stmt Activities Exh 2'!A3:I3</f>
        <v>For the Year Ended June 30, 2020</v>
      </c>
    </row>
    <row r="4" spans="1:15" x14ac:dyDescent="0.2">
      <c r="E4" s="420" t="s">
        <v>177</v>
      </c>
    </row>
    <row r="5" spans="1:15" ht="11.25" customHeight="1" x14ac:dyDescent="0.2">
      <c r="B5" s="420" t="s">
        <v>175</v>
      </c>
      <c r="E5" s="421"/>
      <c r="K5" s="290"/>
    </row>
    <row r="6" spans="1:15" ht="11.25" customHeight="1" x14ac:dyDescent="0.2">
      <c r="B6" s="421"/>
      <c r="C6" s="418" t="s">
        <v>374</v>
      </c>
      <c r="D6" s="419"/>
      <c r="E6" s="421"/>
      <c r="F6" s="418" t="s">
        <v>374</v>
      </c>
      <c r="G6" s="419"/>
      <c r="I6" s="418" t="s">
        <v>374</v>
      </c>
      <c r="J6" s="419"/>
      <c r="K6" s="290"/>
      <c r="L6" s="418" t="s">
        <v>374</v>
      </c>
      <c r="M6" s="419"/>
      <c r="N6" s="292"/>
      <c r="O6" s="291" t="s">
        <v>375</v>
      </c>
    </row>
    <row r="7" spans="1:15" ht="11.25" customHeight="1" x14ac:dyDescent="0.2">
      <c r="B7" s="421"/>
      <c r="E7" s="421"/>
      <c r="K7" s="422" t="s">
        <v>176</v>
      </c>
      <c r="O7" s="293" t="s">
        <v>376</v>
      </c>
    </row>
    <row r="8" spans="1:15" ht="11.25" customHeight="1" x14ac:dyDescent="0.2">
      <c r="A8" s="294" t="s">
        <v>33</v>
      </c>
      <c r="B8" s="421"/>
      <c r="C8" s="295" t="s">
        <v>34</v>
      </c>
      <c r="D8" s="295" t="s">
        <v>35</v>
      </c>
      <c r="E8" s="421"/>
      <c r="F8" s="295" t="s">
        <v>34</v>
      </c>
      <c r="G8" s="295" t="s">
        <v>35</v>
      </c>
      <c r="H8" s="294" t="s">
        <v>36</v>
      </c>
      <c r="I8" s="295" t="s">
        <v>34</v>
      </c>
      <c r="J8" s="295" t="s">
        <v>35</v>
      </c>
      <c r="K8" s="423"/>
      <c r="L8" s="295" t="s">
        <v>34</v>
      </c>
      <c r="M8" s="295" t="s">
        <v>35</v>
      </c>
      <c r="N8" s="295"/>
      <c r="O8" s="295" t="s">
        <v>37</v>
      </c>
    </row>
    <row r="9" spans="1:15" x14ac:dyDescent="0.2">
      <c r="B9" s="296"/>
      <c r="C9" s="296"/>
      <c r="D9" s="296"/>
      <c r="E9" s="296"/>
      <c r="F9" s="296"/>
      <c r="G9" s="296"/>
      <c r="H9" s="296"/>
      <c r="I9" s="296"/>
      <c r="J9" s="296"/>
      <c r="K9" s="296"/>
    </row>
    <row r="10" spans="1:15" x14ac:dyDescent="0.2">
      <c r="A10" s="1" t="s">
        <v>12</v>
      </c>
      <c r="B10" s="297">
        <v>104816</v>
      </c>
      <c r="C10" s="298" t="s">
        <v>38</v>
      </c>
      <c r="D10" s="298" t="s">
        <v>38</v>
      </c>
      <c r="E10" s="297">
        <v>42232</v>
      </c>
      <c r="F10" s="298" t="s">
        <v>38</v>
      </c>
      <c r="G10" s="298" t="s">
        <v>38</v>
      </c>
      <c r="H10" s="297">
        <v>192762</v>
      </c>
      <c r="I10" s="298" t="s">
        <v>38</v>
      </c>
      <c r="J10" s="298" t="s">
        <v>38</v>
      </c>
      <c r="K10" s="297">
        <v>570212</v>
      </c>
      <c r="L10" s="293" t="s">
        <v>38</v>
      </c>
      <c r="M10" s="293" t="s">
        <v>38</v>
      </c>
      <c r="O10" s="299" t="s">
        <v>39</v>
      </c>
    </row>
    <row r="11" spans="1:15" x14ac:dyDescent="0.2">
      <c r="B11" s="296"/>
      <c r="C11" s="296"/>
      <c r="D11" s="296"/>
      <c r="E11" s="296"/>
      <c r="F11" s="296"/>
      <c r="G11" s="296"/>
      <c r="H11" s="296"/>
      <c r="I11" s="296"/>
      <c r="J11" s="296"/>
      <c r="K11" s="296"/>
    </row>
    <row r="12" spans="1:15" x14ac:dyDescent="0.2">
      <c r="A12" s="289" t="s">
        <v>117</v>
      </c>
      <c r="B12" s="296"/>
      <c r="C12" s="296"/>
      <c r="D12" s="296"/>
      <c r="E12" s="296"/>
      <c r="F12" s="296"/>
      <c r="G12" s="296"/>
      <c r="H12" s="296"/>
      <c r="I12" s="296"/>
      <c r="J12" s="296"/>
      <c r="K12" s="296"/>
    </row>
    <row r="13" spans="1:15" x14ac:dyDescent="0.2">
      <c r="A13" s="300" t="s">
        <v>101</v>
      </c>
      <c r="B13" s="301">
        <v>93724</v>
      </c>
      <c r="C13" s="302" t="str">
        <f>IF(B13&gt;B$20,"X","-")</f>
        <v>X</v>
      </c>
      <c r="D13" s="302" t="str">
        <f>IF(B13&gt;B$34,"X","-")</f>
        <v>X</v>
      </c>
      <c r="E13" s="301">
        <v>93724</v>
      </c>
      <c r="F13" s="302" t="str">
        <f>IF(E13&gt;E$20,"X","-")</f>
        <v>X</v>
      </c>
      <c r="G13" s="302" t="str">
        <f>IF(E13&gt;E$34,"X","-")</f>
        <v>X</v>
      </c>
      <c r="H13" s="301">
        <v>347136</v>
      </c>
      <c r="I13" s="302" t="str">
        <f>IF(H13&gt;H$20,"X","-")</f>
        <v>X</v>
      </c>
      <c r="J13" s="302" t="str">
        <f>IF(H13&gt;H$34,"X","-")</f>
        <v>X</v>
      </c>
      <c r="K13" s="301">
        <v>337136</v>
      </c>
      <c r="L13" s="303" t="str">
        <f>IF(K13&gt;K$20,"X","-")</f>
        <v>X</v>
      </c>
      <c r="M13" s="303" t="str">
        <f>IF(K13&gt;K$34,"X","-")</f>
        <v>X</v>
      </c>
      <c r="O13" s="303" t="str">
        <f>IF(OR(AND(C13="X",D13="X"),AND(F13="X",G13="X"),AND(I13="X",J13="X"),AND(L13="X",M13="X")),"MAJOR","-")</f>
        <v>MAJOR</v>
      </c>
    </row>
    <row r="14" spans="1:15" x14ac:dyDescent="0.2">
      <c r="A14" s="300" t="s">
        <v>111</v>
      </c>
      <c r="B14" s="301">
        <v>3696</v>
      </c>
      <c r="C14" s="302" t="str">
        <f>IF(B14&gt;B$20,"X","-")</f>
        <v>-</v>
      </c>
      <c r="D14" s="302" t="str">
        <f>IF(B14&gt;B$34,"X","-")</f>
        <v>-</v>
      </c>
      <c r="E14" s="301">
        <v>3696</v>
      </c>
      <c r="F14" s="302" t="str">
        <f>IF(E14&gt;E$20,"X","-")</f>
        <v>-</v>
      </c>
      <c r="G14" s="302" t="str">
        <f>IF(E14&gt;E$34,"X","-")</f>
        <v>-</v>
      </c>
      <c r="H14" s="301">
        <v>29020</v>
      </c>
      <c r="I14" s="302" t="str">
        <f>IF(H14&gt;H$20,"X","-")</f>
        <v>-</v>
      </c>
      <c r="J14" s="302" t="str">
        <f>IF(H14&gt;H$34,"X","-")</f>
        <v>-</v>
      </c>
      <c r="K14" s="301">
        <v>29020</v>
      </c>
      <c r="L14" s="303" t="str">
        <f>IF(K14&gt;K$20,"X","-")</f>
        <v>-</v>
      </c>
      <c r="M14" s="303" t="str">
        <f>IF(K14&gt;K$34,"X","-")</f>
        <v>-</v>
      </c>
      <c r="O14" s="303" t="str">
        <f>IF(OR(AND(C14="X",D14="X"),AND(F14="X",G14="X"),AND(I14="X",J14="X"),AND(L14="X",M14="X")),"MAJOR","-")</f>
        <v>-</v>
      </c>
    </row>
    <row r="15" spans="1:15" x14ac:dyDescent="0.2">
      <c r="A15" s="300" t="s">
        <v>133</v>
      </c>
      <c r="B15" s="301">
        <v>1015</v>
      </c>
      <c r="C15" s="302" t="str">
        <f>IF(B15&gt;B$20,"X","-")</f>
        <v>-</v>
      </c>
      <c r="D15" s="302" t="str">
        <f>IF(B15&gt;B$34,"X","-")</f>
        <v>-</v>
      </c>
      <c r="E15" s="301">
        <v>0</v>
      </c>
      <c r="F15" s="302" t="str">
        <f>IF(E15&gt;E$20,"X","-")</f>
        <v>-</v>
      </c>
      <c r="G15" s="302" t="str">
        <f>IF(E15&gt;E$34,"X","-")</f>
        <v>-</v>
      </c>
      <c r="H15" s="301">
        <v>1491</v>
      </c>
      <c r="I15" s="302" t="str">
        <f>IF(H15&gt;H$20,"X","-")</f>
        <v>-</v>
      </c>
      <c r="J15" s="302" t="str">
        <f>IF(H15&gt;H$34,"X","-")</f>
        <v>-</v>
      </c>
      <c r="K15" s="301">
        <v>1038</v>
      </c>
      <c r="L15" s="303" t="str">
        <f>IF(K15&gt;K$20,"X","-")</f>
        <v>-</v>
      </c>
      <c r="M15" s="303" t="str">
        <f>IF(K15&gt;K$34,"X","-")</f>
        <v>-</v>
      </c>
      <c r="O15" s="303" t="str">
        <f>IF(OR(AND(C15="X",D15="X"),AND(F15="X",G15="X"),AND(I15="X",J15="X"),AND(L15="X",M15="X")),"MAJOR","-")</f>
        <v>-</v>
      </c>
    </row>
    <row r="16" spans="1:15" x14ac:dyDescent="0.2">
      <c r="A16" s="300" t="s">
        <v>189</v>
      </c>
      <c r="B16" s="301">
        <v>0</v>
      </c>
      <c r="C16" s="302" t="str">
        <f>IF(B16&gt;B$20,"X","-")</f>
        <v>-</v>
      </c>
      <c r="D16" s="302" t="str">
        <f>IF(B16&gt;B$34,"X","-")</f>
        <v>-</v>
      </c>
      <c r="E16" s="301">
        <v>484496</v>
      </c>
      <c r="F16" s="302" t="str">
        <f>IF(E16&gt;E$20,"X","-")</f>
        <v>X</v>
      </c>
      <c r="G16" s="302" t="str">
        <f>IF(E16&gt;E$34,"X","-")</f>
        <v>X</v>
      </c>
      <c r="H16" s="301">
        <v>563164</v>
      </c>
      <c r="I16" s="302" t="str">
        <f>IF(H16&gt;H$20,"X","-")</f>
        <v>X</v>
      </c>
      <c r="J16" s="302" t="str">
        <f>IF(H16&gt;H$34,"X","-")</f>
        <v>X</v>
      </c>
      <c r="K16" s="301">
        <v>479733</v>
      </c>
      <c r="L16" s="303" t="str">
        <f>IF(K16&gt;K$20,"X","-")</f>
        <v>X</v>
      </c>
      <c r="M16" s="303" t="str">
        <f>IF(K16&gt;K$34,"X","-")</f>
        <v>X</v>
      </c>
      <c r="O16" s="303" t="str">
        <f>IF(OR(AND(C16="X",D16="X"),AND(F16="X",G16="X"),AND(I16="X",J16="X"),AND(L16="X",M16="X")),"MAJOR","-")</f>
        <v>MAJOR</v>
      </c>
    </row>
    <row r="17" spans="1:15" x14ac:dyDescent="0.2">
      <c r="A17" s="300"/>
      <c r="B17" s="301"/>
      <c r="C17" s="296"/>
      <c r="D17" s="296"/>
      <c r="E17" s="301"/>
      <c r="F17" s="296"/>
      <c r="G17" s="296"/>
      <c r="H17" s="301"/>
      <c r="I17" s="296"/>
      <c r="J17" s="296"/>
      <c r="K17" s="301"/>
    </row>
    <row r="18" spans="1:15" ht="12" thickBot="1" x14ac:dyDescent="0.25">
      <c r="A18" s="304" t="s">
        <v>8</v>
      </c>
      <c r="B18" s="305">
        <f>SUM(B10:B17)</f>
        <v>203251</v>
      </c>
      <c r="C18" s="296"/>
      <c r="D18" s="296"/>
      <c r="E18" s="305">
        <f>SUM(E10:E17)</f>
        <v>624148</v>
      </c>
      <c r="F18" s="296"/>
      <c r="G18" s="296"/>
      <c r="H18" s="305">
        <f>SUM(H10:H17)</f>
        <v>1133573</v>
      </c>
      <c r="I18" s="296"/>
      <c r="J18" s="296"/>
      <c r="K18" s="305">
        <f>SUM(K10:K17)</f>
        <v>1417139</v>
      </c>
    </row>
    <row r="19" spans="1:15" ht="12" thickTop="1" x14ac:dyDescent="0.2">
      <c r="A19" s="300"/>
      <c r="B19" s="296"/>
      <c r="C19" s="296"/>
      <c r="D19" s="296"/>
      <c r="E19" s="296"/>
      <c r="F19" s="296"/>
      <c r="G19" s="296"/>
      <c r="H19" s="296"/>
      <c r="I19" s="296"/>
      <c r="J19" s="296"/>
      <c r="K19" s="296"/>
    </row>
    <row r="20" spans="1:15" ht="12" thickBot="1" x14ac:dyDescent="0.25">
      <c r="A20" s="289" t="s">
        <v>40</v>
      </c>
      <c r="B20" s="306">
        <f>ROUND(B18*0.1,0)</f>
        <v>20325</v>
      </c>
      <c r="C20" s="296"/>
      <c r="D20" s="296"/>
      <c r="E20" s="306">
        <f>ROUND(E18*0.1,0)</f>
        <v>62415</v>
      </c>
      <c r="F20" s="296"/>
      <c r="G20" s="296"/>
      <c r="H20" s="306">
        <f>ROUND(H18*0.1,0)</f>
        <v>113357</v>
      </c>
      <c r="I20" s="296"/>
      <c r="J20" s="296"/>
      <c r="K20" s="306">
        <f>ROUND(K18*0.1,0)</f>
        <v>141714</v>
      </c>
    </row>
    <row r="21" spans="1:15" ht="12" thickTop="1" x14ac:dyDescent="0.2">
      <c r="A21" s="307"/>
      <c r="B21" s="296"/>
      <c r="C21" s="296"/>
      <c r="D21" s="296"/>
      <c r="E21" s="296"/>
      <c r="F21" s="296"/>
      <c r="G21" s="296"/>
      <c r="H21" s="296"/>
      <c r="I21" s="296"/>
      <c r="J21" s="296"/>
      <c r="K21" s="296"/>
    </row>
    <row r="22" spans="1:15" x14ac:dyDescent="0.2">
      <c r="A22" s="307"/>
      <c r="B22" s="296"/>
      <c r="C22" s="296"/>
      <c r="D22" s="296"/>
      <c r="E22" s="296"/>
      <c r="F22" s="296"/>
      <c r="G22" s="296"/>
      <c r="H22" s="296"/>
      <c r="I22" s="296"/>
      <c r="J22" s="296"/>
      <c r="K22" s="296"/>
    </row>
    <row r="23" spans="1:15" x14ac:dyDescent="0.2">
      <c r="A23" s="304" t="s">
        <v>31</v>
      </c>
      <c r="B23" s="296"/>
      <c r="C23" s="296"/>
      <c r="D23" s="296"/>
      <c r="E23" s="296"/>
      <c r="F23" s="296"/>
      <c r="G23" s="296"/>
      <c r="H23" s="296"/>
      <c r="I23" s="296"/>
      <c r="J23" s="296"/>
      <c r="K23" s="296"/>
    </row>
    <row r="24" spans="1:15" x14ac:dyDescent="0.2">
      <c r="A24" s="300" t="s">
        <v>134</v>
      </c>
      <c r="B24" s="297">
        <v>51064</v>
      </c>
      <c r="C24" s="302" t="str">
        <f>IF(B24&gt;B$29,"X","-")</f>
        <v>X</v>
      </c>
      <c r="D24" s="302" t="str">
        <f>IF(B24&gt;B$34,"X","-")</f>
        <v>X</v>
      </c>
      <c r="E24" s="301">
        <v>7035</v>
      </c>
      <c r="F24" s="302" t="str">
        <f>IF(E24&gt;E$29,"X","-")</f>
        <v>X</v>
      </c>
      <c r="G24" s="302" t="str">
        <f>IF(E24&gt;E$34,"X","-")</f>
        <v>-</v>
      </c>
      <c r="H24" s="301">
        <v>50223</v>
      </c>
      <c r="I24" s="302" t="str">
        <f>IF(H24&gt;H$29,"X","-")</f>
        <v>X</v>
      </c>
      <c r="J24" s="302" t="str">
        <f>IF(H24&gt;H$34,"X","-")</f>
        <v>-</v>
      </c>
      <c r="K24" s="301">
        <v>83026</v>
      </c>
      <c r="L24" s="303" t="str">
        <f>IF(K24&gt;K$29,"X","-")</f>
        <v>X</v>
      </c>
      <c r="M24" s="303" t="str">
        <f>IF(K24&gt;K$34,"X","-")</f>
        <v>X</v>
      </c>
      <c r="O24" s="303" t="str">
        <f>IF(OR(AND(C24="X",D24="X"),AND(F24="X",G24="X"),AND(I24="X",J24="X"),AND(L24="X",M24="X")),"MAJOR","-")</f>
        <v>MAJOR</v>
      </c>
    </row>
    <row r="25" spans="1:15" x14ac:dyDescent="0.2">
      <c r="A25" s="300" t="s">
        <v>115</v>
      </c>
      <c r="B25" s="301">
        <v>6655</v>
      </c>
      <c r="C25" s="302" t="str">
        <f>IF(B25&gt;B$29,"X","-")</f>
        <v>X</v>
      </c>
      <c r="D25" s="302" t="str">
        <f>IF(B25&gt;B$34,"X","-")</f>
        <v>-</v>
      </c>
      <c r="E25" s="301">
        <v>721</v>
      </c>
      <c r="F25" s="302" t="str">
        <f>IF(E25&gt;E$29,"X","-")</f>
        <v>-</v>
      </c>
      <c r="G25" s="302" t="str">
        <f>IF(E25&gt;E$34,"X","-")</f>
        <v>-</v>
      </c>
      <c r="H25" s="301">
        <v>18446</v>
      </c>
      <c r="I25" s="302" t="str">
        <f>IF(H25&gt;H$29,"X","-")</f>
        <v>X</v>
      </c>
      <c r="J25" s="302" t="str">
        <f>IF(H25&gt;H$34,"X","-")</f>
        <v>-</v>
      </c>
      <c r="K25" s="301">
        <v>14254</v>
      </c>
      <c r="L25" s="303" t="str">
        <f>IF(K25&gt;K$29,"X","-")</f>
        <v>X</v>
      </c>
      <c r="M25" s="303" t="str">
        <f>IF(K25&gt;K$34,"X","-")</f>
        <v>-</v>
      </c>
      <c r="O25" s="303" t="str">
        <f>IF(OR(AND(C25="X",D25="X"),AND(F25="X",G25="X"),AND(I25="X",J25="X"),AND(L25="X",M25="X")),"MAJOR","-")</f>
        <v>-</v>
      </c>
    </row>
    <row r="26" spans="1:15" x14ac:dyDescent="0.2">
      <c r="A26" s="307"/>
      <c r="B26" s="301"/>
      <c r="C26" s="296"/>
      <c r="D26" s="296"/>
      <c r="E26" s="301"/>
      <c r="F26" s="296"/>
      <c r="G26" s="296"/>
      <c r="H26" s="301"/>
      <c r="I26" s="296"/>
      <c r="J26" s="296"/>
      <c r="K26" s="301"/>
    </row>
    <row r="27" spans="1:15" ht="12" thickBot="1" x14ac:dyDescent="0.25">
      <c r="A27" s="304" t="s">
        <v>41</v>
      </c>
      <c r="B27" s="305">
        <f>SUM(B24:B26)</f>
        <v>57719</v>
      </c>
      <c r="C27" s="296"/>
      <c r="D27" s="296"/>
      <c r="E27" s="305">
        <f>SUM(E24:E26)</f>
        <v>7756</v>
      </c>
      <c r="F27" s="296"/>
      <c r="G27" s="296"/>
      <c r="H27" s="305">
        <f>SUM(H24:H26)</f>
        <v>68669</v>
      </c>
      <c r="I27" s="296"/>
      <c r="J27" s="296"/>
      <c r="K27" s="305">
        <f>SUM(K24:K26)</f>
        <v>97280</v>
      </c>
    </row>
    <row r="28" spans="1:15" ht="12" thickTop="1" x14ac:dyDescent="0.2">
      <c r="A28" s="289"/>
      <c r="B28" s="296"/>
      <c r="C28" s="296"/>
      <c r="D28" s="296"/>
      <c r="E28" s="296"/>
      <c r="F28" s="296"/>
      <c r="G28" s="296"/>
      <c r="H28" s="296"/>
      <c r="I28" s="296"/>
      <c r="J28" s="296"/>
      <c r="K28" s="296"/>
    </row>
    <row r="29" spans="1:15" ht="12" thickBot="1" x14ac:dyDescent="0.25">
      <c r="A29" s="289" t="s">
        <v>42</v>
      </c>
      <c r="B29" s="306">
        <f>ROUND(B27*0.1,0)</f>
        <v>5772</v>
      </c>
      <c r="C29" s="296"/>
      <c r="D29" s="296"/>
      <c r="E29" s="306">
        <f>ROUND(E27*0.1,0)</f>
        <v>776</v>
      </c>
      <c r="F29" s="296"/>
      <c r="G29" s="296"/>
      <c r="H29" s="306">
        <f>ROUND(H27*0.1,0)</f>
        <v>6867</v>
      </c>
      <c r="I29" s="296"/>
      <c r="J29" s="296"/>
      <c r="K29" s="306">
        <f>ROUND(K27*0.1,0)</f>
        <v>9728</v>
      </c>
    </row>
    <row r="30" spans="1:15" ht="12" thickTop="1" x14ac:dyDescent="0.2">
      <c r="A30" s="307"/>
      <c r="B30" s="296"/>
      <c r="C30" s="296"/>
      <c r="D30" s="296"/>
      <c r="E30" s="296"/>
      <c r="F30" s="296"/>
      <c r="G30" s="296"/>
      <c r="H30" s="296"/>
      <c r="I30" s="296"/>
      <c r="J30" s="296"/>
      <c r="K30" s="296"/>
    </row>
    <row r="31" spans="1:15" x14ac:dyDescent="0.2">
      <c r="A31" s="307"/>
      <c r="B31" s="296"/>
      <c r="C31" s="296"/>
      <c r="D31" s="296"/>
      <c r="E31" s="301"/>
      <c r="F31" s="296"/>
      <c r="G31" s="296"/>
      <c r="H31" s="296"/>
      <c r="I31" s="296"/>
      <c r="J31" s="296"/>
      <c r="K31" s="296"/>
    </row>
    <row r="32" spans="1:15" ht="12" thickBot="1" x14ac:dyDescent="0.25">
      <c r="A32" s="289" t="s">
        <v>43</v>
      </c>
      <c r="B32" s="305">
        <f>+B18+B27</f>
        <v>260970</v>
      </c>
      <c r="C32" s="296"/>
      <c r="D32" s="296"/>
      <c r="E32" s="305">
        <f>+E18+E27</f>
        <v>631904</v>
      </c>
      <c r="F32" s="296"/>
      <c r="G32" s="296"/>
      <c r="H32" s="305">
        <f>+H18+H27</f>
        <v>1202242</v>
      </c>
      <c r="I32" s="296"/>
      <c r="J32" s="296"/>
      <c r="K32" s="305">
        <f>+K18+K27</f>
        <v>1514419</v>
      </c>
    </row>
    <row r="33" spans="1:11" ht="12" thickTop="1" x14ac:dyDescent="0.2">
      <c r="A33" s="289"/>
      <c r="B33" s="296"/>
      <c r="C33" s="296"/>
      <c r="D33" s="296"/>
      <c r="E33" s="296"/>
      <c r="F33" s="296"/>
      <c r="G33" s="296"/>
      <c r="H33" s="296"/>
      <c r="I33" s="296"/>
      <c r="J33" s="296"/>
      <c r="K33" s="296" t="s">
        <v>49</v>
      </c>
    </row>
    <row r="34" spans="1:11" ht="12" thickBot="1" x14ac:dyDescent="0.25">
      <c r="A34" s="289" t="s">
        <v>44</v>
      </c>
      <c r="B34" s="306">
        <f>ROUND(B32*0.05,0)</f>
        <v>13049</v>
      </c>
      <c r="C34" s="296"/>
      <c r="D34" s="296"/>
      <c r="E34" s="306">
        <f>ROUND(E32*0.05,0)</f>
        <v>31595</v>
      </c>
      <c r="F34" s="296"/>
      <c r="G34" s="296"/>
      <c r="H34" s="306">
        <f>ROUND(H32*0.05,0)</f>
        <v>60112</v>
      </c>
      <c r="I34" s="296"/>
      <c r="J34" s="296"/>
      <c r="K34" s="306">
        <f>ROUND(K32*0.05,0)</f>
        <v>75721</v>
      </c>
    </row>
    <row r="35" spans="1:11" ht="12" thickTop="1" x14ac:dyDescent="0.2">
      <c r="A35" s="307"/>
      <c r="B35" s="296"/>
      <c r="C35" s="296"/>
      <c r="D35" s="296"/>
      <c r="E35" s="296"/>
      <c r="F35" s="296"/>
      <c r="G35" s="296"/>
      <c r="H35" s="296"/>
      <c r="I35" s="296"/>
      <c r="J35" s="296"/>
      <c r="K35" s="296"/>
    </row>
    <row r="36" spans="1:11" x14ac:dyDescent="0.2">
      <c r="A36" s="304"/>
    </row>
    <row r="38" spans="1:11" x14ac:dyDescent="0.2">
      <c r="E38" s="1" t="s">
        <v>159</v>
      </c>
    </row>
    <row r="39" spans="1:11" x14ac:dyDescent="0.2">
      <c r="A39" s="300"/>
    </row>
    <row r="40" spans="1:11" x14ac:dyDescent="0.2">
      <c r="A40" s="308"/>
    </row>
    <row r="41" spans="1:11" x14ac:dyDescent="0.2">
      <c r="A41" s="300"/>
    </row>
    <row r="42" spans="1:11" x14ac:dyDescent="0.2">
      <c r="A42" s="308"/>
    </row>
    <row r="43" spans="1:11" x14ac:dyDescent="0.2">
      <c r="A43" s="308"/>
    </row>
    <row r="44" spans="1:11" x14ac:dyDescent="0.2">
      <c r="A44" s="308"/>
    </row>
    <row r="47" spans="1:11" x14ac:dyDescent="0.2">
      <c r="A47" s="300"/>
    </row>
    <row r="63" spans="1:21" x14ac:dyDescent="0.2">
      <c r="A63" s="17"/>
      <c r="B63" s="17"/>
      <c r="C63" s="17"/>
      <c r="D63" s="17"/>
      <c r="E63" s="17"/>
      <c r="F63" s="17"/>
      <c r="G63" s="17"/>
      <c r="H63" s="17"/>
      <c r="I63" s="17"/>
      <c r="J63" s="17"/>
      <c r="K63" s="17"/>
      <c r="L63" s="17"/>
      <c r="M63" s="17"/>
      <c r="N63" s="17"/>
      <c r="O63" s="17"/>
      <c r="P63" s="17"/>
      <c r="Q63" s="17"/>
      <c r="R63" s="17"/>
      <c r="S63" s="17"/>
      <c r="T63" s="17"/>
      <c r="U63" s="17"/>
    </row>
    <row r="64" spans="1:21" x14ac:dyDescent="0.2">
      <c r="A64" s="17"/>
      <c r="B64" s="17"/>
      <c r="C64" s="17"/>
      <c r="D64" s="17"/>
      <c r="E64" s="17"/>
      <c r="F64" s="17"/>
      <c r="G64" s="17"/>
      <c r="H64" s="17"/>
      <c r="I64" s="17"/>
      <c r="J64" s="17"/>
      <c r="K64" s="17"/>
      <c r="L64" s="17"/>
      <c r="M64" s="17"/>
      <c r="N64" s="17"/>
      <c r="O64" s="17"/>
      <c r="P64" s="17"/>
      <c r="Q64" s="17"/>
      <c r="R64" s="17"/>
      <c r="S64" s="17"/>
      <c r="T64" s="17"/>
      <c r="U64" s="17"/>
    </row>
    <row r="65" spans="1:21" x14ac:dyDescent="0.2">
      <c r="A65" s="17"/>
      <c r="B65" s="17"/>
      <c r="C65" s="17"/>
      <c r="D65" s="17"/>
      <c r="E65" s="17"/>
      <c r="F65" s="17"/>
      <c r="G65" s="17"/>
      <c r="H65" s="17"/>
      <c r="I65" s="17"/>
      <c r="J65" s="17"/>
      <c r="K65" s="17"/>
      <c r="L65" s="17"/>
      <c r="M65" s="17"/>
      <c r="N65" s="17"/>
      <c r="O65" s="17"/>
      <c r="P65" s="17"/>
      <c r="Q65" s="17"/>
      <c r="R65" s="17"/>
      <c r="S65" s="17"/>
      <c r="T65" s="17"/>
      <c r="U65" s="17"/>
    </row>
    <row r="66" spans="1:21" x14ac:dyDescent="0.2">
      <c r="A66" s="17"/>
      <c r="B66" s="17"/>
      <c r="C66" s="17"/>
      <c r="D66" s="17"/>
      <c r="E66" s="17"/>
      <c r="F66" s="17"/>
      <c r="G66" s="17"/>
      <c r="H66" s="17"/>
      <c r="I66" s="17"/>
      <c r="J66" s="17"/>
      <c r="K66" s="17"/>
      <c r="L66" s="17"/>
      <c r="M66" s="17"/>
      <c r="N66" s="17"/>
      <c r="O66" s="17"/>
      <c r="P66" s="17"/>
      <c r="Q66" s="17"/>
      <c r="R66" s="17"/>
      <c r="S66" s="17"/>
      <c r="T66" s="17"/>
      <c r="U66" s="17"/>
    </row>
    <row r="67" spans="1:21" x14ac:dyDescent="0.2">
      <c r="A67" s="17"/>
      <c r="B67" s="17"/>
      <c r="C67" s="17"/>
      <c r="D67" s="17"/>
      <c r="E67" s="17"/>
      <c r="F67" s="17"/>
      <c r="G67" s="17"/>
      <c r="H67" s="17"/>
      <c r="I67" s="17"/>
      <c r="J67" s="17"/>
      <c r="K67" s="17"/>
      <c r="L67" s="17"/>
      <c r="M67" s="17"/>
      <c r="N67" s="17"/>
      <c r="O67" s="17"/>
      <c r="P67" s="17"/>
      <c r="Q67" s="17"/>
      <c r="R67" s="17"/>
      <c r="S67" s="17"/>
      <c r="T67" s="17"/>
      <c r="U67" s="17"/>
    </row>
    <row r="68" spans="1:21" x14ac:dyDescent="0.2">
      <c r="A68" s="17"/>
      <c r="B68" s="17"/>
      <c r="C68" s="17"/>
      <c r="D68" s="17"/>
      <c r="E68" s="17"/>
      <c r="F68" s="17"/>
      <c r="G68" s="17"/>
      <c r="H68" s="17"/>
      <c r="I68" s="17"/>
      <c r="J68" s="17"/>
      <c r="K68" s="17"/>
      <c r="L68" s="17"/>
      <c r="M68" s="17"/>
      <c r="N68" s="17"/>
      <c r="O68" s="17"/>
      <c r="P68" s="17"/>
      <c r="Q68" s="17"/>
      <c r="R68" s="17"/>
      <c r="S68" s="17"/>
      <c r="T68" s="17"/>
      <c r="U68" s="17"/>
    </row>
    <row r="69" spans="1:21" x14ac:dyDescent="0.2">
      <c r="A69" s="17"/>
      <c r="B69" s="17"/>
      <c r="C69" s="17"/>
      <c r="D69" s="17"/>
      <c r="E69" s="17"/>
      <c r="F69" s="17"/>
      <c r="G69" s="17"/>
      <c r="H69" s="17"/>
      <c r="I69" s="17"/>
      <c r="J69" s="17"/>
      <c r="K69" s="17"/>
      <c r="L69" s="17"/>
      <c r="M69" s="17"/>
      <c r="N69" s="17"/>
      <c r="O69" s="17"/>
      <c r="P69" s="17"/>
      <c r="Q69" s="17"/>
      <c r="R69" s="17"/>
      <c r="S69" s="17"/>
      <c r="T69" s="17"/>
      <c r="U69" s="17"/>
    </row>
    <row r="70" spans="1:21" x14ac:dyDescent="0.2">
      <c r="A70" s="17"/>
      <c r="B70" s="17"/>
      <c r="C70" s="17"/>
      <c r="D70" s="17"/>
      <c r="E70" s="17"/>
      <c r="F70" s="17"/>
      <c r="G70" s="17"/>
      <c r="H70" s="17"/>
      <c r="I70" s="17"/>
      <c r="J70" s="17"/>
      <c r="K70" s="17"/>
      <c r="L70" s="17"/>
      <c r="M70" s="17"/>
      <c r="N70" s="17"/>
      <c r="O70" s="17"/>
      <c r="P70" s="17"/>
      <c r="Q70" s="17"/>
      <c r="R70" s="17"/>
      <c r="S70" s="17"/>
      <c r="T70" s="17"/>
      <c r="U70" s="17"/>
    </row>
    <row r="71" spans="1:21" x14ac:dyDescent="0.2">
      <c r="A71" s="17"/>
      <c r="B71" s="17"/>
      <c r="C71" s="17"/>
      <c r="D71" s="17"/>
      <c r="E71" s="17"/>
      <c r="F71" s="17"/>
      <c r="G71" s="17"/>
      <c r="H71" s="17"/>
      <c r="I71" s="17"/>
      <c r="J71" s="17"/>
      <c r="K71" s="17"/>
      <c r="L71" s="17"/>
      <c r="M71" s="17"/>
      <c r="N71" s="17"/>
      <c r="O71" s="17"/>
      <c r="P71" s="17"/>
      <c r="Q71" s="17"/>
      <c r="R71" s="17"/>
      <c r="S71" s="17"/>
      <c r="T71" s="17"/>
      <c r="U71" s="17"/>
    </row>
    <row r="72" spans="1:21" x14ac:dyDescent="0.2">
      <c r="A72" s="17"/>
      <c r="B72" s="17"/>
      <c r="C72" s="17"/>
      <c r="D72" s="17"/>
      <c r="E72" s="17"/>
      <c r="F72" s="17"/>
      <c r="G72" s="17"/>
      <c r="H72" s="17"/>
      <c r="I72" s="17"/>
      <c r="J72" s="17"/>
      <c r="K72" s="17"/>
      <c r="L72" s="17"/>
      <c r="M72" s="17"/>
      <c r="N72" s="17"/>
      <c r="O72" s="17"/>
      <c r="P72" s="17"/>
      <c r="Q72" s="17"/>
      <c r="R72" s="17"/>
      <c r="S72" s="17"/>
      <c r="T72" s="17"/>
      <c r="U72" s="17"/>
    </row>
    <row r="73" spans="1:21" x14ac:dyDescent="0.2">
      <c r="A73" s="17"/>
      <c r="B73" s="17"/>
      <c r="C73" s="17"/>
      <c r="D73" s="17"/>
      <c r="E73" s="17"/>
      <c r="F73" s="17"/>
      <c r="G73" s="17"/>
      <c r="H73" s="17"/>
      <c r="I73" s="17"/>
      <c r="J73" s="17"/>
      <c r="K73" s="17"/>
      <c r="L73" s="17"/>
      <c r="M73" s="17"/>
      <c r="N73" s="17"/>
      <c r="O73" s="17"/>
      <c r="P73" s="17"/>
      <c r="Q73" s="17"/>
      <c r="R73" s="17"/>
      <c r="S73" s="17"/>
      <c r="T73" s="17"/>
      <c r="U73" s="17"/>
    </row>
    <row r="74" spans="1:21" x14ac:dyDescent="0.2">
      <c r="A74" s="17"/>
      <c r="B74" s="17"/>
      <c r="C74" s="17"/>
      <c r="D74" s="17"/>
      <c r="E74" s="17"/>
      <c r="F74" s="17"/>
      <c r="G74" s="17"/>
      <c r="H74" s="17"/>
      <c r="I74" s="17"/>
      <c r="J74" s="17"/>
      <c r="K74" s="17"/>
      <c r="L74" s="17"/>
      <c r="M74" s="17"/>
      <c r="N74" s="17"/>
      <c r="O74" s="17"/>
      <c r="P74" s="17"/>
      <c r="Q74" s="17"/>
      <c r="R74" s="17"/>
      <c r="S74" s="17"/>
      <c r="T74" s="17"/>
      <c r="U74" s="17"/>
    </row>
    <row r="75" spans="1:21" x14ac:dyDescent="0.2">
      <c r="A75" s="17"/>
      <c r="B75" s="17"/>
      <c r="C75" s="17"/>
      <c r="D75" s="17"/>
      <c r="E75" s="17"/>
      <c r="F75" s="17"/>
      <c r="G75" s="17"/>
      <c r="H75" s="17"/>
      <c r="I75" s="17"/>
      <c r="J75" s="17"/>
      <c r="K75" s="17"/>
      <c r="L75" s="17"/>
      <c r="M75" s="17"/>
      <c r="N75" s="17"/>
      <c r="O75" s="17"/>
      <c r="P75" s="17"/>
      <c r="Q75" s="17"/>
      <c r="R75" s="17"/>
      <c r="S75" s="17"/>
      <c r="T75" s="17"/>
      <c r="U75" s="17"/>
    </row>
    <row r="76" spans="1:21" x14ac:dyDescent="0.2">
      <c r="A76" s="17"/>
      <c r="B76" s="17"/>
      <c r="C76" s="17"/>
      <c r="D76" s="17"/>
      <c r="E76" s="17"/>
      <c r="F76" s="17"/>
      <c r="G76" s="17"/>
      <c r="H76" s="17"/>
      <c r="I76" s="17"/>
      <c r="J76" s="17"/>
      <c r="K76" s="17"/>
      <c r="L76" s="17"/>
      <c r="M76" s="17"/>
      <c r="N76" s="17"/>
      <c r="O76" s="17"/>
      <c r="P76" s="17"/>
      <c r="Q76" s="17"/>
      <c r="R76" s="17"/>
      <c r="S76" s="17"/>
      <c r="T76" s="17"/>
      <c r="U76" s="17"/>
    </row>
    <row r="77" spans="1:21" x14ac:dyDescent="0.2">
      <c r="A77" s="17"/>
      <c r="B77" s="17"/>
      <c r="C77" s="17"/>
      <c r="D77" s="17"/>
      <c r="E77" s="17"/>
      <c r="F77" s="17"/>
      <c r="G77" s="17"/>
      <c r="H77" s="17"/>
      <c r="I77" s="17"/>
      <c r="J77" s="17"/>
      <c r="K77" s="17"/>
      <c r="L77" s="17"/>
      <c r="M77" s="17"/>
      <c r="N77" s="17"/>
      <c r="O77" s="17"/>
      <c r="P77" s="17"/>
      <c r="Q77" s="17"/>
      <c r="R77" s="17"/>
      <c r="S77" s="17"/>
      <c r="T77" s="17"/>
      <c r="U77" s="17"/>
    </row>
    <row r="78" spans="1:21" x14ac:dyDescent="0.2">
      <c r="A78" s="17"/>
      <c r="B78" s="17"/>
      <c r="C78" s="17"/>
      <c r="D78" s="17"/>
      <c r="E78" s="17"/>
      <c r="F78" s="17"/>
      <c r="G78" s="17"/>
      <c r="H78" s="17"/>
      <c r="I78" s="17"/>
      <c r="J78" s="17"/>
      <c r="K78" s="17"/>
      <c r="L78" s="17"/>
      <c r="M78" s="17"/>
      <c r="N78" s="17"/>
      <c r="O78" s="17"/>
      <c r="P78" s="17"/>
      <c r="Q78" s="17"/>
      <c r="R78" s="17"/>
      <c r="S78" s="17"/>
      <c r="T78" s="17"/>
      <c r="U78" s="17"/>
    </row>
    <row r="79" spans="1:21" x14ac:dyDescent="0.2">
      <c r="A79" s="17"/>
      <c r="B79" s="17"/>
      <c r="C79" s="17"/>
      <c r="D79" s="17"/>
      <c r="E79" s="17"/>
      <c r="F79" s="17"/>
      <c r="G79" s="17"/>
      <c r="H79" s="17"/>
      <c r="I79" s="17"/>
      <c r="J79" s="17"/>
      <c r="K79" s="17"/>
      <c r="L79" s="17"/>
      <c r="M79" s="17"/>
      <c r="N79" s="17"/>
      <c r="O79" s="17"/>
      <c r="P79" s="17"/>
      <c r="Q79" s="17"/>
      <c r="R79" s="17"/>
      <c r="S79" s="17"/>
      <c r="T79" s="17"/>
      <c r="U79" s="17"/>
    </row>
    <row r="80" spans="1:21" x14ac:dyDescent="0.2">
      <c r="A80" s="17"/>
      <c r="B80" s="17"/>
      <c r="C80" s="17"/>
      <c r="D80" s="17"/>
      <c r="E80" s="17"/>
      <c r="F80" s="17"/>
      <c r="G80" s="17"/>
      <c r="H80" s="17"/>
      <c r="I80" s="17"/>
      <c r="J80" s="17"/>
      <c r="K80" s="17"/>
      <c r="L80" s="17"/>
      <c r="M80" s="17"/>
      <c r="N80" s="17"/>
      <c r="O80" s="17"/>
      <c r="P80" s="17"/>
      <c r="Q80" s="17"/>
      <c r="R80" s="17"/>
      <c r="S80" s="17"/>
      <c r="T80" s="17"/>
      <c r="U80" s="17"/>
    </row>
    <row r="81" spans="1:21" x14ac:dyDescent="0.2">
      <c r="A81" s="17"/>
      <c r="B81" s="17"/>
      <c r="C81" s="17"/>
      <c r="D81" s="17"/>
      <c r="E81" s="17"/>
      <c r="F81" s="17"/>
      <c r="G81" s="17"/>
      <c r="H81" s="17"/>
      <c r="I81" s="17"/>
      <c r="J81" s="17"/>
      <c r="K81" s="17"/>
      <c r="L81" s="17"/>
      <c r="M81" s="17"/>
      <c r="N81" s="17"/>
      <c r="O81" s="17"/>
      <c r="P81" s="17"/>
      <c r="Q81" s="17"/>
      <c r="R81" s="17"/>
      <c r="S81" s="17"/>
      <c r="T81" s="17"/>
      <c r="U81" s="17"/>
    </row>
    <row r="82" spans="1:21" x14ac:dyDescent="0.2">
      <c r="A82" s="17"/>
      <c r="B82" s="17"/>
      <c r="C82" s="17"/>
      <c r="D82" s="17"/>
      <c r="E82" s="17"/>
      <c r="F82" s="17"/>
      <c r="G82" s="17"/>
      <c r="H82" s="17"/>
      <c r="I82" s="17"/>
      <c r="J82" s="17"/>
      <c r="K82" s="17"/>
      <c r="L82" s="17"/>
      <c r="M82" s="17"/>
      <c r="N82" s="17"/>
      <c r="O82" s="17"/>
      <c r="P82" s="17"/>
      <c r="Q82" s="17"/>
      <c r="R82" s="17"/>
      <c r="S82" s="17"/>
      <c r="T82" s="17"/>
      <c r="U82" s="17"/>
    </row>
    <row r="83" spans="1:21" x14ac:dyDescent="0.2">
      <c r="A83" s="17"/>
      <c r="B83" s="17"/>
      <c r="C83" s="17"/>
      <c r="D83" s="17"/>
      <c r="E83" s="17"/>
      <c r="F83" s="17"/>
      <c r="G83" s="17"/>
      <c r="H83" s="17"/>
      <c r="I83" s="17"/>
      <c r="J83" s="17"/>
      <c r="K83" s="17"/>
      <c r="L83" s="17"/>
      <c r="M83" s="17"/>
      <c r="N83" s="17"/>
      <c r="O83" s="17"/>
      <c r="P83" s="17"/>
      <c r="Q83" s="17"/>
      <c r="R83" s="17"/>
      <c r="S83" s="17"/>
      <c r="T83" s="17"/>
      <c r="U83" s="17"/>
    </row>
    <row r="84" spans="1:21" x14ac:dyDescent="0.2">
      <c r="A84" s="17"/>
      <c r="B84" s="17"/>
      <c r="C84" s="17"/>
      <c r="D84" s="17"/>
      <c r="E84" s="17"/>
      <c r="F84" s="17"/>
      <c r="G84" s="17"/>
      <c r="H84" s="17"/>
      <c r="I84" s="17"/>
      <c r="J84" s="17"/>
      <c r="K84" s="17"/>
      <c r="L84" s="17"/>
      <c r="M84" s="17"/>
      <c r="N84" s="17"/>
      <c r="O84" s="17"/>
      <c r="P84" s="17"/>
      <c r="Q84" s="17"/>
      <c r="R84" s="17"/>
      <c r="S84" s="17"/>
      <c r="T84" s="17"/>
      <c r="U84" s="17"/>
    </row>
    <row r="85" spans="1:21" x14ac:dyDescent="0.2">
      <c r="A85" s="17"/>
      <c r="B85" s="17"/>
      <c r="C85" s="17"/>
      <c r="D85" s="17"/>
      <c r="E85" s="17"/>
      <c r="F85" s="17"/>
      <c r="G85" s="17"/>
      <c r="H85" s="17"/>
      <c r="I85" s="17"/>
      <c r="J85" s="17"/>
      <c r="K85" s="17"/>
      <c r="L85" s="17"/>
      <c r="M85" s="17"/>
      <c r="N85" s="17"/>
      <c r="O85" s="17"/>
      <c r="P85" s="17"/>
      <c r="Q85" s="17"/>
      <c r="R85" s="17"/>
      <c r="S85" s="17"/>
      <c r="T85" s="17"/>
      <c r="U85" s="17"/>
    </row>
    <row r="86" spans="1:21" x14ac:dyDescent="0.2">
      <c r="A86" s="17"/>
      <c r="B86" s="17"/>
      <c r="C86" s="17"/>
      <c r="D86" s="17"/>
      <c r="E86" s="17"/>
      <c r="F86" s="17"/>
      <c r="G86" s="17"/>
      <c r="H86" s="17"/>
      <c r="I86" s="17"/>
      <c r="J86" s="17"/>
      <c r="K86" s="17"/>
      <c r="L86" s="17"/>
      <c r="M86" s="17"/>
      <c r="N86" s="17"/>
      <c r="O86" s="17"/>
      <c r="P86" s="17"/>
      <c r="Q86" s="17"/>
      <c r="R86" s="17"/>
      <c r="S86" s="17"/>
      <c r="T86" s="17"/>
      <c r="U86" s="17"/>
    </row>
    <row r="87" spans="1:21" x14ac:dyDescent="0.2">
      <c r="A87" s="17"/>
      <c r="B87" s="17"/>
      <c r="C87" s="17"/>
      <c r="D87" s="17"/>
      <c r="E87" s="17"/>
      <c r="F87" s="17"/>
      <c r="G87" s="17"/>
      <c r="H87" s="17"/>
      <c r="I87" s="17"/>
      <c r="J87" s="17"/>
      <c r="K87" s="17"/>
      <c r="L87" s="17"/>
      <c r="M87" s="17"/>
      <c r="N87" s="17"/>
      <c r="O87" s="17"/>
      <c r="P87" s="17"/>
      <c r="Q87" s="17"/>
      <c r="R87" s="17"/>
      <c r="S87" s="17"/>
      <c r="T87" s="17"/>
      <c r="U87" s="17"/>
    </row>
    <row r="88" spans="1:21" x14ac:dyDescent="0.2">
      <c r="A88" s="17"/>
      <c r="B88" s="17"/>
      <c r="C88" s="17"/>
      <c r="D88" s="17"/>
      <c r="E88" s="17"/>
      <c r="F88" s="17"/>
      <c r="G88" s="17"/>
      <c r="H88" s="17"/>
      <c r="I88" s="17"/>
      <c r="J88" s="17"/>
      <c r="K88" s="17"/>
      <c r="L88" s="17"/>
      <c r="M88" s="17"/>
      <c r="N88" s="17"/>
      <c r="O88" s="17"/>
      <c r="P88" s="17"/>
      <c r="Q88" s="17"/>
      <c r="R88" s="17"/>
      <c r="S88" s="17"/>
      <c r="T88" s="17"/>
      <c r="U88" s="17"/>
    </row>
    <row r="89" spans="1:21" x14ac:dyDescent="0.2">
      <c r="A89" s="17"/>
      <c r="B89" s="17"/>
      <c r="C89" s="17"/>
      <c r="D89" s="17"/>
      <c r="E89" s="17"/>
      <c r="F89" s="17"/>
      <c r="G89" s="17"/>
      <c r="H89" s="17"/>
      <c r="I89" s="17"/>
      <c r="J89" s="17"/>
      <c r="K89" s="17"/>
      <c r="L89" s="17"/>
      <c r="M89" s="17"/>
      <c r="N89" s="17"/>
      <c r="O89" s="17"/>
      <c r="P89" s="17"/>
      <c r="Q89" s="17"/>
      <c r="R89" s="17"/>
      <c r="S89" s="17"/>
      <c r="T89" s="17"/>
      <c r="U89" s="17"/>
    </row>
    <row r="90" spans="1:21" x14ac:dyDescent="0.2">
      <c r="A90" s="17"/>
      <c r="B90" s="17"/>
      <c r="C90" s="17"/>
      <c r="D90" s="17"/>
      <c r="E90" s="17"/>
      <c r="F90" s="17"/>
      <c r="G90" s="17"/>
      <c r="H90" s="17"/>
      <c r="I90" s="17"/>
      <c r="J90" s="17"/>
      <c r="K90" s="17"/>
      <c r="L90" s="17"/>
      <c r="M90" s="17"/>
      <c r="N90" s="17"/>
      <c r="O90" s="17"/>
      <c r="P90" s="17"/>
      <c r="Q90" s="17"/>
      <c r="R90" s="17"/>
      <c r="S90" s="17"/>
      <c r="T90" s="17"/>
      <c r="U90" s="17"/>
    </row>
    <row r="91" spans="1:21" x14ac:dyDescent="0.2">
      <c r="A91" s="17"/>
      <c r="B91" s="17"/>
      <c r="C91" s="17"/>
      <c r="D91" s="17"/>
      <c r="E91" s="17"/>
      <c r="F91" s="17"/>
      <c r="G91" s="17"/>
      <c r="H91" s="17"/>
      <c r="I91" s="17"/>
      <c r="J91" s="17"/>
      <c r="K91" s="17"/>
      <c r="L91" s="17"/>
      <c r="M91" s="17"/>
      <c r="N91" s="17"/>
      <c r="O91" s="17"/>
      <c r="P91" s="17"/>
      <c r="Q91" s="17"/>
      <c r="R91" s="17"/>
      <c r="S91" s="17"/>
      <c r="T91" s="17"/>
      <c r="U91" s="17"/>
    </row>
    <row r="92" spans="1:21" x14ac:dyDescent="0.2">
      <c r="A92" s="17"/>
      <c r="B92" s="17"/>
      <c r="C92" s="17"/>
      <c r="D92" s="17"/>
      <c r="E92" s="17"/>
      <c r="F92" s="17"/>
      <c r="G92" s="17"/>
      <c r="H92" s="17"/>
      <c r="I92" s="17"/>
      <c r="J92" s="17"/>
      <c r="K92" s="17"/>
      <c r="L92" s="17"/>
      <c r="M92" s="17"/>
      <c r="N92" s="17"/>
      <c r="O92" s="17"/>
      <c r="P92" s="17"/>
      <c r="Q92" s="17"/>
      <c r="R92" s="17"/>
      <c r="S92" s="17"/>
      <c r="T92" s="17"/>
      <c r="U92" s="17"/>
    </row>
    <row r="93" spans="1:21" x14ac:dyDescent="0.2">
      <c r="A93" s="17"/>
      <c r="B93" s="17"/>
      <c r="C93" s="17"/>
      <c r="D93" s="17"/>
      <c r="E93" s="17"/>
      <c r="F93" s="17"/>
      <c r="G93" s="17"/>
      <c r="H93" s="17"/>
      <c r="I93" s="17"/>
      <c r="J93" s="17"/>
      <c r="K93" s="17"/>
      <c r="L93" s="17"/>
      <c r="M93" s="17"/>
      <c r="N93" s="17"/>
      <c r="O93" s="17"/>
      <c r="P93" s="17"/>
      <c r="Q93" s="17"/>
      <c r="R93" s="17"/>
      <c r="S93" s="17"/>
      <c r="T93" s="17"/>
      <c r="U93" s="17"/>
    </row>
    <row r="94" spans="1:21" x14ac:dyDescent="0.2">
      <c r="A94" s="17"/>
      <c r="B94" s="17"/>
      <c r="C94" s="17"/>
      <c r="D94" s="17"/>
      <c r="E94" s="17"/>
      <c r="F94" s="17"/>
      <c r="G94" s="17"/>
      <c r="H94" s="17"/>
      <c r="I94" s="17"/>
      <c r="J94" s="17"/>
      <c r="K94" s="17"/>
      <c r="L94" s="17"/>
      <c r="M94" s="17"/>
      <c r="N94" s="17"/>
      <c r="O94" s="17"/>
      <c r="P94" s="17"/>
      <c r="Q94" s="17"/>
      <c r="R94" s="17"/>
      <c r="S94" s="17"/>
      <c r="T94" s="17"/>
      <c r="U94" s="17"/>
    </row>
  </sheetData>
  <mergeCells count="7">
    <mergeCell ref="C6:D6"/>
    <mergeCell ref="F6:G6"/>
    <mergeCell ref="I6:J6"/>
    <mergeCell ref="L6:M6"/>
    <mergeCell ref="B5:B8"/>
    <mergeCell ref="K7:K8"/>
    <mergeCell ref="E4:E8"/>
  </mergeCells>
  <phoneticPr fontId="0" type="noConversion"/>
  <printOptions horizontalCentered="1"/>
  <pageMargins left="0.75" right="0.75" top="1" bottom="1" header="0.5" footer="0.5"/>
  <pageSetup scale="73" firstPageNumber="19" orientation="landscape" useFirstPageNumber="1" r:id="rId1"/>
  <headerFooter alignWithMargins="0">
    <oddFooter>&amp;L&amp;12Revised:  July 2020</oddFooter>
  </headerFooter>
  <rowBreaks count="1" manualBreakCount="1">
    <brk id="34" max="14"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6">
    <tabColor theme="7" tint="0.59999389629810485"/>
    <pageSetUpPr fitToPage="1"/>
  </sheetPr>
  <dimension ref="A1:AU190"/>
  <sheetViews>
    <sheetView showGridLines="0" zoomScaleNormal="100" workbookViewId="0">
      <pane xSplit="1" ySplit="8" topLeftCell="B9" activePane="bottomRight" state="frozen"/>
      <selection activeCell="A6" sqref="A6"/>
      <selection pane="topRight" activeCell="A6" sqref="A6"/>
      <selection pane="bottomLeft" activeCell="A6" sqref="A6"/>
      <selection pane="bottomRight" activeCell="A6" sqref="A6"/>
    </sheetView>
  </sheetViews>
  <sheetFormatPr defaultColWidth="8.42578125" defaultRowHeight="12.75" x14ac:dyDescent="0.2"/>
  <cols>
    <col min="1" max="1" width="40.7109375" style="3" customWidth="1"/>
    <col min="2" max="4" width="14.7109375" style="3" customWidth="1"/>
    <col min="5" max="5" width="1.7109375" style="3" customWidth="1"/>
    <col min="6" max="8" width="14.7109375" style="5" customWidth="1"/>
    <col min="9" max="9" width="1.7109375" style="5" customWidth="1"/>
    <col min="10" max="12" width="14.7109375" style="5" customWidth="1"/>
    <col min="13" max="13" width="1.7109375" style="5" customWidth="1"/>
    <col min="14" max="16" width="14.7109375" style="5" customWidth="1"/>
    <col min="17" max="17" width="8.42578125" style="5"/>
    <col min="18" max="18" width="22.7109375" style="5" customWidth="1"/>
    <col min="19" max="19" width="8.7109375" style="5" bestFit="1" customWidth="1"/>
    <col min="20" max="16384" width="8.42578125" style="5"/>
  </cols>
  <sheetData>
    <row r="1" spans="1:47" ht="15.75" x14ac:dyDescent="0.25">
      <c r="A1" s="414" t="s">
        <v>223</v>
      </c>
      <c r="B1" s="414"/>
      <c r="C1" s="414"/>
      <c r="D1" s="414"/>
      <c r="E1" s="414"/>
      <c r="F1" s="414"/>
      <c r="G1" s="414"/>
      <c r="H1" s="414"/>
      <c r="I1" s="204"/>
      <c r="J1" s="204"/>
      <c r="K1" s="204"/>
      <c r="L1" s="204"/>
      <c r="M1" s="33"/>
      <c r="N1" s="33"/>
      <c r="O1" s="33"/>
      <c r="P1" s="33"/>
      <c r="Q1" s="33"/>
      <c r="R1" s="33"/>
      <c r="S1" s="33"/>
      <c r="T1" s="33"/>
      <c r="U1" s="33"/>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row>
    <row r="2" spans="1:47" ht="15.75" x14ac:dyDescent="0.25">
      <c r="A2" s="414" t="s">
        <v>408</v>
      </c>
      <c r="B2" s="414"/>
      <c r="C2" s="414"/>
      <c r="D2" s="414"/>
      <c r="E2" s="414"/>
      <c r="F2" s="414"/>
      <c r="G2" s="414"/>
      <c r="H2" s="414"/>
      <c r="I2" s="204"/>
      <c r="J2" s="204"/>
      <c r="K2" s="204"/>
      <c r="L2" s="204"/>
      <c r="M2" s="33"/>
      <c r="N2" s="33"/>
      <c r="O2" s="33"/>
      <c r="P2" s="33"/>
      <c r="Q2" s="33"/>
      <c r="R2" s="33"/>
      <c r="S2" s="33"/>
      <c r="T2" s="33"/>
      <c r="U2" s="33"/>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row>
    <row r="3" spans="1:47" ht="15.75" x14ac:dyDescent="0.25">
      <c r="A3" s="414" t="s">
        <v>367</v>
      </c>
      <c r="B3" s="414"/>
      <c r="C3" s="414"/>
      <c r="D3" s="414"/>
      <c r="E3" s="414"/>
      <c r="F3" s="414"/>
      <c r="G3" s="414"/>
      <c r="H3" s="414"/>
      <c r="I3" s="204"/>
      <c r="J3" s="204"/>
      <c r="K3" s="204"/>
      <c r="L3" s="204"/>
      <c r="M3" s="33"/>
      <c r="N3" s="33"/>
      <c r="O3" s="33"/>
      <c r="P3" s="33"/>
      <c r="Q3" s="33"/>
      <c r="R3" s="33"/>
      <c r="S3" s="33"/>
      <c r="T3" s="33"/>
      <c r="U3" s="33"/>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row>
    <row r="4" spans="1:47" ht="15.75" x14ac:dyDescent="0.25">
      <c r="A4" s="414" t="s">
        <v>52</v>
      </c>
      <c r="B4" s="414"/>
      <c r="C4" s="414"/>
      <c r="D4" s="414"/>
      <c r="E4" s="414"/>
      <c r="F4" s="414"/>
      <c r="G4" s="414"/>
      <c r="H4" s="414"/>
      <c r="I4" s="204"/>
      <c r="J4" s="204"/>
      <c r="K4" s="204"/>
      <c r="L4" s="204"/>
      <c r="M4" s="33"/>
      <c r="N4" s="425" t="s">
        <v>300</v>
      </c>
      <c r="O4" s="425"/>
      <c r="P4" s="425"/>
      <c r="Q4" s="425"/>
      <c r="R4" s="33"/>
      <c r="S4" s="33"/>
      <c r="T4" s="33"/>
      <c r="U4" s="33"/>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row>
    <row r="5" spans="1:47" ht="15.75" x14ac:dyDescent="0.25">
      <c r="A5" s="414" t="str">
        <f>+'GW Stmt Activities Exh 2'!A3</f>
        <v>For the Year Ended June 30, 2020</v>
      </c>
      <c r="B5" s="414"/>
      <c r="C5" s="414"/>
      <c r="D5" s="414"/>
      <c r="E5" s="414"/>
      <c r="F5" s="414"/>
      <c r="G5" s="414"/>
      <c r="H5" s="414"/>
      <c r="I5" s="204"/>
      <c r="J5" s="204"/>
      <c r="K5" s="204"/>
      <c r="L5" s="204"/>
      <c r="M5" s="33"/>
      <c r="N5" s="33"/>
      <c r="O5" s="33"/>
      <c r="P5" s="33"/>
      <c r="Q5" s="33"/>
      <c r="R5" s="33"/>
      <c r="S5" s="33"/>
      <c r="T5" s="33"/>
      <c r="U5" s="33"/>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row>
    <row r="6" spans="1:47" ht="21.95" customHeight="1" x14ac:dyDescent="0.35">
      <c r="A6" s="33"/>
      <c r="B6" s="365" t="str">
        <f>'Govt Funds Bal Sh Exh 3'!C7</f>
        <v>Owl - Doceo</v>
      </c>
      <c r="C6" s="365"/>
      <c r="D6" s="365"/>
      <c r="E6" s="67"/>
      <c r="F6" s="365" t="str">
        <f>'Govt Funds Bal Sh Exh 3'!D7</f>
        <v>Owl - Erudio</v>
      </c>
      <c r="G6" s="365"/>
      <c r="H6" s="365"/>
      <c r="I6" s="67"/>
      <c r="J6" s="372" t="str">
        <f>'Govt Funds Bal Sh Exh 3'!E7</f>
        <v>Owl - Discite</v>
      </c>
      <c r="K6" s="372"/>
      <c r="L6" s="372"/>
      <c r="M6" s="67"/>
      <c r="N6" s="365" t="s">
        <v>266</v>
      </c>
      <c r="O6" s="365"/>
      <c r="P6" s="365"/>
      <c r="Q6" s="33"/>
      <c r="R6" s="33"/>
      <c r="S6" s="33"/>
      <c r="T6" s="33"/>
      <c r="U6" s="33"/>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row>
    <row r="7" spans="1:47" ht="17.25" x14ac:dyDescent="0.35">
      <c r="A7" s="33"/>
      <c r="B7" s="206"/>
      <c r="C7" s="206"/>
      <c r="D7" s="208" t="s">
        <v>48</v>
      </c>
      <c r="E7" s="208"/>
      <c r="F7" s="206"/>
      <c r="G7" s="206"/>
      <c r="H7" s="208" t="s">
        <v>48</v>
      </c>
      <c r="I7" s="208"/>
      <c r="J7" s="206"/>
      <c r="K7" s="206"/>
      <c r="L7" s="208" t="s">
        <v>48</v>
      </c>
      <c r="M7" s="208"/>
      <c r="N7" s="219"/>
      <c r="O7" s="219"/>
      <c r="P7" s="220" t="s">
        <v>48</v>
      </c>
      <c r="Q7" s="33"/>
      <c r="R7" s="33"/>
      <c r="S7" s="33"/>
      <c r="T7" s="33"/>
      <c r="U7" s="33"/>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row>
    <row r="8" spans="1:47" ht="37.5" x14ac:dyDescent="0.55000000000000004">
      <c r="A8" s="33"/>
      <c r="B8" s="27" t="s">
        <v>248</v>
      </c>
      <c r="C8" s="27" t="s">
        <v>47</v>
      </c>
      <c r="D8" s="27" t="s">
        <v>250</v>
      </c>
      <c r="E8" s="27"/>
      <c r="F8" s="27" t="s">
        <v>248</v>
      </c>
      <c r="G8" s="27" t="s">
        <v>47</v>
      </c>
      <c r="H8" s="27" t="s">
        <v>250</v>
      </c>
      <c r="I8" s="27"/>
      <c r="J8" s="27" t="s">
        <v>248</v>
      </c>
      <c r="K8" s="27" t="s">
        <v>47</v>
      </c>
      <c r="L8" s="27" t="s">
        <v>250</v>
      </c>
      <c r="M8" s="27"/>
      <c r="N8" s="27" t="s">
        <v>248</v>
      </c>
      <c r="O8" s="27" t="s">
        <v>47</v>
      </c>
      <c r="P8" s="27" t="s">
        <v>250</v>
      </c>
      <c r="Q8" s="33"/>
      <c r="R8" s="331" t="s">
        <v>258</v>
      </c>
      <c r="S8" s="33"/>
      <c r="T8" s="33"/>
      <c r="U8" s="33"/>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row>
    <row r="9" spans="1:47" ht="15.75" x14ac:dyDescent="0.25">
      <c r="A9" s="233" t="s">
        <v>268</v>
      </c>
      <c r="B9" s="33"/>
      <c r="C9" s="33"/>
      <c r="D9" s="33"/>
      <c r="E9" s="33"/>
      <c r="F9" s="33"/>
      <c r="G9" s="33"/>
      <c r="H9" s="33"/>
      <c r="I9" s="33"/>
      <c r="J9" s="33"/>
      <c r="K9" s="33"/>
      <c r="L9" s="33"/>
      <c r="M9" s="33"/>
      <c r="N9" s="71"/>
      <c r="O9" s="71"/>
      <c r="P9" s="71"/>
      <c r="Q9" s="33"/>
      <c r="R9" s="33"/>
      <c r="S9" s="33"/>
      <c r="T9" s="33"/>
      <c r="U9" s="33"/>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row>
    <row r="10" spans="1:47" ht="17.25" x14ac:dyDescent="0.35">
      <c r="A10" s="235" t="s">
        <v>412</v>
      </c>
      <c r="B10" s="83">
        <v>4167</v>
      </c>
      <c r="C10" s="83">
        <v>7194</v>
      </c>
      <c r="D10" s="83">
        <f>+C10-B10</f>
        <v>3027</v>
      </c>
      <c r="E10" s="221"/>
      <c r="F10" s="83">
        <f>4925+3536+1510</f>
        <v>9971</v>
      </c>
      <c r="G10" s="83">
        <v>11252</v>
      </c>
      <c r="H10" s="83">
        <f>+G10-F10</f>
        <v>1281</v>
      </c>
      <c r="I10" s="33"/>
      <c r="J10" s="83">
        <v>0</v>
      </c>
      <c r="K10" s="83">
        <v>0</v>
      </c>
      <c r="L10" s="83">
        <f>+K10-J10</f>
        <v>0</v>
      </c>
      <c r="M10" s="33"/>
      <c r="N10" s="83">
        <f>B10+F10+J10</f>
        <v>14138</v>
      </c>
      <c r="O10" s="83">
        <f>C10+G10+K10</f>
        <v>18446</v>
      </c>
      <c r="P10" s="83">
        <f>+O10-N10</f>
        <v>4308</v>
      </c>
      <c r="Q10" s="33"/>
      <c r="R10" s="210" t="str">
        <f>IF(O10-SUM('Enterprise Income Stmt Exh 7'!M12:'Enterprise Income Stmt Exh 7'!N12)=0,"Yes",O10-SUM('Enterprise Income Stmt Exh 7'!M12:'Enterprise Income Stmt Exh 7'!N12))</f>
        <v>Yes</v>
      </c>
      <c r="S10" s="33"/>
      <c r="T10" s="33"/>
      <c r="U10" s="33"/>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row>
    <row r="11" spans="1:47" ht="20.100000000000001" customHeight="1" x14ac:dyDescent="0.25">
      <c r="A11" s="233" t="s">
        <v>114</v>
      </c>
      <c r="B11" s="33"/>
      <c r="C11" s="33"/>
      <c r="D11" s="33"/>
      <c r="E11" s="33"/>
      <c r="F11" s="33"/>
      <c r="G11" s="33"/>
      <c r="H11" s="33"/>
      <c r="I11" s="33"/>
      <c r="J11" s="33"/>
      <c r="K11" s="213"/>
      <c r="L11" s="33"/>
      <c r="M11" s="33"/>
      <c r="N11" s="186"/>
      <c r="O11" s="186"/>
      <c r="P11" s="186"/>
      <c r="Q11" s="33"/>
      <c r="R11" s="33"/>
      <c r="S11" s="33"/>
      <c r="T11" s="33"/>
      <c r="U11" s="33"/>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row>
    <row r="12" spans="1:47" ht="15" x14ac:dyDescent="0.2">
      <c r="A12" s="235" t="s">
        <v>105</v>
      </c>
      <c r="B12" s="212">
        <v>3720</v>
      </c>
      <c r="C12" s="212">
        <v>4412</v>
      </c>
      <c r="D12" s="212">
        <f>+B12-C12</f>
        <v>-692</v>
      </c>
      <c r="E12" s="212"/>
      <c r="F12" s="212">
        <f>4396+4412</f>
        <v>8808</v>
      </c>
      <c r="G12" s="212">
        <v>7315</v>
      </c>
      <c r="H12" s="212">
        <f>+F12-G12</f>
        <v>1493</v>
      </c>
      <c r="I12" s="33"/>
      <c r="J12" s="212">
        <v>0</v>
      </c>
      <c r="K12" s="212">
        <v>0</v>
      </c>
      <c r="L12" s="212">
        <f>+K12-J12</f>
        <v>0</v>
      </c>
      <c r="M12" s="33"/>
      <c r="N12" s="212">
        <f t="shared" ref="N12:O14" si="0">B12+F12+J12</f>
        <v>12528</v>
      </c>
      <c r="O12" s="212">
        <f t="shared" si="0"/>
        <v>11727</v>
      </c>
      <c r="P12" s="222">
        <f>+N12-O12</f>
        <v>801</v>
      </c>
      <c r="Q12" s="33"/>
      <c r="R12" s="210" t="str">
        <f>IF(O12-SUM('Enterprise Income Stmt Exh 7'!M19:'Enterprise Income Stmt Exh 7'!N19)=0,"Yes",O12-SUM('Enterprise Income Stmt Exh 7'!M19:'Enterprise Income Stmt Exh 7'!N19))</f>
        <v>Yes</v>
      </c>
      <c r="S12" s="33"/>
      <c r="T12" s="33"/>
      <c r="U12" s="33"/>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row>
    <row r="13" spans="1:47" ht="15" x14ac:dyDescent="0.2">
      <c r="A13" s="235" t="s">
        <v>107</v>
      </c>
      <c r="B13" s="212">
        <v>165</v>
      </c>
      <c r="C13" s="212">
        <v>202</v>
      </c>
      <c r="D13" s="212">
        <f>+B13-C13</f>
        <v>-37</v>
      </c>
      <c r="E13" s="212"/>
      <c r="F13" s="212">
        <f>195+202</f>
        <v>397</v>
      </c>
      <c r="G13" s="212">
        <v>315</v>
      </c>
      <c r="H13" s="212">
        <f>+F13-G13</f>
        <v>82</v>
      </c>
      <c r="I13" s="33"/>
      <c r="J13" s="212">
        <v>0</v>
      </c>
      <c r="K13" s="212">
        <v>0</v>
      </c>
      <c r="L13" s="212">
        <f>+K13-J13</f>
        <v>0</v>
      </c>
      <c r="M13" s="33"/>
      <c r="N13" s="212">
        <f t="shared" si="0"/>
        <v>562</v>
      </c>
      <c r="O13" s="212">
        <f t="shared" si="0"/>
        <v>517</v>
      </c>
      <c r="P13" s="222">
        <f>+N13-O13</f>
        <v>45</v>
      </c>
      <c r="Q13" s="33"/>
      <c r="R13" s="210" t="str">
        <f>IF(O13-SUM('Enterprise Income Stmt Exh 7'!M21:'Enterprise Income Stmt Exh 7'!N21)=0,"Yes",O13-SUM('Enterprise Income Stmt Exh 7'!M21:'Enterprise Income Stmt Exh 7'!N21))</f>
        <v>Yes</v>
      </c>
      <c r="S13" s="33"/>
      <c r="T13" s="33"/>
      <c r="U13" s="33"/>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row>
    <row r="14" spans="1:47" ht="17.25" x14ac:dyDescent="0.35">
      <c r="A14" s="235" t="s">
        <v>50</v>
      </c>
      <c r="B14" s="214">
        <v>209</v>
      </c>
      <c r="C14" s="214">
        <v>426</v>
      </c>
      <c r="D14" s="214">
        <f>+B14-C14</f>
        <v>-217</v>
      </c>
      <c r="E14" s="212"/>
      <c r="F14" s="214">
        <f>247+426</f>
        <v>673</v>
      </c>
      <c r="G14" s="214">
        <v>667</v>
      </c>
      <c r="H14" s="214">
        <f>+F14-G14</f>
        <v>6</v>
      </c>
      <c r="I14" s="33"/>
      <c r="J14" s="214">
        <v>0</v>
      </c>
      <c r="K14" s="214">
        <v>0</v>
      </c>
      <c r="L14" s="214">
        <f>+K14-J14</f>
        <v>0</v>
      </c>
      <c r="M14" s="33"/>
      <c r="N14" s="214">
        <f t="shared" si="0"/>
        <v>882</v>
      </c>
      <c r="O14" s="214">
        <f t="shared" si="0"/>
        <v>1093</v>
      </c>
      <c r="P14" s="223">
        <f>+N14-O14</f>
        <v>-211</v>
      </c>
      <c r="Q14" s="33"/>
      <c r="R14" s="210" t="str">
        <f>IF(O14-SUM('Enterprise Income Stmt Exh 7'!M23:'Enterprise Income Stmt Exh 7'!N23)=0,"Yes",O14-SUM('Enterprise Income Stmt Exh 7'!M23:'Enterprise Income Stmt Exh 7'!N23))</f>
        <v>Yes</v>
      </c>
      <c r="S14" s="33"/>
      <c r="T14" s="33"/>
      <c r="U14" s="33"/>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row>
    <row r="15" spans="1:47" ht="15" x14ac:dyDescent="0.2">
      <c r="A15" s="246" t="s">
        <v>126</v>
      </c>
      <c r="B15" s="212">
        <f>SUM(B12:B14)</f>
        <v>4094</v>
      </c>
      <c r="C15" s="212">
        <f>SUM(C12:C14)</f>
        <v>5040</v>
      </c>
      <c r="D15" s="212">
        <f>SUM(D12:D14)</f>
        <v>-946</v>
      </c>
      <c r="E15" s="212"/>
      <c r="F15" s="212">
        <f>SUM(F12:F14)</f>
        <v>9878</v>
      </c>
      <c r="G15" s="212">
        <f>SUM(G12:G14)</f>
        <v>8297</v>
      </c>
      <c r="H15" s="212">
        <f>SUM(H12:H14)</f>
        <v>1581</v>
      </c>
      <c r="I15" s="33"/>
      <c r="J15" s="212">
        <f>SUM(J12:J14)</f>
        <v>0</v>
      </c>
      <c r="K15" s="212">
        <f>SUM(K12:K14)</f>
        <v>0</v>
      </c>
      <c r="L15" s="212">
        <f>SUM(L12:L14)</f>
        <v>0</v>
      </c>
      <c r="M15" s="33"/>
      <c r="N15" s="212">
        <f>SUM(N12:N14)</f>
        <v>13972</v>
      </c>
      <c r="O15" s="212">
        <f>SUM(O12:O14)</f>
        <v>13337</v>
      </c>
      <c r="P15" s="212">
        <f>SUM(P12:P14)</f>
        <v>635</v>
      </c>
      <c r="Q15" s="33"/>
      <c r="R15" s="265"/>
      <c r="S15" s="33"/>
      <c r="T15" s="33"/>
      <c r="U15" s="33"/>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row>
    <row r="16" spans="1:47" ht="18" customHeight="1" x14ac:dyDescent="0.25">
      <c r="A16" s="261" t="s">
        <v>314</v>
      </c>
      <c r="B16" s="212"/>
      <c r="C16" s="212"/>
      <c r="D16" s="212"/>
      <c r="E16" s="212"/>
      <c r="F16" s="212"/>
      <c r="G16" s="212"/>
      <c r="H16" s="212"/>
      <c r="I16" s="33"/>
      <c r="J16" s="212"/>
      <c r="K16" s="33"/>
      <c r="L16" s="212"/>
      <c r="M16" s="33"/>
      <c r="N16" s="222"/>
      <c r="O16" s="186"/>
      <c r="P16" s="222"/>
      <c r="Q16" s="33"/>
      <c r="R16" s="265"/>
      <c r="S16" s="33"/>
      <c r="T16" s="33"/>
      <c r="U16" s="33"/>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row>
    <row r="17" spans="1:47" ht="17.25" x14ac:dyDescent="0.35">
      <c r="A17" s="237" t="s">
        <v>313</v>
      </c>
      <c r="B17" s="214">
        <v>337</v>
      </c>
      <c r="C17" s="214">
        <v>389</v>
      </c>
      <c r="D17" s="214">
        <f>+B17-C17</f>
        <v>-52</v>
      </c>
      <c r="E17" s="212"/>
      <c r="F17" s="214">
        <f>398+231</f>
        <v>629</v>
      </c>
      <c r="G17" s="214">
        <v>438</v>
      </c>
      <c r="H17" s="214">
        <f>+F17-G17</f>
        <v>191</v>
      </c>
      <c r="I17" s="33"/>
      <c r="J17" s="214">
        <v>0</v>
      </c>
      <c r="K17" s="214">
        <v>0</v>
      </c>
      <c r="L17" s="214">
        <f>+J17-K17</f>
        <v>0</v>
      </c>
      <c r="M17" s="33"/>
      <c r="N17" s="214">
        <f>B17+F17+J17</f>
        <v>966</v>
      </c>
      <c r="O17" s="214">
        <f>C17+G17+K17</f>
        <v>827</v>
      </c>
      <c r="P17" s="223">
        <f>+N17-O17</f>
        <v>139</v>
      </c>
      <c r="Q17" s="33"/>
      <c r="R17" s="264" t="str">
        <f>IF(-O17-SUM('Enterprise Cash Flow Exh 8'!M19:'Enterprise Cash Flow Exh 8'!O19)=0,"Yes",-O17-SUM('Enterprise Cash Flow Exh 8'!M19:'Enterprise Cash Flow Exh 8'!O19))</f>
        <v>Yes</v>
      </c>
      <c r="S17" s="33"/>
      <c r="T17" s="33"/>
      <c r="U17" s="33"/>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row>
    <row r="18" spans="1:47" ht="15" customHeight="1" x14ac:dyDescent="0.35">
      <c r="A18" s="238" t="s">
        <v>18</v>
      </c>
      <c r="B18" s="188">
        <f>+B15+B17</f>
        <v>4431</v>
      </c>
      <c r="C18" s="188">
        <f>+C15+C17</f>
        <v>5429</v>
      </c>
      <c r="D18" s="188">
        <f>+D15+D17</f>
        <v>-998</v>
      </c>
      <c r="E18" s="188"/>
      <c r="F18" s="188">
        <f>+F15+F17</f>
        <v>10507</v>
      </c>
      <c r="G18" s="188">
        <f>+G15+G17</f>
        <v>8735</v>
      </c>
      <c r="H18" s="188">
        <f>+H15+H17</f>
        <v>1772</v>
      </c>
      <c r="I18" s="188"/>
      <c r="J18" s="188">
        <f>+J15+J17</f>
        <v>0</v>
      </c>
      <c r="K18" s="188">
        <f>+K15+K17</f>
        <v>0</v>
      </c>
      <c r="L18" s="188">
        <f>+L15+L17</f>
        <v>0</v>
      </c>
      <c r="M18" s="188"/>
      <c r="N18" s="188">
        <f>+N15+N17</f>
        <v>14938</v>
      </c>
      <c r="O18" s="188">
        <f>+O15+O17</f>
        <v>14164</v>
      </c>
      <c r="P18" s="188">
        <f>+P15+P17</f>
        <v>774</v>
      </c>
      <c r="Q18" s="33"/>
      <c r="R18" s="265"/>
      <c r="S18" s="33"/>
      <c r="T18" s="33"/>
      <c r="U18" s="33"/>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row>
    <row r="19" spans="1:47" ht="24.95" customHeight="1" x14ac:dyDescent="0.2">
      <c r="A19" s="256" t="s">
        <v>310</v>
      </c>
      <c r="B19" s="76">
        <f>+B10-B18</f>
        <v>-264</v>
      </c>
      <c r="C19" s="76">
        <f>+C10-C18</f>
        <v>1765</v>
      </c>
      <c r="D19" s="76">
        <f>+C19-B19</f>
        <v>2029</v>
      </c>
      <c r="E19" s="76"/>
      <c r="F19" s="76">
        <f>+F10-F18</f>
        <v>-536</v>
      </c>
      <c r="G19" s="76">
        <f>+G10-G18</f>
        <v>2517</v>
      </c>
      <c r="H19" s="262">
        <f>+G19-F19</f>
        <v>3053</v>
      </c>
      <c r="I19" s="76"/>
      <c r="J19" s="262">
        <f>+J10-J18</f>
        <v>0</v>
      </c>
      <c r="K19" s="76">
        <f>+K10-K18</f>
        <v>0</v>
      </c>
      <c r="L19" s="262">
        <f>+K19-J19</f>
        <v>0</v>
      </c>
      <c r="M19" s="76"/>
      <c r="N19" s="262">
        <f>+N10-N18</f>
        <v>-800</v>
      </c>
      <c r="O19" s="262">
        <f>+O10-O18</f>
        <v>4282</v>
      </c>
      <c r="P19" s="262">
        <f>+O19-N19</f>
        <v>5082</v>
      </c>
      <c r="Q19" s="76"/>
      <c r="R19" s="277"/>
      <c r="S19" s="33"/>
      <c r="T19" s="33"/>
      <c r="U19" s="33"/>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row>
    <row r="20" spans="1:47" ht="17.25" x14ac:dyDescent="0.35">
      <c r="A20" s="182" t="s">
        <v>146</v>
      </c>
      <c r="B20" s="214">
        <v>264</v>
      </c>
      <c r="C20" s="214">
        <v>364</v>
      </c>
      <c r="D20" s="214">
        <f>+C20-B20</f>
        <v>100</v>
      </c>
      <c r="E20" s="212"/>
      <c r="F20" s="214">
        <f>311+225</f>
        <v>536</v>
      </c>
      <c r="G20" s="214">
        <v>570</v>
      </c>
      <c r="H20" s="214">
        <f>+G20-F20</f>
        <v>34</v>
      </c>
      <c r="I20" s="33"/>
      <c r="J20" s="214">
        <v>0</v>
      </c>
      <c r="K20" s="214">
        <v>0</v>
      </c>
      <c r="L20" s="214">
        <f>+K20-J20</f>
        <v>0</v>
      </c>
      <c r="M20" s="33"/>
      <c r="N20" s="214">
        <f>B20+F20+J20</f>
        <v>800</v>
      </c>
      <c r="O20" s="214">
        <f>C20+G20+K20</f>
        <v>934</v>
      </c>
      <c r="P20" s="223">
        <f>+O20-N20</f>
        <v>134</v>
      </c>
      <c r="Q20" s="33"/>
      <c r="R20" s="210" t="str">
        <f>IF(O20-SUM('Enterprise Income Stmt Exh 7'!M32:'Enterprise Income Stmt Exh 7'!N32)=0,"Yes",O20-SUM('Enterprise Income Stmt Exh 7'!M32:'Enterprise Income Stmt Exh 7'!N32))</f>
        <v>Yes</v>
      </c>
      <c r="S20" s="33"/>
      <c r="T20" s="33"/>
      <c r="U20" s="33"/>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row>
    <row r="21" spans="1:47" ht="35.1" customHeight="1" x14ac:dyDescent="0.35">
      <c r="A21" s="224" t="s">
        <v>256</v>
      </c>
      <c r="B21" s="37">
        <f>+B19+B20</f>
        <v>0</v>
      </c>
      <c r="C21" s="212">
        <f>+C19+C20</f>
        <v>2129</v>
      </c>
      <c r="D21" s="37">
        <f>+D19+D20</f>
        <v>2129</v>
      </c>
      <c r="E21" s="33"/>
      <c r="F21" s="37">
        <f>+F19+F20</f>
        <v>0</v>
      </c>
      <c r="G21" s="212">
        <f>+G19+G20</f>
        <v>3087</v>
      </c>
      <c r="H21" s="37">
        <f>+H19+H20</f>
        <v>3087</v>
      </c>
      <c r="I21" s="33"/>
      <c r="J21" s="37">
        <f>+J19+J20</f>
        <v>0</v>
      </c>
      <c r="K21" s="212">
        <f>+K19+K20</f>
        <v>0</v>
      </c>
      <c r="L21" s="37">
        <f>+L19+L20</f>
        <v>0</v>
      </c>
      <c r="M21" s="33"/>
      <c r="N21" s="37">
        <f>+N19+N20</f>
        <v>0</v>
      </c>
      <c r="O21" s="212">
        <f>+O19+O20</f>
        <v>5216</v>
      </c>
      <c r="P21" s="37">
        <f>+P19+P20</f>
        <v>5216</v>
      </c>
      <c r="Q21" s="33"/>
      <c r="R21" s="265"/>
      <c r="S21" s="33"/>
      <c r="T21" s="33"/>
      <c r="U21" s="33"/>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row>
    <row r="22" spans="1:47" ht="5.0999999999999996" customHeight="1" x14ac:dyDescent="0.35">
      <c r="A22" s="224"/>
      <c r="B22" s="37"/>
      <c r="C22" s="212"/>
      <c r="D22" s="37"/>
      <c r="E22" s="33"/>
      <c r="F22" s="37"/>
      <c r="G22" s="212"/>
      <c r="H22" s="37"/>
      <c r="I22" s="33"/>
      <c r="J22" s="37"/>
      <c r="K22" s="33"/>
      <c r="L22" s="37"/>
      <c r="M22" s="33"/>
      <c r="N22" s="37"/>
      <c r="O22" s="212"/>
      <c r="P22" s="37"/>
      <c r="Q22" s="33"/>
      <c r="R22" s="265"/>
      <c r="S22" s="33"/>
      <c r="T22" s="33"/>
      <c r="U22" s="33"/>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row>
    <row r="23" spans="1:47" ht="31.5" customHeight="1" x14ac:dyDescent="0.2">
      <c r="A23" s="228" t="s">
        <v>267</v>
      </c>
      <c r="B23" s="229"/>
      <c r="C23" s="229"/>
      <c r="D23" s="229"/>
      <c r="E23" s="33"/>
      <c r="F23" s="33"/>
      <c r="G23" s="33"/>
      <c r="H23" s="33"/>
      <c r="I23" s="33"/>
      <c r="J23" s="33"/>
      <c r="K23" s="33"/>
      <c r="L23" s="33"/>
      <c r="M23" s="33"/>
      <c r="N23" s="186"/>
      <c r="O23" s="186"/>
      <c r="P23" s="186"/>
      <c r="Q23" s="33"/>
      <c r="R23" s="265"/>
      <c r="S23" s="33"/>
      <c r="T23" s="33"/>
      <c r="U23" s="33"/>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row>
    <row r="24" spans="1:47" ht="17.25" customHeight="1" x14ac:dyDescent="0.2">
      <c r="A24" s="263" t="s">
        <v>53</v>
      </c>
      <c r="B24" s="33"/>
      <c r="C24" s="33"/>
      <c r="D24" s="33"/>
      <c r="E24" s="33"/>
      <c r="F24" s="33"/>
      <c r="G24" s="33"/>
      <c r="H24" s="33"/>
      <c r="I24" s="33"/>
      <c r="J24" s="33"/>
      <c r="K24" s="33"/>
      <c r="L24" s="33"/>
      <c r="M24" s="33"/>
      <c r="N24" s="71"/>
      <c r="O24" s="71"/>
      <c r="P24" s="71"/>
      <c r="Q24" s="33"/>
      <c r="R24" s="265"/>
      <c r="S24" s="33"/>
      <c r="T24" s="33"/>
      <c r="U24" s="33"/>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row>
    <row r="25" spans="1:47" ht="15" x14ac:dyDescent="0.2">
      <c r="A25" s="237" t="s">
        <v>17</v>
      </c>
      <c r="B25" s="33"/>
      <c r="C25" s="186">
        <v>389</v>
      </c>
      <c r="D25" s="33"/>
      <c r="E25" s="33"/>
      <c r="F25" s="33" t="s">
        <v>49</v>
      </c>
      <c r="G25" s="186">
        <v>438</v>
      </c>
      <c r="H25" s="33"/>
      <c r="I25" s="33"/>
      <c r="J25" s="33"/>
      <c r="K25" s="186">
        <v>0</v>
      </c>
      <c r="L25" s="33"/>
      <c r="M25" s="33"/>
      <c r="N25" s="186"/>
      <c r="O25" s="212">
        <f>C25+G25+K25</f>
        <v>827</v>
      </c>
      <c r="P25" s="186"/>
      <c r="Q25" s="33"/>
      <c r="R25" s="264" t="str">
        <f>IF(O25-O17=0,"Yes",O25-O17)</f>
        <v>Yes</v>
      </c>
      <c r="S25" s="33"/>
      <c r="T25" s="33"/>
      <c r="U25" s="33"/>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row>
    <row r="26" spans="1:47" ht="15" x14ac:dyDescent="0.2">
      <c r="A26" s="237" t="s">
        <v>106</v>
      </c>
      <c r="B26" s="33"/>
      <c r="C26" s="212">
        <v>-56</v>
      </c>
      <c r="D26" s="33"/>
      <c r="E26" s="33"/>
      <c r="F26" s="33"/>
      <c r="G26" s="212">
        <v>-88</v>
      </c>
      <c r="H26" s="33"/>
      <c r="I26" s="33"/>
      <c r="J26" s="33"/>
      <c r="K26" s="212">
        <v>0</v>
      </c>
      <c r="L26" s="33"/>
      <c r="M26" s="33"/>
      <c r="N26" s="186"/>
      <c r="O26" s="212">
        <f>C26+G26+K26</f>
        <v>-144</v>
      </c>
      <c r="P26" s="186"/>
      <c r="Q26" s="33"/>
      <c r="R26" s="210" t="str">
        <f>IF(-O26-SUM('Enterprise Income Stmt Exh 7'!M20:'Enterprise Income Stmt Exh 7'!N20)=0,"Yes",O26-SUM('Enterprise Income Stmt Exh 7'!M20:'Enterprise Income Stmt Exh 7'!N20))</f>
        <v>Yes</v>
      </c>
      <c r="S26" s="33"/>
      <c r="T26" s="33"/>
      <c r="U26" s="33"/>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row>
    <row r="27" spans="1:47" ht="17.25" x14ac:dyDescent="0.35">
      <c r="A27" s="237" t="s">
        <v>26</v>
      </c>
      <c r="B27" s="33"/>
      <c r="C27" s="214">
        <v>-363</v>
      </c>
      <c r="D27" s="33"/>
      <c r="E27" s="33"/>
      <c r="F27" s="33"/>
      <c r="G27" s="214">
        <v>-410</v>
      </c>
      <c r="H27" s="33"/>
      <c r="I27" s="33"/>
      <c r="J27" s="33"/>
      <c r="K27" s="214">
        <v>0</v>
      </c>
      <c r="L27" s="33"/>
      <c r="M27" s="33"/>
      <c r="N27" s="186"/>
      <c r="O27" s="214">
        <f>C27+G27+K27</f>
        <v>-773</v>
      </c>
      <c r="P27" s="186"/>
      <c r="Q27" s="33"/>
      <c r="R27" s="210" t="str">
        <f>IF(-O27-SUM('Enterprise Income Stmt Exh 7'!M22:'Enterprise Income Stmt Exh 7'!N22)=0,"Yes",O27-SUM('Enterprise Income Stmt Exh 7'!M22:'Enterprise Income Stmt Exh 7'!N22))</f>
        <v>Yes</v>
      </c>
      <c r="S27" s="33"/>
      <c r="T27" s="33"/>
      <c r="U27" s="33"/>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row>
    <row r="28" spans="1:47" ht="21.95" customHeight="1" x14ac:dyDescent="0.35">
      <c r="A28" s="253" t="s">
        <v>174</v>
      </c>
      <c r="B28" s="33"/>
      <c r="C28" s="197">
        <f>SUM(C21:C27)</f>
        <v>2099</v>
      </c>
      <c r="D28" s="33"/>
      <c r="E28" s="33"/>
      <c r="F28" s="33"/>
      <c r="G28" s="197">
        <f>SUM(G21:G27)</f>
        <v>3027</v>
      </c>
      <c r="H28" s="33"/>
      <c r="I28" s="33"/>
      <c r="J28" s="33"/>
      <c r="K28" s="197">
        <f>SUM(K21:K27)</f>
        <v>0</v>
      </c>
      <c r="L28" s="33"/>
      <c r="M28" s="33"/>
      <c r="N28" s="186"/>
      <c r="O28" s="225">
        <f>SUM(O21:O27)</f>
        <v>5126</v>
      </c>
      <c r="P28" s="226"/>
      <c r="Q28" s="33"/>
      <c r="R28" s="210" t="str">
        <f>IF(O28-SUM('Enterprise Income Stmt Exh 7'!M34:'Enterprise Income Stmt Exh 7'!N34)=0,"Yes",O28-SUM('Enterprise Income Stmt Exh 7'!M34:'Enterprise Income Stmt Exh 7'!N34))</f>
        <v>Yes</v>
      </c>
      <c r="S28" s="33"/>
      <c r="T28" s="33"/>
      <c r="U28" s="33"/>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row>
    <row r="29" spans="1:47" ht="21.95" customHeight="1" x14ac:dyDescent="0.35">
      <c r="A29" s="56" t="s">
        <v>209</v>
      </c>
      <c r="B29" s="33"/>
      <c r="C29" s="236">
        <f>'Enterprise Income Stmt Exh 7'!M35</f>
        <v>197</v>
      </c>
      <c r="D29" s="33"/>
      <c r="E29" s="33"/>
      <c r="F29" s="33"/>
      <c r="G29" s="236">
        <f>'Enterprise Income Stmt Exh 7'!N35</f>
        <v>611</v>
      </c>
      <c r="H29" s="33"/>
      <c r="I29" s="33"/>
      <c r="J29" s="33"/>
      <c r="K29" s="236">
        <f>'Enterprise Income Stmt Exh 7'!O35</f>
        <v>0</v>
      </c>
      <c r="L29" s="33"/>
      <c r="M29" s="33"/>
      <c r="N29" s="190"/>
      <c r="O29" s="190" t="s">
        <v>159</v>
      </c>
      <c r="P29" s="190"/>
      <c r="Q29" s="33"/>
      <c r="R29" s="33"/>
      <c r="S29" s="33"/>
      <c r="T29" s="33"/>
      <c r="U29" s="33"/>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row>
    <row r="30" spans="1:47" ht="20.100000000000001" customHeight="1" x14ac:dyDescent="0.35">
      <c r="A30" s="30" t="s">
        <v>210</v>
      </c>
      <c r="B30" s="33"/>
      <c r="C30" s="255">
        <f>C28+C29</f>
        <v>2296</v>
      </c>
      <c r="D30" s="33"/>
      <c r="E30" s="33"/>
      <c r="F30" s="33"/>
      <c r="G30" s="255">
        <f>G28+G29</f>
        <v>3638</v>
      </c>
      <c r="H30" s="33"/>
      <c r="I30" s="33"/>
      <c r="J30" s="33"/>
      <c r="K30" s="255">
        <f>K28+K29</f>
        <v>0</v>
      </c>
      <c r="L30" s="33"/>
      <c r="M30" s="33"/>
      <c r="N30" s="190"/>
      <c r="O30" s="190"/>
      <c r="P30" s="190"/>
      <c r="Q30" s="33"/>
      <c r="R30" s="33"/>
      <c r="S30" s="33"/>
      <c r="T30" s="33"/>
      <c r="U30" s="33"/>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row>
    <row r="31" spans="1:47" ht="15" x14ac:dyDescent="0.2">
      <c r="A31" s="33"/>
      <c r="B31" s="33"/>
      <c r="C31" s="33"/>
      <c r="D31" s="33"/>
      <c r="E31" s="33"/>
      <c r="F31" s="33"/>
      <c r="G31" s="33"/>
      <c r="H31" s="33"/>
      <c r="I31" s="33"/>
      <c r="J31" s="33"/>
      <c r="K31" s="33"/>
      <c r="L31" s="33"/>
      <c r="M31" s="33"/>
      <c r="N31" s="190"/>
      <c r="O31" s="190"/>
      <c r="P31" s="190"/>
      <c r="Q31" s="33"/>
      <c r="R31" s="33"/>
      <c r="S31" s="33"/>
      <c r="T31" s="33"/>
      <c r="U31" s="33"/>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row>
    <row r="32" spans="1:47" ht="15" x14ac:dyDescent="0.2">
      <c r="A32" s="71"/>
      <c r="B32" s="186"/>
      <c r="C32" s="186"/>
      <c r="D32" s="186"/>
      <c r="E32" s="190"/>
      <c r="F32" s="33"/>
      <c r="G32" s="33"/>
      <c r="H32" s="33"/>
      <c r="I32" s="33"/>
      <c r="J32" s="33"/>
      <c r="K32" s="33"/>
      <c r="L32" s="33"/>
      <c r="M32" s="33"/>
      <c r="N32" s="33"/>
      <c r="O32" s="33"/>
      <c r="P32" s="33"/>
      <c r="Q32" s="33"/>
      <c r="R32" s="33"/>
      <c r="S32" s="33"/>
      <c r="T32" s="33"/>
      <c r="U32" s="33"/>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row>
    <row r="33" spans="1:47" ht="15" x14ac:dyDescent="0.2">
      <c r="A33" s="424"/>
      <c r="B33" s="424"/>
      <c r="C33" s="424"/>
      <c r="D33" s="424"/>
      <c r="E33" s="190"/>
      <c r="F33" s="33"/>
      <c r="G33" s="33"/>
      <c r="H33" s="33"/>
      <c r="I33" s="33"/>
      <c r="J33" s="33"/>
      <c r="K33" s="33"/>
      <c r="L33" s="33"/>
      <c r="M33" s="33"/>
      <c r="N33" s="33"/>
      <c r="O33" s="33"/>
      <c r="P33" s="33"/>
      <c r="Q33" s="33"/>
      <c r="R33" s="33"/>
      <c r="S33" s="33"/>
      <c r="T33" s="33"/>
      <c r="U33" s="33"/>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row>
    <row r="34" spans="1:47" ht="15" x14ac:dyDescent="0.2">
      <c r="A34" s="71"/>
      <c r="B34" s="71"/>
      <c r="C34" s="71"/>
      <c r="D34" s="71"/>
      <c r="E34" s="33"/>
      <c r="F34" s="33"/>
      <c r="G34" s="33"/>
      <c r="H34" s="33"/>
      <c r="I34" s="33"/>
      <c r="J34" s="33"/>
      <c r="K34" s="33"/>
      <c r="L34" s="33"/>
      <c r="M34" s="33"/>
      <c r="N34" s="33"/>
      <c r="O34" s="33"/>
      <c r="P34" s="33"/>
      <c r="Q34" s="33"/>
      <c r="R34" s="33"/>
      <c r="S34" s="33"/>
      <c r="T34" s="33"/>
      <c r="U34" s="33"/>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row>
    <row r="35" spans="1:47" ht="20.25" x14ac:dyDescent="0.55000000000000004">
      <c r="A35" s="330" t="s">
        <v>400</v>
      </c>
      <c r="B35" s="33"/>
      <c r="C35" s="33"/>
      <c r="D35" s="33"/>
      <c r="E35" s="33"/>
      <c r="F35" s="33"/>
      <c r="G35" s="33"/>
      <c r="H35" s="33"/>
      <c r="I35" s="33"/>
      <c r="J35" s="33"/>
      <c r="K35" s="33"/>
      <c r="L35" s="33"/>
      <c r="M35" s="33"/>
      <c r="N35" s="33"/>
      <c r="O35" s="33"/>
      <c r="P35" s="33"/>
      <c r="Q35" s="33"/>
      <c r="R35" s="33"/>
      <c r="S35" s="33"/>
      <c r="T35" s="33"/>
      <c r="U35" s="33"/>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row>
    <row r="36" spans="1:47" ht="21.95" customHeight="1" x14ac:dyDescent="0.2">
      <c r="A36" s="242" t="s">
        <v>302</v>
      </c>
      <c r="B36" s="33"/>
      <c r="C36" s="33"/>
      <c r="D36" s="33"/>
      <c r="E36" s="33"/>
      <c r="F36" s="33"/>
      <c r="G36" s="33"/>
      <c r="H36" s="33"/>
      <c r="I36" s="33"/>
      <c r="J36" s="33"/>
      <c r="K36" s="33"/>
      <c r="L36" s="33"/>
      <c r="M36" s="33"/>
      <c r="N36" s="33"/>
      <c r="O36" s="264" t="str">
        <f>+IF(O28-C28-G28-K28=0,"Yes",O28-C28-G28-K28)</f>
        <v>Yes</v>
      </c>
      <c r="P36" s="33"/>
      <c r="Q36" s="33"/>
      <c r="R36" s="33"/>
      <c r="S36" s="33"/>
      <c r="T36" s="33"/>
      <c r="U36" s="33"/>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row>
    <row r="37" spans="1:47" ht="21.95" customHeight="1" x14ac:dyDescent="0.2">
      <c r="A37" s="227" t="s">
        <v>269</v>
      </c>
      <c r="B37" s="33"/>
      <c r="C37" s="135" t="str">
        <f>IF(C28-'Enterprise Income Stmt Exh 7'!M34=0,"Yes",C28-'Enterprise Income Stmt Exh 7'!M34)</f>
        <v>Yes</v>
      </c>
      <c r="D37" s="59"/>
      <c r="E37" s="59"/>
      <c r="F37" s="59"/>
      <c r="G37" s="135" t="str">
        <f>IF(G28-'Enterprise Income Stmt Exh 7'!N34=0,"Yes",G28-'Enterprise Income Stmt Exh 7'!N34)</f>
        <v>Yes</v>
      </c>
      <c r="H37" s="59"/>
      <c r="I37" s="59"/>
      <c r="J37" s="59"/>
      <c r="K37" s="135" t="str">
        <f>IF(K28-'Enterprise Income Stmt Exh 7'!O34=0,"Yes",K28-'Enterprise Income Stmt Exh 7'!O34)</f>
        <v>Yes</v>
      </c>
      <c r="L37" s="59"/>
      <c r="M37" s="59"/>
      <c r="N37" s="59"/>
      <c r="O37" s="135" t="str">
        <f>IF(O28-SUM('Enterprise Income Stmt Exh 7'!M34:'Enterprise Income Stmt Exh 7'!O34)=0,"Yes",O28-SUM('Enterprise Income Stmt Exh 7'!M34:'Enterprise Income Stmt Exh 7'!O34))</f>
        <v>Yes</v>
      </c>
      <c r="P37" s="33"/>
      <c r="Q37" s="33"/>
      <c r="R37" s="33"/>
      <c r="S37" s="33"/>
      <c r="T37" s="33"/>
      <c r="U37" s="33"/>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row>
    <row r="38" spans="1:47" ht="36" customHeight="1" x14ac:dyDescent="0.2">
      <c r="A38" s="175" t="s">
        <v>308</v>
      </c>
      <c r="B38" s="59"/>
      <c r="C38" s="251" t="str">
        <f>IF(C30-'Enterprise Income Stmt Exh 7'!M36=0,"Yes",C30-'Enterprise Income Stmt Exh 7'!M36)</f>
        <v>Yes</v>
      </c>
      <c r="D38" s="230"/>
      <c r="E38" s="230"/>
      <c r="F38" s="230"/>
      <c r="G38" s="251" t="str">
        <f>IF(G30-'Enterprise Income Stmt Exh 7'!N36=0,"Yes",G30-'Enterprise Income Stmt Exh 7'!N36)</f>
        <v>Yes</v>
      </c>
      <c r="H38" s="230"/>
      <c r="I38" s="230"/>
      <c r="J38" s="230"/>
      <c r="K38" s="251" t="str">
        <f>IF(K30-'Enterprise Income Stmt Exh 7'!O36=0,"Yes",K30-'Enterprise Income Stmt Exh 7'!O36)</f>
        <v>Yes</v>
      </c>
      <c r="L38" s="206"/>
      <c r="M38" s="59"/>
      <c r="N38" s="59"/>
      <c r="O38" s="59"/>
      <c r="P38" s="33"/>
      <c r="Q38" s="33"/>
      <c r="R38" s="33"/>
      <c r="S38" s="33"/>
      <c r="T38" s="33"/>
      <c r="U38" s="33"/>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row>
    <row r="39" spans="1:47" ht="21.95" customHeight="1" x14ac:dyDescent="0.2">
      <c r="A39" s="173" t="s">
        <v>306</v>
      </c>
      <c r="B39" s="135" t="str">
        <f>IF(B21=0,"Yes",B21)</f>
        <v>Yes</v>
      </c>
      <c r="F39" s="135" t="str">
        <f>IF(F21=0,"Yes",F21)</f>
        <v>Yes</v>
      </c>
      <c r="J39" s="135" t="str">
        <f>IF(J21=0,"Yes",J21)</f>
        <v>Yes</v>
      </c>
      <c r="P39" s="33"/>
      <c r="Q39" s="33"/>
      <c r="R39" s="33"/>
      <c r="S39" s="33"/>
      <c r="T39" s="33"/>
      <c r="U39" s="33"/>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row>
    <row r="40" spans="1:47" ht="45" customHeight="1" x14ac:dyDescent="0.2">
      <c r="A40" s="79"/>
      <c r="B40" s="79"/>
      <c r="C40" s="59"/>
      <c r="D40" s="59"/>
      <c r="E40" s="59"/>
      <c r="F40" s="59"/>
      <c r="G40" s="59"/>
      <c r="H40" s="59"/>
      <c r="I40" s="59"/>
      <c r="J40" s="59"/>
      <c r="K40" s="59"/>
      <c r="L40" s="59"/>
      <c r="M40" s="59"/>
      <c r="N40" s="59"/>
      <c r="O40" s="59"/>
      <c r="P40" s="33"/>
      <c r="Q40" s="33"/>
      <c r="R40" s="33"/>
      <c r="S40" s="33"/>
      <c r="T40" s="33"/>
      <c r="U40" s="33"/>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row>
    <row r="41" spans="1:47" ht="20.100000000000001" customHeight="1" x14ac:dyDescent="0.2">
      <c r="A41" s="227"/>
      <c r="B41" s="59"/>
      <c r="C41" s="59"/>
      <c r="D41" s="59"/>
      <c r="E41" s="59"/>
      <c r="F41" s="59"/>
      <c r="G41" s="59"/>
      <c r="H41" s="59"/>
      <c r="I41" s="59"/>
      <c r="J41" s="59"/>
      <c r="K41" s="59"/>
      <c r="L41" s="59"/>
      <c r="M41" s="59"/>
      <c r="N41" s="59"/>
      <c r="O41" s="59"/>
      <c r="P41" s="33"/>
      <c r="Q41" s="33"/>
      <c r="R41" s="33"/>
      <c r="S41" s="33"/>
      <c r="T41" s="33"/>
      <c r="U41" s="33"/>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row>
    <row r="42" spans="1:47" ht="20.100000000000001" customHeight="1" x14ac:dyDescent="0.2">
      <c r="A42" s="227"/>
      <c r="B42" s="59"/>
      <c r="C42" s="59"/>
      <c r="D42" s="59"/>
      <c r="E42" s="59"/>
      <c r="F42" s="59"/>
      <c r="G42" s="59"/>
      <c r="H42" s="59"/>
      <c r="I42" s="59"/>
      <c r="J42" s="59"/>
      <c r="K42" s="59"/>
      <c r="L42" s="59"/>
      <c r="M42" s="59"/>
      <c r="N42" s="59"/>
      <c r="O42" s="59"/>
      <c r="P42" s="33"/>
      <c r="Q42" s="33"/>
      <c r="R42" s="33"/>
      <c r="S42" s="33"/>
      <c r="T42" s="33"/>
      <c r="U42" s="33"/>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row>
    <row r="43" spans="1:47" ht="15" x14ac:dyDescent="0.2">
      <c r="A43" s="80"/>
      <c r="B43" s="206"/>
      <c r="C43" s="217"/>
      <c r="D43" s="206"/>
      <c r="E43" s="206"/>
      <c r="F43" s="206"/>
      <c r="G43" s="217"/>
      <c r="H43" s="33"/>
      <c r="I43" s="33"/>
      <c r="J43" s="33"/>
      <c r="K43" s="217"/>
      <c r="L43" s="33"/>
      <c r="M43" s="33"/>
      <c r="N43" s="33"/>
      <c r="O43" s="33"/>
      <c r="P43" s="33"/>
      <c r="Q43" s="33"/>
      <c r="R43" s="33"/>
      <c r="S43" s="33"/>
      <c r="T43" s="33"/>
      <c r="U43" s="33"/>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row>
    <row r="44" spans="1:47" ht="15" x14ac:dyDescent="0.2">
      <c r="A44" s="33"/>
      <c r="B44" s="33"/>
      <c r="C44" s="33"/>
      <c r="D44" s="33"/>
      <c r="E44" s="33"/>
      <c r="F44" s="33"/>
      <c r="G44" s="33"/>
      <c r="H44" s="33"/>
      <c r="I44" s="33"/>
      <c r="J44" s="33"/>
      <c r="K44" s="33"/>
      <c r="L44" s="33"/>
      <c r="M44" s="33"/>
      <c r="N44" s="33"/>
      <c r="O44" s="33"/>
      <c r="P44" s="33"/>
      <c r="Q44" s="33"/>
      <c r="R44" s="33"/>
      <c r="S44" s="33"/>
      <c r="T44" s="33"/>
      <c r="U44" s="33"/>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row>
    <row r="45" spans="1:47" ht="15" x14ac:dyDescent="0.2">
      <c r="A45" s="33"/>
      <c r="B45" s="33"/>
      <c r="C45" s="33"/>
      <c r="D45" s="33"/>
      <c r="E45" s="33"/>
      <c r="F45" s="33"/>
      <c r="G45" s="33"/>
      <c r="H45" s="33"/>
      <c r="I45" s="33"/>
      <c r="J45" s="33"/>
      <c r="K45" s="33"/>
      <c r="L45" s="33"/>
      <c r="M45" s="33"/>
      <c r="N45" s="33"/>
      <c r="O45" s="33"/>
      <c r="P45" s="33"/>
      <c r="Q45" s="33"/>
      <c r="R45" s="33"/>
      <c r="S45" s="33"/>
      <c r="T45" s="33"/>
      <c r="U45" s="33"/>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row>
    <row r="46" spans="1:47" ht="15" x14ac:dyDescent="0.2">
      <c r="A46" s="33"/>
      <c r="B46" s="33"/>
      <c r="C46" s="33"/>
      <c r="D46" s="33"/>
      <c r="E46" s="33"/>
      <c r="F46" s="33"/>
      <c r="G46" s="33"/>
      <c r="H46" s="33"/>
      <c r="I46" s="33"/>
      <c r="J46" s="33"/>
      <c r="K46" s="33"/>
      <c r="L46" s="33"/>
      <c r="M46" s="33"/>
      <c r="N46" s="33"/>
      <c r="O46" s="33"/>
      <c r="P46" s="33"/>
      <c r="Q46" s="33"/>
      <c r="R46" s="33"/>
      <c r="S46" s="33"/>
      <c r="T46" s="33"/>
      <c r="U46" s="33"/>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row>
    <row r="47" spans="1:47" ht="15" x14ac:dyDescent="0.2">
      <c r="A47" s="33"/>
      <c r="B47" s="33"/>
      <c r="C47" s="33"/>
      <c r="D47" s="33"/>
      <c r="E47" s="33"/>
      <c r="F47" s="33"/>
      <c r="G47" s="33"/>
      <c r="H47" s="33"/>
      <c r="I47" s="33"/>
      <c r="J47" s="33"/>
      <c r="K47" s="33"/>
      <c r="L47" s="33"/>
      <c r="M47" s="33"/>
      <c r="N47" s="33"/>
      <c r="O47" s="33"/>
      <c r="P47" s="33"/>
      <c r="Q47" s="33"/>
      <c r="R47" s="33"/>
      <c r="S47" s="33"/>
      <c r="T47" s="33"/>
      <c r="U47" s="33"/>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row>
    <row r="48" spans="1:47" ht="15" x14ac:dyDescent="0.2">
      <c r="A48" s="33"/>
      <c r="B48" s="33"/>
      <c r="C48" s="33"/>
      <c r="D48" s="33"/>
      <c r="E48" s="33"/>
      <c r="F48" s="33"/>
      <c r="G48" s="33"/>
      <c r="H48" s="33"/>
      <c r="I48" s="33"/>
      <c r="J48" s="33"/>
      <c r="K48" s="33"/>
      <c r="L48" s="33"/>
      <c r="M48" s="33"/>
      <c r="N48" s="33"/>
      <c r="O48" s="33"/>
      <c r="P48" s="33"/>
      <c r="Q48" s="33"/>
      <c r="R48" s="33"/>
      <c r="S48" s="33"/>
      <c r="T48" s="33"/>
      <c r="U48" s="33"/>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row>
    <row r="49" spans="1:47" ht="15" x14ac:dyDescent="0.2">
      <c r="A49" s="33"/>
      <c r="B49" s="33"/>
      <c r="C49" s="33"/>
      <c r="D49" s="33"/>
      <c r="E49" s="33"/>
      <c r="F49" s="33"/>
      <c r="G49" s="33"/>
      <c r="H49" s="33"/>
      <c r="I49" s="33"/>
      <c r="J49" s="33"/>
      <c r="K49" s="33"/>
      <c r="L49" s="33"/>
      <c r="M49" s="33"/>
      <c r="N49" s="33"/>
      <c r="O49" s="33"/>
      <c r="P49" s="33"/>
      <c r="Q49" s="33"/>
      <c r="R49" s="33"/>
      <c r="S49" s="33"/>
      <c r="T49" s="33"/>
      <c r="U49" s="33"/>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row>
    <row r="50" spans="1:47" ht="15" x14ac:dyDescent="0.2">
      <c r="A50" s="33"/>
      <c r="B50" s="33"/>
      <c r="C50" s="33"/>
      <c r="D50" s="33"/>
      <c r="E50" s="33"/>
      <c r="F50" s="33"/>
      <c r="G50" s="33"/>
      <c r="H50" s="33"/>
      <c r="I50" s="33"/>
      <c r="J50" s="33"/>
      <c r="K50" s="33"/>
      <c r="L50" s="33"/>
      <c r="M50" s="33"/>
      <c r="N50" s="33"/>
      <c r="O50" s="33"/>
      <c r="P50" s="33"/>
      <c r="Q50" s="33"/>
      <c r="R50" s="33"/>
      <c r="S50" s="33"/>
      <c r="T50" s="33"/>
      <c r="U50" s="33"/>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row>
    <row r="51" spans="1:47" ht="15" x14ac:dyDescent="0.2">
      <c r="A51" s="33"/>
      <c r="B51" s="33"/>
      <c r="C51" s="33"/>
      <c r="D51" s="33"/>
      <c r="E51" s="33"/>
      <c r="F51" s="33"/>
      <c r="G51" s="33"/>
      <c r="H51" s="33"/>
      <c r="I51" s="33"/>
      <c r="J51" s="33"/>
      <c r="K51" s="33"/>
      <c r="L51" s="33"/>
      <c r="M51" s="33"/>
      <c r="N51" s="33"/>
      <c r="O51" s="33"/>
      <c r="P51" s="33"/>
      <c r="Q51" s="33"/>
      <c r="R51" s="33"/>
      <c r="S51" s="33"/>
      <c r="T51" s="33"/>
      <c r="U51" s="33"/>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row>
    <row r="52" spans="1:47" ht="15" x14ac:dyDescent="0.2">
      <c r="A52" s="33"/>
      <c r="B52" s="33"/>
      <c r="C52" s="33"/>
      <c r="D52" s="33"/>
      <c r="E52" s="33"/>
      <c r="F52" s="33"/>
      <c r="G52" s="33"/>
      <c r="H52" s="33"/>
      <c r="I52" s="33"/>
      <c r="J52" s="33"/>
      <c r="K52" s="33"/>
      <c r="L52" s="33"/>
      <c r="M52" s="33"/>
      <c r="N52" s="33"/>
      <c r="O52" s="33"/>
      <c r="P52" s="33"/>
      <c r="Q52" s="33"/>
      <c r="R52" s="33"/>
      <c r="S52" s="33"/>
      <c r="T52" s="33"/>
      <c r="U52" s="33"/>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row>
    <row r="53" spans="1:47" ht="15" x14ac:dyDescent="0.2">
      <c r="A53" s="33"/>
      <c r="B53" s="33"/>
      <c r="C53" s="33"/>
      <c r="D53" s="33"/>
      <c r="E53" s="33"/>
      <c r="F53" s="33"/>
      <c r="G53" s="33"/>
      <c r="H53" s="33"/>
      <c r="I53" s="33"/>
      <c r="J53" s="33"/>
      <c r="K53" s="33"/>
      <c r="L53" s="33"/>
      <c r="M53" s="33"/>
      <c r="N53" s="33"/>
      <c r="O53" s="33"/>
      <c r="P53" s="33"/>
      <c r="Q53" s="33"/>
      <c r="R53" s="33"/>
      <c r="S53" s="33"/>
      <c r="T53" s="33"/>
      <c r="U53" s="33"/>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row>
    <row r="54" spans="1:47" ht="15" x14ac:dyDescent="0.2">
      <c r="A54" s="33"/>
      <c r="B54" s="33"/>
      <c r="C54" s="33"/>
      <c r="D54" s="33"/>
      <c r="E54" s="33"/>
      <c r="F54" s="33"/>
      <c r="G54" s="33"/>
      <c r="H54" s="33"/>
      <c r="I54" s="33"/>
      <c r="J54" s="33"/>
      <c r="K54" s="33"/>
      <c r="L54" s="33"/>
      <c r="M54" s="33"/>
      <c r="N54" s="33"/>
      <c r="O54" s="33"/>
      <c r="P54" s="33"/>
      <c r="Q54" s="33"/>
      <c r="R54" s="33"/>
      <c r="S54" s="33"/>
      <c r="T54" s="33"/>
      <c r="U54" s="33"/>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row>
    <row r="55" spans="1:47" ht="15" x14ac:dyDescent="0.2">
      <c r="A55" s="33"/>
      <c r="B55" s="33"/>
      <c r="C55" s="33"/>
      <c r="D55" s="33"/>
      <c r="E55" s="33"/>
      <c r="F55" s="33"/>
      <c r="G55" s="33"/>
      <c r="H55" s="33"/>
      <c r="I55" s="33"/>
      <c r="J55" s="33"/>
      <c r="K55" s="33"/>
      <c r="L55" s="33"/>
      <c r="M55" s="33"/>
      <c r="N55" s="33"/>
      <c r="O55" s="33"/>
      <c r="P55" s="33"/>
      <c r="Q55" s="33"/>
      <c r="R55" s="33"/>
      <c r="S55" s="33"/>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row>
    <row r="56" spans="1:47" ht="15" x14ac:dyDescent="0.2">
      <c r="A56" s="33"/>
      <c r="B56" s="33"/>
      <c r="C56" s="33"/>
      <c r="D56" s="33"/>
      <c r="E56" s="33"/>
      <c r="F56" s="33"/>
      <c r="G56" s="33"/>
      <c r="H56" s="33"/>
      <c r="I56" s="33"/>
      <c r="J56" s="33"/>
      <c r="K56" s="33"/>
      <c r="L56" s="33"/>
      <c r="M56" s="33"/>
      <c r="N56" s="33"/>
      <c r="O56" s="33"/>
      <c r="P56" s="33"/>
      <c r="Q56" s="33"/>
      <c r="R56" s="33"/>
      <c r="S56" s="33"/>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7" ht="15" x14ac:dyDescent="0.2">
      <c r="A57" s="33"/>
      <c r="B57" s="33"/>
      <c r="C57" s="33"/>
      <c r="D57" s="33"/>
      <c r="E57" s="33"/>
      <c r="F57" s="33"/>
      <c r="G57" s="33"/>
      <c r="H57" s="33"/>
      <c r="I57" s="33"/>
      <c r="J57" s="33"/>
      <c r="K57" s="33"/>
      <c r="L57" s="33"/>
      <c r="M57" s="33"/>
      <c r="N57" s="33"/>
      <c r="O57" s="33"/>
      <c r="P57" s="33"/>
      <c r="Q57" s="33"/>
      <c r="R57" s="33"/>
      <c r="S57" s="33"/>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7" ht="15" x14ac:dyDescent="0.2">
      <c r="A58" s="33"/>
      <c r="B58" s="33"/>
      <c r="C58" s="33"/>
      <c r="D58" s="33"/>
      <c r="E58" s="33"/>
      <c r="F58" s="33"/>
      <c r="G58" s="33"/>
      <c r="H58" s="33"/>
      <c r="I58" s="33"/>
      <c r="J58" s="33"/>
      <c r="K58" s="33"/>
      <c r="L58" s="33"/>
      <c r="M58" s="33"/>
      <c r="N58" s="33"/>
      <c r="O58" s="33"/>
      <c r="P58" s="33"/>
      <c r="Q58" s="33"/>
      <c r="R58" s="33"/>
      <c r="S58" s="33"/>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row>
    <row r="59" spans="1:47" ht="15" x14ac:dyDescent="0.2">
      <c r="A59" s="33"/>
      <c r="B59" s="33"/>
      <c r="C59" s="33"/>
      <c r="D59" s="33"/>
      <c r="E59" s="33"/>
      <c r="F59" s="33"/>
      <c r="G59" s="33"/>
      <c r="H59" s="33"/>
      <c r="I59" s="33"/>
      <c r="J59" s="33"/>
      <c r="K59" s="33"/>
      <c r="L59" s="33"/>
      <c r="M59" s="33"/>
      <c r="N59" s="33"/>
      <c r="O59" s="33"/>
      <c r="P59" s="33"/>
      <c r="Q59" s="33"/>
      <c r="R59" s="33"/>
      <c r="S59" s="33"/>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row>
    <row r="60" spans="1:47" ht="15" x14ac:dyDescent="0.2">
      <c r="A60" s="33"/>
      <c r="B60" s="33"/>
      <c r="C60" s="33"/>
      <c r="D60" s="33"/>
      <c r="E60" s="33"/>
      <c r="F60" s="33"/>
      <c r="G60" s="33"/>
      <c r="H60" s="33"/>
      <c r="I60" s="33"/>
      <c r="J60" s="33"/>
      <c r="K60" s="33"/>
      <c r="L60" s="33"/>
      <c r="M60" s="33"/>
      <c r="N60" s="33"/>
      <c r="O60" s="33"/>
      <c r="P60" s="33"/>
      <c r="Q60" s="33"/>
      <c r="R60" s="33"/>
      <c r="S60" s="33"/>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row>
    <row r="61" spans="1:47" ht="15" x14ac:dyDescent="0.2">
      <c r="A61" s="33"/>
      <c r="B61" s="33"/>
      <c r="C61" s="33"/>
      <c r="D61" s="33"/>
      <c r="E61" s="33"/>
      <c r="F61" s="33"/>
      <c r="G61" s="33"/>
      <c r="H61" s="33"/>
      <c r="I61" s="33"/>
      <c r="J61" s="33"/>
      <c r="K61" s="33"/>
      <c r="L61" s="33"/>
      <c r="M61" s="33"/>
      <c r="N61" s="33"/>
      <c r="O61" s="33"/>
      <c r="P61" s="33"/>
      <c r="Q61" s="33"/>
      <c r="R61" s="33"/>
      <c r="S61" s="33"/>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row>
    <row r="62" spans="1:47" ht="15" x14ac:dyDescent="0.2">
      <c r="A62" s="33"/>
      <c r="B62" s="33"/>
      <c r="C62" s="33"/>
      <c r="D62" s="33"/>
      <c r="E62" s="33"/>
      <c r="F62" s="33"/>
      <c r="G62" s="33"/>
      <c r="H62" s="33"/>
      <c r="I62" s="33"/>
      <c r="J62" s="33"/>
      <c r="K62" s="33"/>
      <c r="L62" s="33"/>
      <c r="M62" s="33"/>
      <c r="N62" s="33"/>
      <c r="O62" s="33"/>
      <c r="P62" s="33"/>
      <c r="Q62" s="33"/>
      <c r="R62" s="33"/>
      <c r="S62" s="33"/>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row>
    <row r="63" spans="1:47" ht="15" x14ac:dyDescent="0.2">
      <c r="A63" s="33"/>
      <c r="B63" s="33"/>
      <c r="C63" s="33"/>
      <c r="D63" s="33"/>
      <c r="E63" s="33"/>
      <c r="F63" s="33"/>
      <c r="G63" s="33"/>
      <c r="H63" s="33"/>
      <c r="I63" s="33"/>
      <c r="J63" s="33"/>
      <c r="K63" s="33"/>
      <c r="L63" s="33"/>
      <c r="M63" s="33"/>
      <c r="N63" s="33"/>
      <c r="O63" s="33"/>
      <c r="P63" s="33"/>
      <c r="Q63" s="33"/>
      <c r="R63" s="33"/>
      <c r="S63" s="33"/>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row>
    <row r="64" spans="1:47" ht="15" x14ac:dyDescent="0.2">
      <c r="A64" s="33"/>
      <c r="B64" s="33"/>
      <c r="C64" s="33"/>
      <c r="D64" s="33"/>
      <c r="E64" s="33"/>
      <c r="F64" s="33"/>
      <c r="G64" s="33"/>
      <c r="H64" s="33"/>
      <c r="I64" s="33"/>
      <c r="J64" s="33"/>
      <c r="K64" s="33"/>
      <c r="L64" s="33"/>
      <c r="M64" s="33"/>
      <c r="N64" s="33"/>
      <c r="O64" s="33"/>
      <c r="P64" s="33"/>
      <c r="Q64" s="33"/>
      <c r="R64" s="33"/>
      <c r="S64" s="33"/>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row>
    <row r="65" spans="1:47" ht="15" x14ac:dyDescent="0.2">
      <c r="A65" s="33"/>
      <c r="B65" s="33"/>
      <c r="C65" s="33"/>
      <c r="D65" s="33"/>
      <c r="E65" s="33"/>
      <c r="F65" s="33"/>
      <c r="G65" s="33"/>
      <c r="H65" s="33"/>
      <c r="I65" s="33"/>
      <c r="J65" s="33"/>
      <c r="K65" s="33"/>
      <c r="L65" s="33"/>
      <c r="M65" s="33"/>
      <c r="N65" s="33"/>
      <c r="O65" s="33"/>
      <c r="P65" s="33"/>
      <c r="Q65" s="33"/>
      <c r="R65" s="33"/>
      <c r="S65" s="33"/>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row>
    <row r="66" spans="1:47" ht="15" x14ac:dyDescent="0.2">
      <c r="A66" s="33"/>
      <c r="B66" s="33"/>
      <c r="C66" s="33"/>
      <c r="D66" s="33"/>
      <c r="E66" s="33"/>
      <c r="F66" s="33"/>
      <c r="G66" s="33"/>
      <c r="H66" s="33"/>
      <c r="I66" s="33"/>
      <c r="J66" s="33"/>
      <c r="K66" s="33"/>
      <c r="L66" s="33"/>
      <c r="M66" s="33"/>
      <c r="N66" s="33"/>
      <c r="O66" s="33"/>
      <c r="P66" s="33"/>
      <c r="Q66" s="33"/>
      <c r="R66" s="33"/>
      <c r="S66" s="33"/>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row>
    <row r="67" spans="1:47" ht="15" x14ac:dyDescent="0.2">
      <c r="A67" s="33"/>
      <c r="B67" s="33"/>
      <c r="C67" s="33"/>
      <c r="D67" s="33"/>
      <c r="E67" s="33"/>
      <c r="F67" s="33"/>
      <c r="G67" s="33"/>
      <c r="H67" s="33"/>
      <c r="I67" s="33"/>
      <c r="J67" s="33"/>
      <c r="K67" s="33"/>
      <c r="L67" s="33"/>
      <c r="M67" s="33"/>
      <c r="N67" s="33"/>
      <c r="O67" s="33"/>
      <c r="P67" s="33"/>
      <c r="Q67" s="33"/>
      <c r="R67" s="33"/>
      <c r="S67" s="33"/>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row>
    <row r="68" spans="1:47" ht="15" x14ac:dyDescent="0.2">
      <c r="A68" s="33"/>
      <c r="B68" s="33"/>
      <c r="C68" s="33"/>
      <c r="D68" s="33"/>
      <c r="E68" s="33"/>
      <c r="F68" s="33"/>
      <c r="G68" s="33"/>
      <c r="H68" s="33"/>
      <c r="I68" s="33"/>
      <c r="J68" s="33"/>
      <c r="K68" s="33"/>
      <c r="L68" s="33"/>
      <c r="M68" s="33"/>
      <c r="N68" s="33"/>
      <c r="O68" s="33"/>
      <c r="P68" s="33"/>
      <c r="Q68" s="33"/>
      <c r="R68" s="33"/>
      <c r="S68" s="33"/>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row>
    <row r="69" spans="1:47" ht="15" x14ac:dyDescent="0.2">
      <c r="A69" s="33"/>
      <c r="B69" s="33"/>
      <c r="C69" s="33"/>
      <c r="D69" s="33"/>
      <c r="E69" s="33"/>
      <c r="F69" s="33"/>
      <c r="G69" s="33"/>
      <c r="H69" s="33"/>
      <c r="I69" s="33"/>
      <c r="J69" s="33"/>
      <c r="K69" s="33"/>
      <c r="L69" s="33"/>
      <c r="M69" s="33"/>
      <c r="N69" s="33"/>
      <c r="O69" s="33"/>
      <c r="P69" s="33"/>
      <c r="Q69" s="33"/>
      <c r="R69" s="33"/>
      <c r="S69" s="33"/>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row>
    <row r="70" spans="1:47" ht="15" x14ac:dyDescent="0.2">
      <c r="A70" s="33"/>
      <c r="B70" s="33"/>
      <c r="C70" s="33"/>
      <c r="D70" s="33"/>
      <c r="E70" s="33"/>
      <c r="F70" s="33"/>
      <c r="G70" s="33"/>
      <c r="H70" s="33"/>
      <c r="I70" s="33"/>
      <c r="J70" s="33"/>
      <c r="K70" s="33"/>
      <c r="L70" s="33"/>
      <c r="M70" s="33"/>
      <c r="N70" s="33"/>
      <c r="O70" s="33"/>
      <c r="P70" s="33"/>
      <c r="Q70" s="33"/>
      <c r="R70" s="33"/>
      <c r="S70" s="33"/>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row>
    <row r="71" spans="1:47" ht="15" x14ac:dyDescent="0.2">
      <c r="A71" s="33"/>
      <c r="B71" s="33"/>
      <c r="C71" s="33"/>
      <c r="D71" s="33"/>
      <c r="E71" s="33"/>
      <c r="F71" s="33"/>
      <c r="G71" s="33"/>
      <c r="H71" s="33"/>
      <c r="I71" s="33"/>
      <c r="J71" s="33"/>
      <c r="K71" s="33"/>
      <c r="L71" s="33"/>
      <c r="M71" s="33"/>
      <c r="N71" s="33"/>
      <c r="O71" s="33"/>
      <c r="P71" s="33"/>
      <c r="Q71" s="33"/>
      <c r="R71" s="33"/>
      <c r="S71" s="33"/>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row>
    <row r="72" spans="1:47" ht="15" x14ac:dyDescent="0.2">
      <c r="A72" s="33"/>
      <c r="B72" s="33"/>
      <c r="C72" s="33"/>
      <c r="D72" s="33"/>
      <c r="E72" s="33"/>
      <c r="F72" s="33"/>
      <c r="G72" s="33"/>
      <c r="H72" s="33"/>
      <c r="I72" s="33"/>
      <c r="J72" s="33"/>
      <c r="K72" s="33"/>
      <c r="L72" s="33"/>
      <c r="M72" s="33"/>
      <c r="N72" s="33"/>
      <c r="O72" s="33"/>
      <c r="P72" s="33"/>
      <c r="Q72" s="33"/>
      <c r="R72" s="33"/>
      <c r="S72" s="33"/>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row>
    <row r="73" spans="1:47" ht="15" x14ac:dyDescent="0.2">
      <c r="A73" s="33"/>
      <c r="B73" s="33"/>
      <c r="C73" s="33"/>
      <c r="D73" s="33"/>
      <c r="E73" s="33"/>
      <c r="F73" s="33"/>
      <c r="G73" s="33"/>
      <c r="H73" s="33"/>
      <c r="I73" s="33"/>
      <c r="J73" s="33"/>
      <c r="K73" s="33"/>
      <c r="L73" s="33"/>
      <c r="M73" s="33"/>
      <c r="N73" s="33"/>
      <c r="O73" s="33"/>
      <c r="P73" s="33"/>
      <c r="Q73" s="33"/>
      <c r="R73" s="33"/>
      <c r="S73" s="33"/>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row>
    <row r="74" spans="1:47" ht="15" x14ac:dyDescent="0.2">
      <c r="A74" s="33"/>
      <c r="B74" s="33"/>
      <c r="C74" s="33"/>
      <c r="D74" s="33"/>
      <c r="E74" s="33"/>
      <c r="F74" s="33"/>
      <c r="G74" s="33"/>
      <c r="H74" s="33"/>
      <c r="I74" s="33"/>
      <c r="J74" s="33"/>
      <c r="K74" s="33"/>
      <c r="L74" s="33"/>
      <c r="M74" s="33"/>
      <c r="N74" s="33"/>
      <c r="O74" s="33"/>
      <c r="P74" s="33"/>
      <c r="Q74" s="33"/>
      <c r="R74" s="33"/>
      <c r="S74" s="33"/>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row>
    <row r="75" spans="1:47" ht="15" x14ac:dyDescent="0.2">
      <c r="A75" s="33"/>
      <c r="B75" s="33"/>
      <c r="C75" s="33"/>
      <c r="D75" s="33"/>
      <c r="E75" s="33"/>
      <c r="F75" s="33"/>
      <c r="G75" s="33"/>
      <c r="H75" s="33"/>
      <c r="I75" s="33"/>
      <c r="J75" s="33"/>
      <c r="K75" s="33"/>
      <c r="L75" s="33"/>
      <c r="M75" s="33"/>
      <c r="N75" s="33"/>
      <c r="O75" s="33"/>
      <c r="P75" s="33"/>
      <c r="Q75" s="33"/>
      <c r="R75" s="33"/>
      <c r="S75" s="33"/>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row>
    <row r="76" spans="1:47" ht="15" x14ac:dyDescent="0.2">
      <c r="A76" s="33"/>
      <c r="B76" s="33"/>
      <c r="C76" s="33"/>
      <c r="D76" s="33"/>
      <c r="E76" s="33"/>
      <c r="F76" s="33"/>
      <c r="G76" s="33"/>
      <c r="H76" s="33"/>
      <c r="I76" s="33"/>
      <c r="J76" s="33"/>
      <c r="K76" s="33"/>
      <c r="L76" s="33"/>
      <c r="M76" s="33"/>
      <c r="N76" s="33"/>
      <c r="O76" s="33"/>
      <c r="P76" s="33"/>
      <c r="Q76" s="33"/>
      <c r="R76" s="33"/>
      <c r="S76" s="33"/>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row>
    <row r="77" spans="1:47" ht="15" x14ac:dyDescent="0.2">
      <c r="A77" s="33"/>
      <c r="B77" s="33"/>
      <c r="C77" s="33"/>
      <c r="D77" s="33"/>
      <c r="E77" s="33"/>
      <c r="F77" s="33"/>
      <c r="G77" s="33"/>
      <c r="H77" s="33"/>
      <c r="I77" s="33"/>
      <c r="J77" s="33"/>
      <c r="K77" s="33"/>
      <c r="L77" s="33"/>
      <c r="M77" s="33"/>
      <c r="N77" s="33"/>
      <c r="O77" s="33"/>
      <c r="P77" s="33"/>
      <c r="Q77" s="33"/>
      <c r="R77" s="33"/>
      <c r="S77" s="33"/>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row>
    <row r="78" spans="1:47" ht="15" x14ac:dyDescent="0.2">
      <c r="A78" s="33"/>
      <c r="B78" s="33"/>
      <c r="C78" s="33"/>
      <c r="D78" s="33"/>
      <c r="E78" s="33"/>
      <c r="F78" s="33"/>
      <c r="G78" s="33"/>
      <c r="H78" s="33"/>
      <c r="I78" s="33"/>
      <c r="J78" s="33"/>
      <c r="K78" s="33"/>
      <c r="L78" s="33"/>
      <c r="M78" s="33"/>
      <c r="N78" s="33"/>
      <c r="O78" s="33"/>
      <c r="P78" s="33"/>
      <c r="Q78" s="33"/>
      <c r="R78" s="33"/>
      <c r="S78" s="33"/>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row>
    <row r="79" spans="1:47" ht="15" x14ac:dyDescent="0.2">
      <c r="A79" s="33"/>
      <c r="B79" s="33"/>
      <c r="C79" s="33"/>
      <c r="D79" s="33"/>
      <c r="E79" s="33"/>
      <c r="F79" s="33"/>
      <c r="G79" s="33"/>
      <c r="H79" s="33"/>
      <c r="I79" s="33"/>
      <c r="J79" s="33"/>
      <c r="K79" s="33"/>
      <c r="L79" s="33"/>
      <c r="M79" s="33"/>
      <c r="N79" s="33"/>
      <c r="O79" s="33"/>
      <c r="P79" s="33"/>
      <c r="Q79" s="33"/>
      <c r="R79" s="33"/>
      <c r="S79" s="33"/>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row>
    <row r="80" spans="1:47" ht="15" x14ac:dyDescent="0.2">
      <c r="A80" s="33"/>
      <c r="B80" s="33"/>
      <c r="C80" s="33"/>
      <c r="D80" s="33"/>
      <c r="E80" s="33"/>
      <c r="F80" s="33"/>
      <c r="G80" s="33"/>
      <c r="H80" s="33"/>
      <c r="I80" s="33"/>
      <c r="J80" s="33"/>
      <c r="K80" s="33"/>
      <c r="L80" s="33"/>
      <c r="M80" s="33"/>
      <c r="N80" s="33"/>
      <c r="O80" s="33"/>
      <c r="P80" s="33"/>
      <c r="Q80" s="33"/>
      <c r="R80" s="33"/>
      <c r="S80" s="33"/>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row>
    <row r="81" spans="1:47" ht="15" x14ac:dyDescent="0.2">
      <c r="A81" s="33"/>
      <c r="B81" s="33"/>
      <c r="C81" s="33"/>
      <c r="D81" s="33"/>
      <c r="E81" s="33"/>
      <c r="F81" s="33"/>
      <c r="G81" s="33"/>
      <c r="H81" s="33"/>
      <c r="I81" s="33"/>
      <c r="J81" s="33"/>
      <c r="K81" s="33"/>
      <c r="L81" s="33"/>
      <c r="M81" s="33"/>
      <c r="N81" s="33"/>
      <c r="O81" s="33"/>
      <c r="P81" s="33"/>
      <c r="Q81" s="33"/>
      <c r="R81" s="33"/>
      <c r="S81" s="33"/>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row>
    <row r="82" spans="1:47" ht="15" x14ac:dyDescent="0.2">
      <c r="A82" s="33"/>
      <c r="B82" s="33"/>
      <c r="C82" s="33"/>
      <c r="D82" s="33"/>
      <c r="E82" s="33"/>
      <c r="F82" s="33"/>
      <c r="G82" s="33"/>
      <c r="H82" s="33"/>
      <c r="I82" s="33"/>
      <c r="J82" s="33"/>
      <c r="K82" s="33"/>
      <c r="L82" s="33"/>
      <c r="M82" s="33"/>
      <c r="N82" s="33"/>
      <c r="O82" s="33"/>
      <c r="P82" s="33"/>
      <c r="Q82" s="33"/>
      <c r="R82" s="33"/>
      <c r="S82" s="33"/>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row>
    <row r="83" spans="1:47" ht="15" x14ac:dyDescent="0.2">
      <c r="A83" s="33"/>
      <c r="B83" s="33"/>
      <c r="C83" s="33"/>
      <c r="D83" s="33"/>
      <c r="E83" s="33"/>
      <c r="F83" s="33"/>
      <c r="G83" s="33"/>
      <c r="H83" s="33"/>
      <c r="I83" s="33"/>
      <c r="J83" s="33"/>
      <c r="K83" s="33"/>
      <c r="L83" s="33"/>
      <c r="M83" s="33"/>
      <c r="N83" s="33"/>
      <c r="O83" s="33"/>
      <c r="P83" s="33"/>
      <c r="Q83" s="33"/>
      <c r="R83" s="33"/>
      <c r="S83" s="33"/>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row>
    <row r="84" spans="1:47" ht="15" x14ac:dyDescent="0.2">
      <c r="A84" s="33"/>
      <c r="B84" s="33"/>
      <c r="C84" s="33"/>
      <c r="D84" s="33"/>
      <c r="E84" s="33"/>
      <c r="F84" s="33"/>
      <c r="G84" s="33"/>
      <c r="H84" s="33"/>
      <c r="I84" s="33"/>
      <c r="J84" s="33"/>
      <c r="K84" s="33"/>
      <c r="L84" s="33"/>
      <c r="M84" s="33"/>
      <c r="N84" s="33"/>
      <c r="O84" s="33"/>
      <c r="P84" s="33"/>
      <c r="Q84" s="33"/>
      <c r="R84" s="33"/>
      <c r="S84" s="33"/>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row>
    <row r="85" spans="1:47" ht="15" x14ac:dyDescent="0.2">
      <c r="A85" s="33"/>
      <c r="B85" s="33"/>
      <c r="C85" s="33"/>
      <c r="D85" s="33"/>
      <c r="E85" s="33"/>
      <c r="F85" s="33"/>
      <c r="G85" s="33"/>
      <c r="H85" s="33"/>
      <c r="I85" s="33"/>
      <c r="J85" s="33"/>
      <c r="K85" s="33"/>
      <c r="L85" s="33"/>
      <c r="M85" s="33"/>
      <c r="N85" s="33"/>
      <c r="O85" s="33"/>
      <c r="P85" s="33"/>
      <c r="Q85" s="33"/>
      <c r="R85" s="33"/>
      <c r="S85" s="33"/>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row>
    <row r="86" spans="1:47" ht="15" x14ac:dyDescent="0.2">
      <c r="A86" s="33"/>
      <c r="B86" s="33"/>
      <c r="C86" s="33"/>
      <c r="D86" s="33"/>
      <c r="E86" s="33"/>
      <c r="F86" s="33"/>
      <c r="G86" s="33"/>
      <c r="H86" s="33"/>
      <c r="I86" s="33"/>
      <c r="J86" s="33"/>
      <c r="K86" s="33"/>
      <c r="L86" s="33"/>
      <c r="M86" s="33"/>
      <c r="N86" s="33"/>
      <c r="O86" s="33"/>
      <c r="P86" s="33"/>
      <c r="Q86" s="33"/>
      <c r="R86" s="33"/>
      <c r="S86" s="33"/>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row>
    <row r="87" spans="1:47" ht="15" x14ac:dyDescent="0.2">
      <c r="A87" s="33"/>
      <c r="B87" s="33"/>
      <c r="C87" s="33"/>
      <c r="D87" s="33"/>
      <c r="E87" s="33"/>
      <c r="F87" s="33"/>
      <c r="G87" s="33"/>
      <c r="H87" s="33"/>
      <c r="I87" s="33"/>
      <c r="J87" s="33"/>
      <c r="K87" s="33"/>
      <c r="L87" s="33"/>
      <c r="M87" s="33"/>
      <c r="N87" s="33"/>
      <c r="O87" s="33"/>
      <c r="P87" s="33"/>
      <c r="Q87" s="33"/>
      <c r="R87" s="33"/>
      <c r="S87" s="33"/>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row>
    <row r="88" spans="1:47" ht="15" x14ac:dyDescent="0.2">
      <c r="A88" s="33"/>
      <c r="B88" s="33"/>
      <c r="C88" s="33"/>
      <c r="D88" s="33"/>
      <c r="E88" s="33"/>
      <c r="F88" s="33"/>
      <c r="G88" s="33"/>
      <c r="H88" s="33"/>
      <c r="I88" s="33"/>
      <c r="J88" s="33"/>
      <c r="K88" s="33"/>
      <c r="L88" s="33"/>
      <c r="M88" s="33"/>
      <c r="N88" s="33"/>
      <c r="O88" s="33"/>
      <c r="P88" s="33"/>
      <c r="Q88" s="33"/>
      <c r="R88" s="33"/>
      <c r="S88" s="33"/>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row>
    <row r="89" spans="1:47" ht="15" x14ac:dyDescent="0.2">
      <c r="A89" s="33"/>
      <c r="B89" s="33"/>
      <c r="C89" s="33"/>
      <c r="D89" s="33"/>
      <c r="E89" s="33"/>
      <c r="F89" s="33"/>
      <c r="G89" s="33"/>
      <c r="H89" s="33"/>
      <c r="I89" s="33"/>
      <c r="J89" s="33"/>
      <c r="K89" s="33"/>
      <c r="L89" s="33"/>
      <c r="M89" s="33"/>
      <c r="N89" s="33"/>
      <c r="O89" s="33"/>
      <c r="P89" s="33"/>
      <c r="Q89" s="33"/>
      <c r="R89" s="33"/>
      <c r="S89" s="33"/>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row>
    <row r="90" spans="1:47" ht="15" x14ac:dyDescent="0.2">
      <c r="A90" s="33"/>
      <c r="B90" s="33"/>
      <c r="C90" s="33"/>
      <c r="D90" s="33"/>
      <c r="E90" s="33"/>
      <c r="F90" s="33"/>
      <c r="G90" s="33"/>
      <c r="H90" s="33"/>
      <c r="I90" s="33"/>
      <c r="J90" s="33"/>
      <c r="K90" s="33"/>
      <c r="L90" s="33"/>
      <c r="M90" s="33"/>
      <c r="N90" s="33"/>
      <c r="O90" s="33"/>
      <c r="P90" s="33"/>
      <c r="Q90" s="33"/>
      <c r="R90" s="33"/>
      <c r="S90" s="33"/>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row>
    <row r="91" spans="1:47" ht="15" x14ac:dyDescent="0.2">
      <c r="A91" s="33"/>
      <c r="B91" s="33"/>
      <c r="C91" s="33"/>
      <c r="D91" s="33"/>
      <c r="E91" s="33"/>
      <c r="F91" s="33"/>
      <c r="G91" s="33"/>
      <c r="H91" s="33"/>
      <c r="I91" s="33"/>
      <c r="J91" s="33"/>
      <c r="K91" s="33"/>
      <c r="L91" s="33"/>
      <c r="M91" s="33"/>
      <c r="N91" s="33"/>
      <c r="O91" s="33"/>
      <c r="P91" s="33"/>
      <c r="Q91" s="33"/>
      <c r="R91" s="33"/>
      <c r="S91" s="33"/>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row>
    <row r="92" spans="1:47" ht="15" x14ac:dyDescent="0.2">
      <c r="A92" s="33"/>
      <c r="B92" s="33"/>
      <c r="C92" s="33"/>
      <c r="D92" s="33"/>
      <c r="E92" s="33"/>
      <c r="F92" s="33"/>
      <c r="G92" s="33"/>
      <c r="H92" s="33"/>
      <c r="I92" s="33"/>
      <c r="J92" s="33"/>
      <c r="K92" s="33"/>
      <c r="L92" s="33"/>
      <c r="M92" s="33"/>
      <c r="N92" s="33"/>
      <c r="O92" s="33"/>
      <c r="P92" s="33"/>
      <c r="Q92" s="33"/>
      <c r="R92" s="33"/>
      <c r="S92" s="33"/>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row>
    <row r="93" spans="1:47" ht="15" x14ac:dyDescent="0.2">
      <c r="A93" s="33"/>
      <c r="B93" s="33"/>
      <c r="C93" s="33"/>
      <c r="D93" s="33"/>
      <c r="E93" s="33"/>
      <c r="F93" s="33"/>
      <c r="G93" s="33"/>
      <c r="H93" s="33"/>
      <c r="I93" s="33"/>
      <c r="J93" s="33"/>
      <c r="K93" s="33"/>
      <c r="L93" s="33"/>
      <c r="M93" s="33"/>
      <c r="N93" s="33"/>
      <c r="O93" s="33"/>
      <c r="P93" s="33"/>
      <c r="Q93" s="33"/>
      <c r="R93" s="33"/>
      <c r="S93" s="33"/>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row>
    <row r="94" spans="1:47" ht="15" x14ac:dyDescent="0.2">
      <c r="A94" s="33"/>
      <c r="B94" s="33"/>
      <c r="C94" s="33"/>
      <c r="D94" s="33"/>
      <c r="E94" s="33"/>
      <c r="F94" s="33"/>
      <c r="G94" s="33"/>
      <c r="H94" s="33"/>
      <c r="I94" s="33"/>
      <c r="J94" s="33"/>
      <c r="K94" s="33"/>
      <c r="L94" s="33"/>
      <c r="M94" s="33"/>
      <c r="N94" s="33"/>
      <c r="O94" s="33"/>
      <c r="P94" s="33"/>
      <c r="Q94" s="33"/>
      <c r="R94" s="33"/>
      <c r="S94" s="33"/>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row>
    <row r="95" spans="1:47" ht="15" x14ac:dyDescent="0.2">
      <c r="A95" s="33"/>
      <c r="B95" s="33"/>
      <c r="C95" s="33"/>
      <c r="D95" s="33"/>
      <c r="E95" s="33"/>
      <c r="F95" s="33"/>
      <c r="G95" s="33"/>
      <c r="H95" s="33"/>
      <c r="I95" s="33"/>
      <c r="J95" s="33"/>
      <c r="K95" s="33"/>
      <c r="L95" s="33"/>
      <c r="M95" s="33"/>
      <c r="N95" s="33"/>
      <c r="O95" s="33"/>
      <c r="P95" s="33"/>
      <c r="Q95" s="33"/>
      <c r="R95" s="33"/>
      <c r="S95" s="33"/>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row>
    <row r="96" spans="1:47" ht="15" x14ac:dyDescent="0.2">
      <c r="A96" s="33"/>
      <c r="B96" s="33"/>
      <c r="C96" s="33"/>
      <c r="D96" s="33"/>
      <c r="E96" s="33"/>
      <c r="F96" s="33"/>
      <c r="G96" s="33"/>
      <c r="H96" s="33"/>
      <c r="I96" s="33"/>
      <c r="J96" s="33"/>
      <c r="K96" s="33"/>
      <c r="L96" s="33"/>
      <c r="M96" s="33"/>
      <c r="N96" s="33"/>
      <c r="O96" s="33"/>
      <c r="P96" s="33"/>
      <c r="Q96" s="33"/>
      <c r="R96" s="33"/>
      <c r="S96" s="33"/>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row>
    <row r="97" spans="1:47" ht="15" x14ac:dyDescent="0.2">
      <c r="A97" s="33"/>
      <c r="B97" s="33"/>
      <c r="C97" s="33"/>
      <c r="D97" s="33"/>
      <c r="E97" s="33"/>
      <c r="F97" s="33"/>
      <c r="G97" s="33"/>
      <c r="H97" s="33"/>
      <c r="I97" s="33"/>
      <c r="J97" s="33"/>
      <c r="K97" s="33"/>
      <c r="L97" s="33"/>
      <c r="M97" s="33"/>
      <c r="N97" s="33"/>
      <c r="O97" s="33"/>
      <c r="P97" s="33"/>
      <c r="Q97" s="33"/>
      <c r="R97" s="33"/>
      <c r="S97" s="33"/>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row>
    <row r="98" spans="1:47" ht="15" x14ac:dyDescent="0.2">
      <c r="A98" s="33"/>
      <c r="B98" s="33"/>
      <c r="C98" s="33"/>
      <c r="D98" s="33"/>
      <c r="E98" s="33"/>
      <c r="F98" s="33"/>
      <c r="G98" s="33"/>
      <c r="H98" s="33"/>
      <c r="I98" s="33"/>
      <c r="J98" s="33"/>
      <c r="K98" s="33"/>
      <c r="L98" s="33"/>
      <c r="M98" s="33"/>
      <c r="N98" s="33"/>
      <c r="O98" s="33"/>
      <c r="P98" s="33"/>
      <c r="Q98" s="33"/>
      <c r="R98" s="33"/>
      <c r="S98" s="33"/>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row>
    <row r="99" spans="1:47" ht="15" x14ac:dyDescent="0.2">
      <c r="A99" s="33"/>
      <c r="B99" s="33"/>
      <c r="C99" s="33"/>
      <c r="D99" s="33"/>
      <c r="E99" s="33"/>
      <c r="F99" s="33"/>
      <c r="G99" s="33"/>
      <c r="H99" s="33"/>
      <c r="I99" s="33"/>
      <c r="J99" s="33"/>
      <c r="K99" s="33"/>
      <c r="L99" s="33"/>
      <c r="M99" s="33"/>
      <c r="N99" s="33"/>
      <c r="O99" s="33"/>
      <c r="P99" s="33"/>
      <c r="Q99" s="33"/>
      <c r="R99" s="33"/>
      <c r="S99" s="33"/>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8"/>
    </row>
    <row r="100" spans="1:47" ht="15" x14ac:dyDescent="0.2">
      <c r="A100" s="33"/>
      <c r="B100" s="33"/>
      <c r="C100" s="33"/>
      <c r="D100" s="33"/>
      <c r="E100" s="33"/>
      <c r="F100" s="33"/>
      <c r="G100" s="33"/>
      <c r="H100" s="33"/>
      <c r="I100" s="33"/>
      <c r="J100" s="33"/>
      <c r="K100" s="33"/>
      <c r="L100" s="33"/>
      <c r="M100" s="33"/>
      <c r="N100" s="33"/>
      <c r="O100" s="33"/>
      <c r="P100" s="33"/>
      <c r="Q100" s="33"/>
      <c r="R100" s="33"/>
      <c r="S100" s="33"/>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row>
    <row r="101" spans="1:47" ht="15" x14ac:dyDescent="0.2">
      <c r="A101" s="33"/>
      <c r="B101" s="33"/>
      <c r="C101" s="33"/>
      <c r="D101" s="33"/>
      <c r="E101" s="33"/>
      <c r="F101" s="33"/>
      <c r="G101" s="33"/>
      <c r="H101" s="33"/>
      <c r="I101" s="33"/>
      <c r="J101" s="33"/>
      <c r="K101" s="33"/>
      <c r="L101" s="33"/>
      <c r="M101" s="33"/>
      <c r="N101" s="33"/>
      <c r="O101" s="33"/>
      <c r="P101" s="33"/>
      <c r="Q101" s="33"/>
      <c r="R101" s="33"/>
      <c r="S101" s="33"/>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row>
    <row r="102" spans="1:47" ht="15" x14ac:dyDescent="0.2">
      <c r="A102" s="33"/>
      <c r="B102" s="33"/>
      <c r="C102" s="33"/>
      <c r="D102" s="33"/>
      <c r="E102" s="33"/>
      <c r="F102" s="33"/>
      <c r="G102" s="33"/>
      <c r="H102" s="33"/>
      <c r="I102" s="33"/>
      <c r="J102" s="33"/>
      <c r="K102" s="33"/>
      <c r="L102" s="33"/>
      <c r="M102" s="33"/>
      <c r="N102" s="33"/>
      <c r="O102" s="33"/>
      <c r="P102" s="33"/>
      <c r="Q102" s="33"/>
      <c r="R102" s="33"/>
      <c r="S102" s="33"/>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row>
    <row r="103" spans="1:47" ht="15" x14ac:dyDescent="0.2">
      <c r="A103" s="33"/>
      <c r="B103" s="33"/>
      <c r="C103" s="33"/>
      <c r="D103" s="33"/>
      <c r="E103" s="33"/>
      <c r="F103" s="33"/>
      <c r="G103" s="33"/>
      <c r="H103" s="33"/>
      <c r="I103" s="33"/>
      <c r="J103" s="33"/>
      <c r="K103" s="33"/>
      <c r="L103" s="33"/>
      <c r="M103" s="33"/>
      <c r="N103" s="33"/>
      <c r="O103" s="33"/>
      <c r="P103" s="33"/>
      <c r="Q103" s="33"/>
      <c r="R103" s="33"/>
      <c r="S103" s="33"/>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c r="AR103" s="218"/>
      <c r="AS103" s="218"/>
      <c r="AT103" s="218"/>
      <c r="AU103" s="218"/>
    </row>
    <row r="104" spans="1:47" ht="15" x14ac:dyDescent="0.2">
      <c r="A104" s="33"/>
      <c r="B104" s="33"/>
      <c r="C104" s="33"/>
      <c r="D104" s="33"/>
      <c r="E104" s="33"/>
      <c r="F104" s="33"/>
      <c r="G104" s="33"/>
      <c r="H104" s="33"/>
      <c r="I104" s="33"/>
      <c r="J104" s="33"/>
      <c r="K104" s="33"/>
      <c r="L104" s="33"/>
      <c r="M104" s="33"/>
      <c r="N104" s="33"/>
      <c r="O104" s="33"/>
      <c r="P104" s="33"/>
      <c r="Q104" s="33"/>
      <c r="R104" s="33"/>
      <c r="S104" s="33"/>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row>
    <row r="105" spans="1:47" ht="15" x14ac:dyDescent="0.2">
      <c r="A105" s="33"/>
      <c r="B105" s="33"/>
      <c r="C105" s="33"/>
      <c r="D105" s="33"/>
      <c r="E105" s="33"/>
      <c r="F105" s="33"/>
      <c r="G105" s="33"/>
      <c r="H105" s="33"/>
      <c r="I105" s="33"/>
      <c r="J105" s="33"/>
      <c r="K105" s="33"/>
      <c r="L105" s="33"/>
      <c r="M105" s="33"/>
      <c r="N105" s="33"/>
      <c r="O105" s="33"/>
      <c r="P105" s="33"/>
      <c r="Q105" s="33"/>
      <c r="R105" s="33"/>
      <c r="S105" s="33"/>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18"/>
      <c r="AT105" s="218"/>
      <c r="AU105" s="218"/>
    </row>
    <row r="106" spans="1:47" ht="15" x14ac:dyDescent="0.2">
      <c r="A106" s="33"/>
      <c r="B106" s="33"/>
      <c r="C106" s="33"/>
      <c r="D106" s="33"/>
      <c r="E106" s="33"/>
      <c r="F106" s="33"/>
      <c r="G106" s="33"/>
      <c r="H106" s="33"/>
      <c r="I106" s="33"/>
      <c r="J106" s="33"/>
      <c r="K106" s="33"/>
      <c r="L106" s="33"/>
      <c r="M106" s="33"/>
      <c r="N106" s="33"/>
      <c r="O106" s="33"/>
      <c r="P106" s="33"/>
      <c r="Q106" s="33"/>
      <c r="R106" s="33"/>
      <c r="S106" s="33"/>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row>
    <row r="107" spans="1:47" ht="15" x14ac:dyDescent="0.2">
      <c r="A107" s="33"/>
      <c r="B107" s="33"/>
      <c r="C107" s="33"/>
      <c r="D107" s="33"/>
      <c r="E107" s="33"/>
      <c r="F107" s="33"/>
      <c r="G107" s="33"/>
      <c r="H107" s="33"/>
      <c r="I107" s="33"/>
      <c r="J107" s="33"/>
      <c r="K107" s="33"/>
      <c r="L107" s="33"/>
      <c r="M107" s="33"/>
      <c r="N107" s="33"/>
      <c r="O107" s="33"/>
      <c r="P107" s="33"/>
      <c r="Q107" s="33"/>
      <c r="R107" s="33"/>
      <c r="S107" s="33"/>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c r="AO107" s="218"/>
      <c r="AP107" s="218"/>
      <c r="AQ107" s="218"/>
      <c r="AR107" s="218"/>
      <c r="AS107" s="218"/>
      <c r="AT107" s="218"/>
      <c r="AU107" s="218"/>
    </row>
    <row r="108" spans="1:47" ht="15" x14ac:dyDescent="0.2">
      <c r="A108" s="33"/>
      <c r="B108" s="33"/>
      <c r="C108" s="33"/>
      <c r="D108" s="33"/>
      <c r="E108" s="33"/>
      <c r="F108" s="33"/>
      <c r="G108" s="33"/>
      <c r="H108" s="33"/>
      <c r="I108" s="33"/>
      <c r="J108" s="33"/>
      <c r="K108" s="33"/>
      <c r="L108" s="33"/>
      <c r="M108" s="33"/>
      <c r="N108" s="33"/>
      <c r="O108" s="33"/>
      <c r="P108" s="33"/>
      <c r="Q108" s="33"/>
      <c r="R108" s="33"/>
      <c r="S108" s="33"/>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row>
    <row r="109" spans="1:47" ht="15" x14ac:dyDescent="0.2">
      <c r="A109" s="33"/>
      <c r="B109" s="33"/>
      <c r="C109" s="33"/>
      <c r="D109" s="33"/>
      <c r="E109" s="33"/>
      <c r="F109" s="33"/>
      <c r="G109" s="33"/>
      <c r="H109" s="33"/>
      <c r="I109" s="33"/>
      <c r="J109" s="33"/>
      <c r="K109" s="33"/>
      <c r="L109" s="33"/>
      <c r="M109" s="33"/>
      <c r="N109" s="33"/>
      <c r="O109" s="33"/>
      <c r="P109" s="33"/>
      <c r="Q109" s="33"/>
      <c r="R109" s="33"/>
      <c r="S109" s="33"/>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row>
    <row r="110" spans="1:47" ht="15" x14ac:dyDescent="0.2">
      <c r="A110" s="33"/>
      <c r="B110" s="33"/>
      <c r="C110" s="33"/>
      <c r="D110" s="33"/>
      <c r="E110" s="33"/>
      <c r="F110" s="33"/>
      <c r="G110" s="33"/>
      <c r="H110" s="33"/>
      <c r="I110" s="33"/>
      <c r="J110" s="33"/>
      <c r="K110" s="33"/>
      <c r="L110" s="33"/>
      <c r="M110" s="33"/>
      <c r="N110" s="33"/>
      <c r="O110" s="33"/>
      <c r="P110" s="33"/>
      <c r="Q110" s="33"/>
      <c r="R110" s="33"/>
      <c r="S110" s="33"/>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c r="AO110" s="218"/>
      <c r="AP110" s="218"/>
      <c r="AQ110" s="218"/>
      <c r="AR110" s="218"/>
      <c r="AS110" s="218"/>
      <c r="AT110" s="218"/>
      <c r="AU110" s="218"/>
    </row>
    <row r="111" spans="1:47" ht="15" x14ac:dyDescent="0.2">
      <c r="A111" s="33"/>
      <c r="B111" s="33"/>
      <c r="C111" s="33"/>
      <c r="D111" s="33"/>
      <c r="E111" s="33"/>
      <c r="F111" s="33"/>
      <c r="G111" s="33"/>
      <c r="H111" s="33"/>
      <c r="I111" s="33"/>
      <c r="J111" s="33"/>
      <c r="K111" s="33"/>
      <c r="L111" s="33"/>
      <c r="M111" s="33"/>
      <c r="N111" s="33"/>
      <c r="O111" s="33"/>
      <c r="P111" s="33"/>
      <c r="Q111" s="33"/>
      <c r="R111" s="33"/>
      <c r="S111" s="33"/>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18"/>
      <c r="AT111" s="218"/>
      <c r="AU111" s="218"/>
    </row>
    <row r="112" spans="1:47" ht="15" x14ac:dyDescent="0.2">
      <c r="A112" s="33"/>
      <c r="B112" s="33"/>
      <c r="C112" s="33"/>
      <c r="D112" s="33"/>
      <c r="E112" s="33"/>
      <c r="F112" s="33"/>
      <c r="G112" s="33"/>
      <c r="H112" s="33"/>
      <c r="I112" s="33"/>
      <c r="J112" s="33"/>
      <c r="K112" s="33"/>
      <c r="L112" s="33"/>
      <c r="M112" s="33"/>
      <c r="N112" s="33"/>
      <c r="O112" s="33"/>
      <c r="P112" s="33"/>
      <c r="Q112" s="33"/>
      <c r="R112" s="33"/>
      <c r="S112" s="33"/>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8"/>
    </row>
    <row r="113" spans="1:47" ht="15" x14ac:dyDescent="0.2">
      <c r="A113" s="33"/>
      <c r="B113" s="33"/>
      <c r="C113" s="33"/>
      <c r="D113" s="33"/>
      <c r="E113" s="33"/>
      <c r="F113" s="33"/>
      <c r="G113" s="33"/>
      <c r="H113" s="33"/>
      <c r="I113" s="33"/>
      <c r="J113" s="33"/>
      <c r="K113" s="33"/>
      <c r="L113" s="33"/>
      <c r="M113" s="33"/>
      <c r="N113" s="33"/>
      <c r="O113" s="33"/>
      <c r="P113" s="33"/>
      <c r="Q113" s="33"/>
      <c r="R113" s="33"/>
      <c r="S113" s="33"/>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c r="AU113" s="218"/>
    </row>
    <row r="114" spans="1:47" ht="15" x14ac:dyDescent="0.2">
      <c r="A114" s="33"/>
      <c r="B114" s="33"/>
      <c r="C114" s="33"/>
      <c r="D114" s="33"/>
      <c r="E114" s="33"/>
      <c r="F114" s="33"/>
      <c r="G114" s="33"/>
      <c r="H114" s="33"/>
      <c r="I114" s="33"/>
      <c r="J114" s="33"/>
      <c r="K114" s="33"/>
      <c r="L114" s="33"/>
      <c r="M114" s="33"/>
      <c r="N114" s="33"/>
      <c r="O114" s="33"/>
      <c r="P114" s="33"/>
      <c r="Q114" s="33"/>
      <c r="R114" s="33"/>
      <c r="S114" s="33"/>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row>
    <row r="115" spans="1:47" ht="15" x14ac:dyDescent="0.2">
      <c r="A115" s="33"/>
      <c r="B115" s="33"/>
      <c r="C115" s="33"/>
      <c r="D115" s="33"/>
      <c r="E115" s="33"/>
      <c r="F115" s="33"/>
      <c r="G115" s="33"/>
      <c r="H115" s="33"/>
      <c r="I115" s="33"/>
      <c r="J115" s="33"/>
      <c r="K115" s="33"/>
      <c r="L115" s="33"/>
      <c r="M115" s="33"/>
      <c r="N115" s="33"/>
      <c r="O115" s="33"/>
      <c r="P115" s="33"/>
      <c r="Q115" s="33"/>
      <c r="R115" s="33"/>
      <c r="S115" s="33"/>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c r="AR115" s="218"/>
      <c r="AS115" s="218"/>
      <c r="AT115" s="218"/>
      <c r="AU115" s="218"/>
    </row>
    <row r="116" spans="1:47" ht="15" x14ac:dyDescent="0.2">
      <c r="A116" s="33"/>
      <c r="B116" s="33"/>
      <c r="C116" s="33"/>
      <c r="D116" s="33"/>
      <c r="E116" s="33"/>
      <c r="F116" s="33"/>
      <c r="G116" s="33"/>
      <c r="H116" s="33"/>
      <c r="I116" s="33"/>
      <c r="J116" s="33"/>
      <c r="K116" s="33"/>
      <c r="L116" s="33"/>
      <c r="M116" s="33"/>
      <c r="N116" s="33"/>
      <c r="O116" s="33"/>
      <c r="P116" s="33"/>
      <c r="Q116" s="33"/>
      <c r="R116" s="33"/>
      <c r="S116" s="33"/>
      <c r="T116" s="218"/>
      <c r="U116" s="218"/>
      <c r="V116" s="218"/>
      <c r="W116" s="218"/>
      <c r="X116" s="218"/>
      <c r="Y116" s="218"/>
      <c r="Z116" s="218"/>
      <c r="AA116" s="218"/>
      <c r="AB116" s="218"/>
      <c r="AC116" s="218"/>
      <c r="AD116" s="218"/>
      <c r="AE116" s="218"/>
      <c r="AF116" s="218"/>
      <c r="AG116" s="218"/>
      <c r="AH116" s="218"/>
      <c r="AI116" s="218"/>
      <c r="AJ116" s="218"/>
      <c r="AK116" s="218"/>
      <c r="AL116" s="218"/>
      <c r="AM116" s="218"/>
      <c r="AN116" s="218"/>
      <c r="AO116" s="218"/>
      <c r="AP116" s="218"/>
      <c r="AQ116" s="218"/>
      <c r="AR116" s="218"/>
      <c r="AS116" s="218"/>
      <c r="AT116" s="218"/>
      <c r="AU116" s="218"/>
    </row>
    <row r="117" spans="1:47" ht="15" x14ac:dyDescent="0.2">
      <c r="A117" s="33"/>
      <c r="B117" s="33"/>
      <c r="C117" s="33"/>
      <c r="D117" s="33"/>
      <c r="E117" s="33"/>
      <c r="F117" s="33"/>
      <c r="G117" s="33"/>
      <c r="H117" s="33"/>
      <c r="I117" s="33"/>
      <c r="J117" s="33"/>
      <c r="K117" s="33"/>
      <c r="L117" s="33"/>
      <c r="M117" s="33"/>
      <c r="N117" s="33"/>
      <c r="O117" s="33"/>
      <c r="P117" s="33"/>
      <c r="Q117" s="33"/>
      <c r="R117" s="33"/>
      <c r="S117" s="33"/>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c r="AO117" s="218"/>
      <c r="AP117" s="218"/>
      <c r="AQ117" s="218"/>
      <c r="AR117" s="218"/>
      <c r="AS117" s="218"/>
      <c r="AT117" s="218"/>
      <c r="AU117" s="218"/>
    </row>
    <row r="118" spans="1:47" ht="15" x14ac:dyDescent="0.2">
      <c r="A118" s="33"/>
      <c r="B118" s="33"/>
      <c r="C118" s="33"/>
      <c r="D118" s="33"/>
      <c r="E118" s="33"/>
      <c r="F118" s="33"/>
      <c r="G118" s="33"/>
      <c r="H118" s="33"/>
      <c r="I118" s="33"/>
      <c r="J118" s="33"/>
      <c r="K118" s="33"/>
      <c r="L118" s="33"/>
      <c r="M118" s="33"/>
      <c r="N118" s="33"/>
      <c r="O118" s="33"/>
      <c r="P118" s="33"/>
      <c r="Q118" s="33"/>
      <c r="R118" s="33"/>
      <c r="S118" s="33"/>
      <c r="T118" s="218"/>
      <c r="U118" s="218"/>
      <c r="V118" s="218"/>
      <c r="W118" s="218"/>
      <c r="X118" s="218"/>
      <c r="Y118" s="218"/>
      <c r="Z118" s="218"/>
      <c r="AA118" s="218"/>
      <c r="AB118" s="218"/>
      <c r="AC118" s="218"/>
      <c r="AD118" s="218"/>
      <c r="AE118" s="218"/>
      <c r="AF118" s="218"/>
      <c r="AG118" s="218"/>
      <c r="AH118" s="218"/>
      <c r="AI118" s="218"/>
      <c r="AJ118" s="218"/>
      <c r="AK118" s="218"/>
      <c r="AL118" s="218"/>
      <c r="AM118" s="218"/>
      <c r="AN118" s="218"/>
      <c r="AO118" s="218"/>
      <c r="AP118" s="218"/>
      <c r="AQ118" s="218"/>
      <c r="AR118" s="218"/>
      <c r="AS118" s="218"/>
      <c r="AT118" s="218"/>
      <c r="AU118" s="218"/>
    </row>
    <row r="119" spans="1:47" ht="15" x14ac:dyDescent="0.2">
      <c r="A119" s="33"/>
      <c r="B119" s="33"/>
      <c r="C119" s="33"/>
      <c r="D119" s="33"/>
      <c r="E119" s="33"/>
      <c r="F119" s="33"/>
      <c r="G119" s="33"/>
      <c r="H119" s="33"/>
      <c r="I119" s="33"/>
      <c r="J119" s="33"/>
      <c r="K119" s="33"/>
      <c r="L119" s="33"/>
      <c r="M119" s="33"/>
      <c r="N119" s="33"/>
      <c r="O119" s="33"/>
      <c r="P119" s="33"/>
      <c r="Q119" s="33"/>
      <c r="R119" s="33"/>
      <c r="S119" s="33"/>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row>
    <row r="120" spans="1:47" ht="15" x14ac:dyDescent="0.2">
      <c r="A120" s="33"/>
      <c r="B120" s="33"/>
      <c r="C120" s="33"/>
      <c r="D120" s="33"/>
      <c r="E120" s="33"/>
      <c r="F120" s="33"/>
      <c r="G120" s="33"/>
      <c r="H120" s="33"/>
      <c r="I120" s="33"/>
      <c r="J120" s="33"/>
      <c r="K120" s="33"/>
      <c r="L120" s="33"/>
      <c r="M120" s="33"/>
      <c r="N120" s="33"/>
      <c r="O120" s="33"/>
      <c r="P120" s="33"/>
      <c r="Q120" s="33"/>
      <c r="R120" s="33"/>
      <c r="S120" s="33"/>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c r="AU120" s="218"/>
    </row>
    <row r="121" spans="1:47" ht="15" x14ac:dyDescent="0.2">
      <c r="A121" s="33"/>
      <c r="B121" s="33"/>
      <c r="C121" s="33"/>
      <c r="D121" s="33"/>
      <c r="E121" s="33"/>
      <c r="F121" s="33"/>
      <c r="G121" s="33"/>
      <c r="H121" s="33"/>
      <c r="I121" s="33"/>
      <c r="J121" s="33"/>
      <c r="K121" s="33"/>
      <c r="L121" s="33"/>
      <c r="M121" s="33"/>
      <c r="N121" s="33"/>
      <c r="O121" s="33"/>
      <c r="P121" s="33"/>
      <c r="Q121" s="33"/>
      <c r="R121" s="33"/>
      <c r="S121" s="33"/>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row>
    <row r="122" spans="1:47" ht="15" x14ac:dyDescent="0.2">
      <c r="A122" s="33"/>
      <c r="B122" s="33"/>
      <c r="C122" s="33"/>
      <c r="D122" s="33"/>
      <c r="E122" s="33"/>
      <c r="F122" s="33"/>
      <c r="G122" s="33"/>
      <c r="H122" s="33"/>
      <c r="I122" s="33"/>
      <c r="J122" s="33"/>
      <c r="K122" s="33"/>
      <c r="L122" s="33"/>
      <c r="M122" s="33"/>
      <c r="N122" s="33"/>
      <c r="O122" s="33"/>
      <c r="P122" s="33"/>
      <c r="Q122" s="33"/>
      <c r="R122" s="33"/>
      <c r="S122" s="33"/>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row>
    <row r="123" spans="1:47" ht="15" x14ac:dyDescent="0.2">
      <c r="A123" s="33"/>
      <c r="B123" s="33"/>
      <c r="C123" s="33"/>
      <c r="D123" s="33"/>
      <c r="E123" s="33"/>
      <c r="F123" s="33"/>
      <c r="G123" s="33"/>
      <c r="H123" s="33"/>
      <c r="I123" s="33"/>
      <c r="J123" s="33"/>
      <c r="K123" s="33"/>
      <c r="L123" s="33"/>
      <c r="M123" s="33"/>
      <c r="N123" s="33"/>
      <c r="O123" s="33"/>
      <c r="P123" s="33"/>
      <c r="Q123" s="33"/>
      <c r="R123" s="33"/>
      <c r="S123" s="33"/>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row>
    <row r="124" spans="1:47" ht="15" x14ac:dyDescent="0.2">
      <c r="A124" s="33"/>
      <c r="B124" s="33"/>
      <c r="C124" s="33"/>
      <c r="D124" s="33"/>
      <c r="E124" s="33"/>
      <c r="F124" s="33"/>
      <c r="G124" s="33"/>
      <c r="H124" s="33"/>
      <c r="I124" s="33"/>
      <c r="J124" s="33"/>
      <c r="K124" s="33"/>
      <c r="L124" s="33"/>
      <c r="M124" s="33"/>
      <c r="N124" s="33"/>
      <c r="O124" s="33"/>
      <c r="P124" s="33"/>
      <c r="Q124" s="33"/>
      <c r="R124" s="33"/>
      <c r="S124" s="33"/>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row>
    <row r="125" spans="1:47" ht="15" x14ac:dyDescent="0.2">
      <c r="A125" s="33"/>
      <c r="B125" s="33"/>
      <c r="C125" s="33"/>
      <c r="D125" s="33"/>
      <c r="E125" s="33"/>
      <c r="F125" s="33"/>
      <c r="G125" s="33"/>
      <c r="H125" s="33"/>
      <c r="I125" s="33"/>
      <c r="J125" s="33"/>
      <c r="K125" s="33"/>
      <c r="L125" s="33"/>
      <c r="M125" s="33"/>
      <c r="N125" s="33"/>
      <c r="O125" s="33"/>
      <c r="P125" s="33"/>
      <c r="Q125" s="33"/>
      <c r="R125" s="33"/>
      <c r="S125" s="33"/>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c r="AO125" s="218"/>
      <c r="AP125" s="218"/>
      <c r="AQ125" s="218"/>
      <c r="AR125" s="218"/>
      <c r="AS125" s="218"/>
      <c r="AT125" s="218"/>
      <c r="AU125" s="218"/>
    </row>
    <row r="126" spans="1:47" ht="15" x14ac:dyDescent="0.2">
      <c r="A126" s="33"/>
      <c r="B126" s="33"/>
      <c r="C126" s="33"/>
      <c r="D126" s="33"/>
      <c r="E126" s="33"/>
      <c r="F126" s="33"/>
      <c r="G126" s="33"/>
      <c r="H126" s="33"/>
      <c r="I126" s="33"/>
      <c r="J126" s="33"/>
      <c r="K126" s="33"/>
      <c r="L126" s="33"/>
      <c r="M126" s="33"/>
      <c r="N126" s="33"/>
      <c r="O126" s="33"/>
      <c r="P126" s="33"/>
      <c r="Q126" s="33"/>
      <c r="R126" s="33"/>
      <c r="S126" s="33"/>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row>
    <row r="127" spans="1:47" ht="15" x14ac:dyDescent="0.2">
      <c r="A127" s="33"/>
      <c r="B127" s="33"/>
      <c r="C127" s="33"/>
      <c r="D127" s="33"/>
      <c r="E127" s="33"/>
      <c r="F127" s="33"/>
      <c r="G127" s="33"/>
      <c r="H127" s="33"/>
      <c r="I127" s="33"/>
      <c r="J127" s="33"/>
      <c r="K127" s="33"/>
      <c r="L127" s="33"/>
      <c r="M127" s="33"/>
      <c r="N127" s="33"/>
      <c r="O127" s="33"/>
      <c r="P127" s="33"/>
      <c r="Q127" s="33"/>
      <c r="R127" s="33"/>
      <c r="S127" s="33"/>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8"/>
    </row>
    <row r="128" spans="1:47" ht="15" x14ac:dyDescent="0.2">
      <c r="A128" s="33"/>
      <c r="B128" s="33"/>
      <c r="C128" s="33"/>
      <c r="D128" s="33"/>
      <c r="E128" s="33"/>
      <c r="F128" s="33"/>
      <c r="G128" s="33"/>
      <c r="H128" s="33"/>
      <c r="I128" s="33"/>
      <c r="J128" s="33"/>
      <c r="K128" s="33"/>
      <c r="L128" s="33"/>
      <c r="M128" s="33"/>
      <c r="N128" s="33"/>
      <c r="O128" s="33"/>
      <c r="P128" s="33"/>
      <c r="Q128" s="33"/>
      <c r="R128" s="33"/>
      <c r="S128" s="33"/>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8"/>
    </row>
    <row r="129" spans="1:47" ht="15" x14ac:dyDescent="0.2">
      <c r="A129" s="33"/>
      <c r="B129" s="33"/>
      <c r="C129" s="33"/>
      <c r="D129" s="33"/>
      <c r="E129" s="33"/>
      <c r="F129" s="33"/>
      <c r="G129" s="33"/>
      <c r="H129" s="33"/>
      <c r="I129" s="33"/>
      <c r="J129" s="33"/>
      <c r="K129" s="33"/>
      <c r="L129" s="33"/>
      <c r="M129" s="33"/>
      <c r="N129" s="33"/>
      <c r="O129" s="33"/>
      <c r="P129" s="33"/>
      <c r="Q129" s="33"/>
      <c r="R129" s="33"/>
      <c r="S129" s="33"/>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row>
    <row r="130" spans="1:47" ht="15" x14ac:dyDescent="0.2">
      <c r="A130" s="33"/>
      <c r="B130" s="33"/>
      <c r="C130" s="33"/>
      <c r="D130" s="33"/>
      <c r="E130" s="33"/>
      <c r="F130" s="33"/>
      <c r="G130" s="33"/>
      <c r="H130" s="33"/>
      <c r="I130" s="33"/>
      <c r="J130" s="33"/>
      <c r="K130" s="33"/>
      <c r="L130" s="33"/>
      <c r="M130" s="33"/>
      <c r="N130" s="33"/>
      <c r="O130" s="33"/>
      <c r="P130" s="33"/>
      <c r="Q130" s="33"/>
      <c r="R130" s="33"/>
      <c r="S130" s="33"/>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8"/>
    </row>
    <row r="131" spans="1:47" ht="15" x14ac:dyDescent="0.2">
      <c r="A131" s="33"/>
      <c r="B131" s="33"/>
      <c r="C131" s="33"/>
      <c r="D131" s="33"/>
      <c r="E131" s="33"/>
      <c r="F131" s="33"/>
      <c r="G131" s="33"/>
      <c r="H131" s="33"/>
      <c r="I131" s="33"/>
      <c r="J131" s="33"/>
      <c r="K131" s="33"/>
      <c r="L131" s="33"/>
      <c r="M131" s="33"/>
      <c r="N131" s="33"/>
      <c r="O131" s="33"/>
      <c r="P131" s="33"/>
      <c r="Q131" s="33"/>
      <c r="R131" s="33"/>
      <c r="S131" s="33"/>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row>
    <row r="132" spans="1:47" ht="15" x14ac:dyDescent="0.2">
      <c r="A132" s="33"/>
      <c r="B132" s="33"/>
      <c r="C132" s="33"/>
      <c r="D132" s="33"/>
      <c r="E132" s="33"/>
      <c r="F132" s="33"/>
      <c r="G132" s="33"/>
      <c r="H132" s="33"/>
      <c r="I132" s="33"/>
      <c r="J132" s="33"/>
      <c r="K132" s="33"/>
      <c r="L132" s="33"/>
      <c r="M132" s="33"/>
      <c r="N132" s="33"/>
      <c r="O132" s="33"/>
      <c r="P132" s="33"/>
      <c r="Q132" s="33"/>
      <c r="R132" s="33"/>
      <c r="S132" s="33"/>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c r="AO132" s="218"/>
      <c r="AP132" s="218"/>
      <c r="AQ132" s="218"/>
      <c r="AR132" s="218"/>
      <c r="AS132" s="218"/>
      <c r="AT132" s="218"/>
      <c r="AU132" s="218"/>
    </row>
    <row r="133" spans="1:47" ht="15" x14ac:dyDescent="0.2">
      <c r="A133" s="33"/>
      <c r="B133" s="33"/>
      <c r="C133" s="33"/>
      <c r="D133" s="33"/>
      <c r="E133" s="33"/>
      <c r="F133" s="33"/>
      <c r="G133" s="33"/>
      <c r="H133" s="33"/>
      <c r="I133" s="33"/>
      <c r="J133" s="33"/>
      <c r="K133" s="33"/>
      <c r="L133" s="33"/>
      <c r="M133" s="33"/>
      <c r="N133" s="33"/>
      <c r="O133" s="33"/>
      <c r="P133" s="33"/>
      <c r="Q133" s="33"/>
      <c r="R133" s="33"/>
      <c r="S133" s="33"/>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c r="AT133" s="218"/>
      <c r="AU133" s="218"/>
    </row>
    <row r="134" spans="1:47" ht="15" x14ac:dyDescent="0.2">
      <c r="A134" s="33"/>
      <c r="B134" s="33"/>
      <c r="C134" s="33"/>
      <c r="D134" s="33"/>
      <c r="E134" s="33"/>
      <c r="F134" s="33"/>
      <c r="G134" s="33"/>
      <c r="H134" s="33"/>
      <c r="I134" s="33"/>
      <c r="J134" s="33"/>
      <c r="K134" s="33"/>
      <c r="L134" s="33"/>
      <c r="M134" s="33"/>
      <c r="N134" s="33"/>
      <c r="O134" s="33"/>
      <c r="P134" s="33"/>
      <c r="Q134" s="33"/>
      <c r="R134" s="33"/>
      <c r="S134" s="33"/>
      <c r="T134" s="218"/>
      <c r="U134" s="218"/>
      <c r="V134" s="218"/>
      <c r="W134" s="218"/>
      <c r="X134" s="218"/>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row>
    <row r="135" spans="1:47" ht="15" x14ac:dyDescent="0.2">
      <c r="A135" s="33"/>
      <c r="B135" s="33"/>
      <c r="C135" s="33"/>
      <c r="D135" s="33"/>
      <c r="E135" s="33"/>
      <c r="F135" s="33"/>
      <c r="G135" s="33"/>
      <c r="H135" s="33"/>
      <c r="I135" s="33"/>
      <c r="J135" s="33"/>
      <c r="K135" s="33"/>
      <c r="L135" s="33"/>
      <c r="M135" s="33"/>
      <c r="N135" s="33"/>
      <c r="O135" s="33"/>
      <c r="P135" s="33"/>
      <c r="Q135" s="33"/>
      <c r="R135" s="33"/>
      <c r="S135" s="33"/>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row>
    <row r="136" spans="1:47" ht="15" x14ac:dyDescent="0.2">
      <c r="A136" s="33"/>
      <c r="B136" s="33"/>
      <c r="C136" s="33"/>
      <c r="D136" s="33"/>
      <c r="E136" s="33"/>
      <c r="F136" s="33"/>
      <c r="G136" s="33"/>
      <c r="H136" s="33"/>
      <c r="I136" s="33"/>
      <c r="J136" s="33"/>
      <c r="K136" s="33"/>
      <c r="L136" s="33"/>
      <c r="M136" s="33"/>
      <c r="N136" s="33"/>
      <c r="O136" s="33"/>
      <c r="P136" s="33"/>
      <c r="Q136" s="33"/>
      <c r="R136" s="33"/>
      <c r="S136" s="33"/>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s="218"/>
      <c r="AR136" s="218"/>
      <c r="AS136" s="218"/>
      <c r="AT136" s="218"/>
      <c r="AU136" s="218"/>
    </row>
    <row r="137" spans="1:47" ht="15" x14ac:dyDescent="0.2">
      <c r="A137" s="33"/>
      <c r="B137" s="33"/>
      <c r="C137" s="33"/>
      <c r="D137" s="33"/>
      <c r="E137" s="33"/>
      <c r="F137" s="33"/>
      <c r="G137" s="33"/>
      <c r="H137" s="33"/>
      <c r="I137" s="33"/>
      <c r="J137" s="33"/>
      <c r="K137" s="33"/>
      <c r="L137" s="33"/>
      <c r="M137" s="33"/>
      <c r="N137" s="33"/>
      <c r="O137" s="33"/>
      <c r="P137" s="33"/>
      <c r="Q137" s="33"/>
      <c r="R137" s="33"/>
      <c r="S137" s="33"/>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8"/>
      <c r="AR137" s="218"/>
      <c r="AS137" s="218"/>
      <c r="AT137" s="218"/>
      <c r="AU137" s="218"/>
    </row>
    <row r="138" spans="1:47" ht="15" x14ac:dyDescent="0.2">
      <c r="A138" s="33"/>
      <c r="B138" s="33"/>
      <c r="C138" s="33"/>
      <c r="D138" s="33"/>
      <c r="E138" s="33"/>
      <c r="F138" s="33"/>
      <c r="G138" s="33"/>
      <c r="H138" s="33"/>
      <c r="I138" s="33"/>
      <c r="J138" s="33"/>
      <c r="K138" s="33"/>
      <c r="L138" s="33"/>
      <c r="M138" s="33"/>
      <c r="N138" s="33"/>
      <c r="O138" s="33"/>
      <c r="P138" s="33"/>
      <c r="Q138" s="33"/>
      <c r="R138" s="33"/>
      <c r="S138" s="33"/>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s="218"/>
      <c r="AR138" s="218"/>
      <c r="AS138" s="218"/>
      <c r="AT138" s="218"/>
      <c r="AU138" s="218"/>
    </row>
    <row r="139" spans="1:47" ht="15" x14ac:dyDescent="0.2">
      <c r="A139" s="33"/>
      <c r="B139" s="33"/>
      <c r="C139" s="33"/>
      <c r="D139" s="33"/>
      <c r="E139" s="33"/>
      <c r="F139" s="33"/>
      <c r="G139" s="33"/>
      <c r="H139" s="33"/>
      <c r="I139" s="33"/>
      <c r="J139" s="33"/>
      <c r="K139" s="33"/>
      <c r="L139" s="33"/>
      <c r="M139" s="33"/>
      <c r="N139" s="33"/>
      <c r="O139" s="33"/>
      <c r="P139" s="33"/>
      <c r="Q139" s="33"/>
      <c r="R139" s="33"/>
      <c r="S139" s="33"/>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row>
    <row r="140" spans="1:47" ht="15" x14ac:dyDescent="0.2">
      <c r="A140" s="33"/>
      <c r="B140" s="33"/>
      <c r="C140" s="33"/>
      <c r="D140" s="33"/>
      <c r="E140" s="33"/>
      <c r="F140" s="33"/>
      <c r="G140" s="33"/>
      <c r="H140" s="33"/>
      <c r="I140" s="33"/>
      <c r="J140" s="33"/>
      <c r="K140" s="33"/>
      <c r="L140" s="33"/>
      <c r="M140" s="33"/>
      <c r="N140" s="33"/>
      <c r="O140" s="33"/>
      <c r="P140" s="33"/>
      <c r="Q140" s="33"/>
      <c r="R140" s="33"/>
      <c r="S140" s="33"/>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row>
    <row r="141" spans="1:47" ht="15" x14ac:dyDescent="0.2">
      <c r="A141" s="33"/>
      <c r="B141" s="33"/>
      <c r="C141" s="33"/>
      <c r="D141" s="33"/>
      <c r="E141" s="33"/>
      <c r="F141" s="33"/>
      <c r="G141" s="33"/>
      <c r="H141" s="33"/>
      <c r="I141" s="33"/>
      <c r="J141" s="33"/>
      <c r="K141" s="33"/>
      <c r="L141" s="33"/>
      <c r="M141" s="33"/>
      <c r="N141" s="33"/>
      <c r="O141" s="33"/>
      <c r="P141" s="33"/>
      <c r="Q141" s="33"/>
      <c r="R141" s="33"/>
      <c r="S141" s="33"/>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row>
    <row r="142" spans="1:47" ht="15" x14ac:dyDescent="0.2">
      <c r="A142" s="33"/>
      <c r="B142" s="33"/>
      <c r="C142" s="33"/>
      <c r="D142" s="33"/>
      <c r="E142" s="33"/>
      <c r="F142" s="33"/>
      <c r="G142" s="33"/>
      <c r="H142" s="33"/>
      <c r="I142" s="33"/>
      <c r="J142" s="33"/>
      <c r="K142" s="33"/>
      <c r="L142" s="33"/>
      <c r="M142" s="33"/>
      <c r="N142" s="33"/>
      <c r="O142" s="33"/>
      <c r="P142" s="33"/>
      <c r="Q142" s="33"/>
      <c r="R142" s="33"/>
      <c r="S142" s="33"/>
      <c r="T142" s="218"/>
      <c r="U142" s="218"/>
      <c r="V142" s="218"/>
      <c r="W142" s="218"/>
      <c r="X142" s="218"/>
      <c r="Y142" s="218"/>
      <c r="Z142" s="218"/>
      <c r="AA142" s="218"/>
      <c r="AB142" s="218"/>
      <c r="AC142" s="218"/>
      <c r="AD142" s="218"/>
      <c r="AE142" s="218"/>
      <c r="AF142" s="218"/>
      <c r="AG142" s="218"/>
      <c r="AH142" s="218"/>
      <c r="AI142" s="218"/>
      <c r="AJ142" s="218"/>
      <c r="AK142" s="218"/>
      <c r="AL142" s="218"/>
      <c r="AM142" s="218"/>
      <c r="AN142" s="218"/>
      <c r="AO142" s="218"/>
      <c r="AP142" s="218"/>
      <c r="AQ142" s="218"/>
      <c r="AR142" s="218"/>
      <c r="AS142" s="218"/>
      <c r="AT142" s="218"/>
      <c r="AU142" s="218"/>
    </row>
    <row r="143" spans="1:47" ht="15" x14ac:dyDescent="0.2">
      <c r="A143" s="33"/>
      <c r="B143" s="33"/>
      <c r="C143" s="33"/>
      <c r="D143" s="33"/>
      <c r="E143" s="33"/>
      <c r="F143" s="33"/>
      <c r="G143" s="33"/>
      <c r="H143" s="33"/>
      <c r="I143" s="33"/>
      <c r="J143" s="33"/>
      <c r="K143" s="33"/>
      <c r="L143" s="33"/>
      <c r="M143" s="33"/>
      <c r="N143" s="33"/>
      <c r="O143" s="33"/>
      <c r="P143" s="33"/>
      <c r="Q143" s="33"/>
      <c r="R143" s="33"/>
      <c r="S143" s="33"/>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8"/>
      <c r="AR143" s="218"/>
      <c r="AS143" s="218"/>
      <c r="AT143" s="218"/>
      <c r="AU143" s="218"/>
    </row>
    <row r="144" spans="1:47" ht="15" x14ac:dyDescent="0.2">
      <c r="A144" s="33"/>
      <c r="B144" s="33"/>
      <c r="C144" s="33"/>
      <c r="D144" s="33"/>
      <c r="E144" s="33"/>
      <c r="F144" s="33"/>
      <c r="G144" s="33"/>
      <c r="H144" s="33"/>
      <c r="I144" s="33"/>
      <c r="J144" s="33"/>
      <c r="K144" s="33"/>
      <c r="L144" s="33"/>
      <c r="M144" s="33"/>
      <c r="N144" s="33"/>
      <c r="O144" s="33"/>
      <c r="P144" s="33"/>
      <c r="Q144" s="33"/>
      <c r="R144" s="33"/>
      <c r="S144" s="33"/>
      <c r="T144" s="218"/>
      <c r="U144" s="218"/>
      <c r="V144" s="218"/>
      <c r="W144" s="218"/>
      <c r="X144" s="218"/>
      <c r="Y144" s="218"/>
      <c r="Z144" s="218"/>
      <c r="AA144" s="218"/>
      <c r="AB144" s="218"/>
      <c r="AC144" s="218"/>
      <c r="AD144" s="218"/>
      <c r="AE144" s="218"/>
      <c r="AF144" s="218"/>
      <c r="AG144" s="218"/>
      <c r="AH144" s="218"/>
      <c r="AI144" s="218"/>
      <c r="AJ144" s="218"/>
      <c r="AK144" s="218"/>
      <c r="AL144" s="218"/>
      <c r="AM144" s="218"/>
      <c r="AN144" s="218"/>
      <c r="AO144" s="218"/>
      <c r="AP144" s="218"/>
      <c r="AQ144" s="218"/>
      <c r="AR144" s="218"/>
      <c r="AS144" s="218"/>
      <c r="AT144" s="218"/>
      <c r="AU144" s="218"/>
    </row>
    <row r="145" spans="1:47" ht="15" x14ac:dyDescent="0.2">
      <c r="A145" s="33"/>
      <c r="B145" s="33"/>
      <c r="C145" s="33"/>
      <c r="D145" s="33"/>
      <c r="E145" s="33"/>
      <c r="F145" s="33"/>
      <c r="G145" s="33"/>
      <c r="H145" s="33"/>
      <c r="I145" s="33"/>
      <c r="J145" s="33"/>
      <c r="K145" s="33"/>
      <c r="L145" s="33"/>
      <c r="M145" s="33"/>
      <c r="N145" s="33"/>
      <c r="O145" s="33"/>
      <c r="P145" s="33"/>
      <c r="Q145" s="33"/>
      <c r="R145" s="33"/>
      <c r="S145" s="33"/>
      <c r="T145" s="218"/>
      <c r="U145" s="218"/>
      <c r="V145" s="218"/>
      <c r="W145" s="218"/>
      <c r="X145" s="218"/>
      <c r="Y145" s="218"/>
      <c r="Z145" s="218"/>
      <c r="AA145" s="218"/>
      <c r="AB145" s="218"/>
      <c r="AC145" s="218"/>
      <c r="AD145" s="218"/>
      <c r="AE145" s="218"/>
      <c r="AF145" s="218"/>
      <c r="AG145" s="218"/>
      <c r="AH145" s="218"/>
      <c r="AI145" s="218"/>
      <c r="AJ145" s="218"/>
      <c r="AK145" s="218"/>
      <c r="AL145" s="218"/>
      <c r="AM145" s="218"/>
      <c r="AN145" s="218"/>
      <c r="AO145" s="218"/>
      <c r="AP145" s="218"/>
      <c r="AQ145" s="218"/>
      <c r="AR145" s="218"/>
      <c r="AS145" s="218"/>
      <c r="AT145" s="218"/>
      <c r="AU145" s="218"/>
    </row>
    <row r="146" spans="1:47" ht="15" x14ac:dyDescent="0.2">
      <c r="A146" s="33"/>
      <c r="B146" s="33"/>
      <c r="C146" s="33"/>
      <c r="D146" s="33"/>
      <c r="E146" s="33"/>
      <c r="F146" s="33"/>
      <c r="G146" s="33"/>
      <c r="H146" s="33"/>
      <c r="I146" s="33"/>
      <c r="J146" s="33"/>
      <c r="K146" s="33"/>
      <c r="L146" s="33"/>
      <c r="M146" s="33"/>
      <c r="N146" s="33"/>
      <c r="O146" s="33"/>
      <c r="P146" s="33"/>
      <c r="Q146" s="33"/>
      <c r="R146" s="33"/>
      <c r="S146" s="33"/>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8"/>
      <c r="AT146" s="218"/>
      <c r="AU146" s="218"/>
    </row>
    <row r="147" spans="1:47" ht="15" x14ac:dyDescent="0.2">
      <c r="A147" s="33"/>
      <c r="B147" s="33"/>
      <c r="C147" s="33"/>
      <c r="D147" s="33"/>
      <c r="E147" s="33"/>
      <c r="F147" s="33"/>
      <c r="G147" s="33"/>
      <c r="H147" s="33"/>
      <c r="I147" s="33"/>
      <c r="J147" s="33"/>
      <c r="K147" s="33"/>
      <c r="L147" s="33"/>
      <c r="M147" s="33"/>
      <c r="N147" s="33"/>
      <c r="O147" s="33"/>
      <c r="P147" s="33"/>
      <c r="Q147" s="33"/>
      <c r="R147" s="33"/>
      <c r="S147" s="33"/>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8"/>
      <c r="AR147" s="218"/>
      <c r="AS147" s="218"/>
      <c r="AT147" s="218"/>
      <c r="AU147" s="218"/>
    </row>
    <row r="148" spans="1:47" ht="15" x14ac:dyDescent="0.2">
      <c r="A148" s="33"/>
      <c r="B148" s="33"/>
      <c r="C148" s="33"/>
      <c r="D148" s="33"/>
      <c r="E148" s="33"/>
      <c r="F148" s="33"/>
      <c r="G148" s="33"/>
      <c r="H148" s="33"/>
      <c r="I148" s="33"/>
      <c r="J148" s="33"/>
      <c r="K148" s="33"/>
      <c r="L148" s="33"/>
      <c r="M148" s="33"/>
      <c r="N148" s="33"/>
      <c r="O148" s="33"/>
      <c r="P148" s="33"/>
      <c r="Q148" s="33"/>
      <c r="R148" s="33"/>
      <c r="S148" s="33"/>
      <c r="T148" s="218"/>
      <c r="U148" s="218"/>
      <c r="V148" s="218"/>
      <c r="W148" s="218"/>
      <c r="X148" s="218"/>
      <c r="Y148" s="218"/>
      <c r="Z148" s="218"/>
      <c r="AA148" s="218"/>
      <c r="AB148" s="218"/>
      <c r="AC148" s="218"/>
      <c r="AD148" s="218"/>
      <c r="AE148" s="218"/>
      <c r="AF148" s="218"/>
      <c r="AG148" s="218"/>
      <c r="AH148" s="218"/>
      <c r="AI148" s="218"/>
      <c r="AJ148" s="218"/>
      <c r="AK148" s="218"/>
      <c r="AL148" s="218"/>
      <c r="AM148" s="218"/>
      <c r="AN148" s="218"/>
      <c r="AO148" s="218"/>
      <c r="AP148" s="218"/>
      <c r="AQ148" s="218"/>
      <c r="AR148" s="218"/>
      <c r="AS148" s="218"/>
      <c r="AT148" s="218"/>
      <c r="AU148" s="218"/>
    </row>
    <row r="149" spans="1:47" ht="15" x14ac:dyDescent="0.2">
      <c r="A149" s="33"/>
      <c r="B149" s="33"/>
      <c r="C149" s="33"/>
      <c r="D149" s="33"/>
      <c r="E149" s="33"/>
      <c r="F149" s="33"/>
      <c r="G149" s="33"/>
      <c r="H149" s="33"/>
      <c r="I149" s="33"/>
      <c r="J149" s="33"/>
      <c r="K149" s="33"/>
      <c r="L149" s="33"/>
      <c r="M149" s="33"/>
      <c r="N149" s="33"/>
      <c r="O149" s="33"/>
      <c r="P149" s="33"/>
      <c r="Q149" s="33"/>
      <c r="R149" s="33"/>
      <c r="S149" s="33"/>
      <c r="T149" s="218"/>
      <c r="U149" s="218"/>
      <c r="V149" s="218"/>
      <c r="W149" s="218"/>
      <c r="X149" s="218"/>
      <c r="Y149" s="218"/>
      <c r="Z149" s="218"/>
      <c r="AA149" s="218"/>
      <c r="AB149" s="218"/>
      <c r="AC149" s="218"/>
      <c r="AD149" s="218"/>
      <c r="AE149" s="218"/>
      <c r="AF149" s="218"/>
      <c r="AG149" s="218"/>
      <c r="AH149" s="218"/>
      <c r="AI149" s="218"/>
      <c r="AJ149" s="218"/>
      <c r="AK149" s="218"/>
      <c r="AL149" s="218"/>
      <c r="AM149" s="218"/>
      <c r="AN149" s="218"/>
      <c r="AO149" s="218"/>
      <c r="AP149" s="218"/>
      <c r="AQ149" s="218"/>
      <c r="AR149" s="218"/>
      <c r="AS149" s="218"/>
      <c r="AT149" s="218"/>
      <c r="AU149" s="218"/>
    </row>
    <row r="150" spans="1:47" ht="15" x14ac:dyDescent="0.2">
      <c r="A150" s="33"/>
      <c r="B150" s="33"/>
      <c r="C150" s="33"/>
      <c r="D150" s="33"/>
      <c r="E150" s="33"/>
      <c r="F150" s="33"/>
      <c r="G150" s="33"/>
      <c r="H150" s="33"/>
      <c r="I150" s="33"/>
      <c r="J150" s="33"/>
      <c r="K150" s="33"/>
      <c r="L150" s="33"/>
      <c r="M150" s="33"/>
      <c r="N150" s="33"/>
      <c r="O150" s="33"/>
      <c r="P150" s="33"/>
      <c r="Q150" s="33"/>
      <c r="R150" s="33"/>
      <c r="S150" s="33"/>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c r="AR150" s="218"/>
      <c r="AS150" s="218"/>
      <c r="AT150" s="218"/>
      <c r="AU150" s="218"/>
    </row>
    <row r="151" spans="1:47" ht="15" x14ac:dyDescent="0.2">
      <c r="A151" s="33"/>
      <c r="B151" s="33"/>
      <c r="C151" s="33"/>
      <c r="D151" s="33"/>
      <c r="E151" s="33"/>
      <c r="F151" s="33"/>
      <c r="G151" s="33"/>
      <c r="H151" s="33"/>
      <c r="I151" s="33"/>
      <c r="J151" s="33"/>
      <c r="K151" s="33"/>
      <c r="L151" s="33"/>
      <c r="M151" s="33"/>
      <c r="N151" s="33"/>
      <c r="O151" s="33"/>
      <c r="P151" s="33"/>
      <c r="Q151" s="33"/>
      <c r="R151" s="33"/>
      <c r="S151" s="33"/>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c r="AR151" s="218"/>
      <c r="AS151" s="218"/>
      <c r="AT151" s="218"/>
      <c r="AU151" s="218"/>
    </row>
    <row r="152" spans="1:47" ht="15" x14ac:dyDescent="0.2">
      <c r="A152" s="33"/>
      <c r="B152" s="33"/>
      <c r="C152" s="33"/>
      <c r="D152" s="33"/>
      <c r="E152" s="33"/>
      <c r="F152" s="33"/>
      <c r="G152" s="33"/>
      <c r="H152" s="33"/>
      <c r="I152" s="33"/>
      <c r="J152" s="33"/>
      <c r="K152" s="33"/>
      <c r="L152" s="33"/>
      <c r="M152" s="33"/>
      <c r="N152" s="33"/>
      <c r="O152" s="33"/>
      <c r="P152" s="33"/>
      <c r="Q152" s="33"/>
      <c r="R152" s="33"/>
      <c r="S152" s="33"/>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row>
    <row r="153" spans="1:47" ht="15" x14ac:dyDescent="0.2">
      <c r="A153" s="33"/>
      <c r="B153" s="33"/>
      <c r="C153" s="33"/>
      <c r="D153" s="33"/>
      <c r="E153" s="33"/>
      <c r="F153" s="33"/>
      <c r="G153" s="33"/>
      <c r="H153" s="33"/>
      <c r="I153" s="33"/>
      <c r="J153" s="33"/>
      <c r="K153" s="33"/>
      <c r="L153" s="33"/>
      <c r="M153" s="33"/>
      <c r="N153" s="33"/>
      <c r="O153" s="33"/>
      <c r="P153" s="33"/>
      <c r="Q153" s="33"/>
      <c r="R153" s="33"/>
      <c r="S153" s="33"/>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c r="AR153" s="218"/>
      <c r="AS153" s="218"/>
      <c r="AT153" s="218"/>
      <c r="AU153" s="218"/>
    </row>
    <row r="154" spans="1:47" ht="15" x14ac:dyDescent="0.2">
      <c r="A154" s="33"/>
      <c r="B154" s="33"/>
      <c r="C154" s="33"/>
      <c r="D154" s="33"/>
      <c r="E154" s="33"/>
      <c r="F154" s="33"/>
      <c r="G154" s="33"/>
      <c r="H154" s="33"/>
      <c r="I154" s="33"/>
      <c r="J154" s="33"/>
      <c r="K154" s="33"/>
      <c r="L154" s="33"/>
      <c r="M154" s="33"/>
      <c r="N154" s="33"/>
      <c r="O154" s="33"/>
      <c r="P154" s="33"/>
      <c r="Q154" s="33"/>
      <c r="R154" s="33"/>
      <c r="S154" s="33"/>
      <c r="T154" s="218"/>
      <c r="U154" s="218"/>
      <c r="V154" s="218"/>
      <c r="W154" s="218"/>
      <c r="X154" s="218"/>
      <c r="Y154" s="218"/>
      <c r="Z154" s="218"/>
      <c r="AA154" s="218"/>
      <c r="AB154" s="218"/>
      <c r="AC154" s="218"/>
      <c r="AD154" s="218"/>
      <c r="AE154" s="218"/>
      <c r="AF154" s="218"/>
      <c r="AG154" s="218"/>
      <c r="AH154" s="218"/>
      <c r="AI154" s="218"/>
      <c r="AJ154" s="218"/>
      <c r="AK154" s="218"/>
      <c r="AL154" s="218"/>
      <c r="AM154" s="218"/>
      <c r="AN154" s="218"/>
      <c r="AO154" s="218"/>
      <c r="AP154" s="218"/>
      <c r="AQ154" s="218"/>
      <c r="AR154" s="218"/>
      <c r="AS154" s="218"/>
      <c r="AT154" s="218"/>
      <c r="AU154" s="218"/>
    </row>
    <row r="155" spans="1:47" ht="15" x14ac:dyDescent="0.2">
      <c r="A155" s="33"/>
      <c r="B155" s="33"/>
      <c r="C155" s="33"/>
      <c r="D155" s="33"/>
      <c r="E155" s="33"/>
      <c r="F155" s="33"/>
      <c r="G155" s="33"/>
      <c r="H155" s="33"/>
      <c r="I155" s="33"/>
      <c r="J155" s="33"/>
      <c r="K155" s="33"/>
      <c r="L155" s="33"/>
      <c r="M155" s="33"/>
      <c r="N155" s="33"/>
      <c r="O155" s="33"/>
      <c r="P155" s="33"/>
      <c r="Q155" s="33"/>
      <c r="R155" s="33"/>
      <c r="S155" s="33"/>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8"/>
      <c r="AR155" s="218"/>
      <c r="AS155" s="218"/>
      <c r="AT155" s="218"/>
      <c r="AU155" s="218"/>
    </row>
    <row r="156" spans="1:47" ht="15" x14ac:dyDescent="0.2">
      <c r="A156" s="33"/>
      <c r="B156" s="33"/>
      <c r="C156" s="33"/>
      <c r="D156" s="33"/>
      <c r="E156" s="33"/>
      <c r="F156" s="33"/>
      <c r="G156" s="33"/>
      <c r="H156" s="33"/>
      <c r="I156" s="33"/>
      <c r="J156" s="33"/>
      <c r="K156" s="33"/>
      <c r="L156" s="33"/>
      <c r="M156" s="33"/>
      <c r="N156" s="33"/>
      <c r="O156" s="33"/>
      <c r="P156" s="33"/>
      <c r="Q156" s="33"/>
      <c r="R156" s="33"/>
      <c r="S156" s="33"/>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8"/>
      <c r="AR156" s="218"/>
      <c r="AS156" s="218"/>
      <c r="AT156" s="218"/>
      <c r="AU156" s="218"/>
    </row>
    <row r="157" spans="1:47" ht="15" x14ac:dyDescent="0.2">
      <c r="A157" s="33"/>
      <c r="B157" s="33"/>
      <c r="C157" s="33"/>
      <c r="D157" s="33"/>
      <c r="E157" s="33"/>
      <c r="F157" s="33"/>
      <c r="G157" s="33"/>
      <c r="H157" s="33"/>
      <c r="I157" s="33"/>
      <c r="J157" s="33"/>
      <c r="K157" s="33"/>
      <c r="L157" s="33"/>
      <c r="M157" s="33"/>
      <c r="N157" s="33"/>
      <c r="O157" s="33"/>
      <c r="P157" s="33"/>
      <c r="Q157" s="33"/>
      <c r="R157" s="33"/>
      <c r="S157" s="33"/>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row>
    <row r="158" spans="1:47" ht="15" x14ac:dyDescent="0.2">
      <c r="A158" s="33"/>
      <c r="B158" s="33"/>
      <c r="C158" s="33"/>
      <c r="D158" s="33"/>
      <c r="E158" s="33"/>
      <c r="F158" s="33"/>
      <c r="G158" s="33"/>
      <c r="H158" s="33"/>
      <c r="I158" s="33"/>
      <c r="J158" s="33"/>
      <c r="K158" s="33"/>
      <c r="L158" s="33"/>
      <c r="M158" s="33"/>
      <c r="N158" s="33"/>
      <c r="O158" s="33"/>
      <c r="P158" s="33"/>
      <c r="Q158" s="33"/>
      <c r="R158" s="33"/>
      <c r="S158" s="33"/>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c r="AO158" s="218"/>
      <c r="AP158" s="218"/>
      <c r="AQ158" s="218"/>
      <c r="AR158" s="218"/>
      <c r="AS158" s="218"/>
      <c r="AT158" s="218"/>
      <c r="AU158" s="218"/>
    </row>
    <row r="159" spans="1:47" ht="15" x14ac:dyDescent="0.2">
      <c r="A159" s="33"/>
      <c r="B159" s="33"/>
      <c r="C159" s="33"/>
      <c r="D159" s="33"/>
      <c r="E159" s="33"/>
      <c r="F159" s="33"/>
      <c r="G159" s="33"/>
      <c r="H159" s="33"/>
      <c r="I159" s="33"/>
      <c r="J159" s="33"/>
      <c r="K159" s="33"/>
      <c r="L159" s="33"/>
      <c r="M159" s="33"/>
      <c r="N159" s="33"/>
      <c r="O159" s="33"/>
      <c r="P159" s="33"/>
      <c r="Q159" s="33"/>
      <c r="R159" s="33"/>
      <c r="S159" s="33"/>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c r="AO159" s="218"/>
      <c r="AP159" s="218"/>
      <c r="AQ159" s="218"/>
      <c r="AR159" s="218"/>
      <c r="AS159" s="218"/>
      <c r="AT159" s="218"/>
      <c r="AU159" s="218"/>
    </row>
    <row r="160" spans="1:47" ht="15" x14ac:dyDescent="0.2">
      <c r="A160" s="33"/>
      <c r="B160" s="33"/>
      <c r="C160" s="33"/>
      <c r="D160" s="33"/>
      <c r="E160" s="33"/>
      <c r="F160" s="33"/>
      <c r="G160" s="33"/>
      <c r="H160" s="33"/>
      <c r="I160" s="33"/>
      <c r="J160" s="33"/>
      <c r="K160" s="33"/>
      <c r="L160" s="33"/>
      <c r="M160" s="33"/>
      <c r="N160" s="33"/>
      <c r="O160" s="33"/>
      <c r="P160" s="33"/>
      <c r="Q160" s="33"/>
      <c r="R160" s="33"/>
      <c r="S160" s="33"/>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c r="AO160" s="218"/>
      <c r="AP160" s="218"/>
      <c r="AQ160" s="218"/>
      <c r="AR160" s="218"/>
      <c r="AS160" s="218"/>
      <c r="AT160" s="218"/>
      <c r="AU160" s="218"/>
    </row>
    <row r="161" spans="1:47" ht="15" x14ac:dyDescent="0.2">
      <c r="A161" s="33"/>
      <c r="B161" s="33"/>
      <c r="C161" s="33"/>
      <c r="D161" s="33"/>
      <c r="E161" s="33"/>
      <c r="F161" s="33"/>
      <c r="G161" s="33"/>
      <c r="H161" s="33"/>
      <c r="I161" s="33"/>
      <c r="J161" s="33"/>
      <c r="K161" s="33"/>
      <c r="L161" s="33"/>
      <c r="M161" s="33"/>
      <c r="N161" s="33"/>
      <c r="O161" s="33"/>
      <c r="P161" s="33"/>
      <c r="Q161" s="33"/>
      <c r="R161" s="33"/>
      <c r="S161" s="33"/>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c r="AO161" s="218"/>
      <c r="AP161" s="218"/>
      <c r="AQ161" s="218"/>
      <c r="AR161" s="218"/>
      <c r="AS161" s="218"/>
      <c r="AT161" s="218"/>
      <c r="AU161" s="218"/>
    </row>
    <row r="162" spans="1:47" ht="15" x14ac:dyDescent="0.2">
      <c r="A162" s="33"/>
      <c r="B162" s="33"/>
      <c r="C162" s="33"/>
      <c r="D162" s="33"/>
      <c r="E162" s="33"/>
      <c r="F162" s="33"/>
      <c r="G162" s="33"/>
      <c r="H162" s="33"/>
      <c r="I162" s="33"/>
      <c r="J162" s="33"/>
      <c r="K162" s="33"/>
      <c r="L162" s="33"/>
      <c r="M162" s="33"/>
      <c r="N162" s="33"/>
      <c r="O162" s="33"/>
      <c r="P162" s="33"/>
      <c r="Q162" s="33"/>
      <c r="R162" s="33"/>
      <c r="S162" s="33"/>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8"/>
      <c r="AR162" s="218"/>
      <c r="AS162" s="218"/>
      <c r="AT162" s="218"/>
      <c r="AU162" s="218"/>
    </row>
    <row r="163" spans="1:47" ht="15" x14ac:dyDescent="0.2">
      <c r="A163" s="33"/>
      <c r="B163" s="33"/>
      <c r="C163" s="33"/>
      <c r="D163" s="33"/>
      <c r="E163" s="33"/>
      <c r="F163" s="33"/>
      <c r="G163" s="33"/>
      <c r="H163" s="33"/>
      <c r="I163" s="33"/>
      <c r="J163" s="33"/>
      <c r="K163" s="33"/>
      <c r="L163" s="33"/>
      <c r="M163" s="33"/>
      <c r="N163" s="33"/>
      <c r="O163" s="33"/>
      <c r="P163" s="33"/>
      <c r="Q163" s="33"/>
      <c r="R163" s="33"/>
      <c r="S163" s="33"/>
      <c r="T163" s="218"/>
      <c r="U163" s="218"/>
      <c r="V163" s="218"/>
      <c r="W163" s="218"/>
      <c r="X163" s="218"/>
      <c r="Y163" s="218"/>
      <c r="Z163" s="218"/>
      <c r="AA163" s="218"/>
      <c r="AB163" s="218"/>
      <c r="AC163" s="218"/>
      <c r="AD163" s="218"/>
      <c r="AE163" s="218"/>
      <c r="AF163" s="218"/>
      <c r="AG163" s="218"/>
      <c r="AH163" s="218"/>
      <c r="AI163" s="218"/>
      <c r="AJ163" s="218"/>
      <c r="AK163" s="218"/>
      <c r="AL163" s="218"/>
      <c r="AM163" s="218"/>
      <c r="AN163" s="218"/>
      <c r="AO163" s="218"/>
      <c r="AP163" s="218"/>
      <c r="AQ163" s="218"/>
      <c r="AR163" s="218"/>
      <c r="AS163" s="218"/>
      <c r="AT163" s="218"/>
      <c r="AU163" s="218"/>
    </row>
    <row r="164" spans="1:47" ht="15" x14ac:dyDescent="0.2">
      <c r="A164" s="33"/>
      <c r="B164" s="33"/>
      <c r="C164" s="33"/>
      <c r="D164" s="33"/>
      <c r="E164" s="33"/>
      <c r="F164" s="33"/>
      <c r="G164" s="33"/>
      <c r="H164" s="33"/>
      <c r="I164" s="33"/>
      <c r="J164" s="33"/>
      <c r="K164" s="33"/>
      <c r="L164" s="33"/>
      <c r="M164" s="33"/>
      <c r="N164" s="33"/>
      <c r="O164" s="33"/>
      <c r="P164" s="33"/>
      <c r="Q164" s="33"/>
      <c r="R164" s="33"/>
      <c r="S164" s="33"/>
      <c r="T164" s="218"/>
      <c r="U164" s="218"/>
      <c r="V164" s="218"/>
      <c r="W164" s="218"/>
      <c r="X164" s="218"/>
      <c r="Y164" s="218"/>
      <c r="Z164" s="218"/>
      <c r="AA164" s="218"/>
      <c r="AB164" s="218"/>
      <c r="AC164" s="218"/>
      <c r="AD164" s="218"/>
      <c r="AE164" s="218"/>
      <c r="AF164" s="218"/>
      <c r="AG164" s="218"/>
      <c r="AH164" s="218"/>
      <c r="AI164" s="218"/>
      <c r="AJ164" s="218"/>
      <c r="AK164" s="218"/>
      <c r="AL164" s="218"/>
      <c r="AM164" s="218"/>
      <c r="AN164" s="218"/>
      <c r="AO164" s="218"/>
      <c r="AP164" s="218"/>
      <c r="AQ164" s="218"/>
      <c r="AR164" s="218"/>
      <c r="AS164" s="218"/>
      <c r="AT164" s="218"/>
      <c r="AU164" s="218"/>
    </row>
    <row r="165" spans="1:47" ht="15" x14ac:dyDescent="0.2">
      <c r="A165" s="33"/>
      <c r="B165" s="33"/>
      <c r="C165" s="33"/>
      <c r="D165" s="33"/>
      <c r="E165" s="33"/>
      <c r="F165" s="33"/>
      <c r="G165" s="33"/>
      <c r="H165" s="33"/>
      <c r="I165" s="33"/>
      <c r="J165" s="33"/>
      <c r="K165" s="33"/>
      <c r="L165" s="33"/>
      <c r="M165" s="33"/>
      <c r="N165" s="33"/>
      <c r="O165" s="33"/>
      <c r="P165" s="33"/>
      <c r="Q165" s="33"/>
      <c r="R165" s="33"/>
      <c r="S165" s="33"/>
      <c r="T165" s="218"/>
      <c r="U165" s="218"/>
      <c r="V165" s="218"/>
      <c r="W165" s="218"/>
      <c r="X165" s="218"/>
      <c r="Y165" s="218"/>
      <c r="Z165" s="218"/>
      <c r="AA165" s="218"/>
      <c r="AB165" s="218"/>
      <c r="AC165" s="218"/>
      <c r="AD165" s="218"/>
      <c r="AE165" s="218"/>
      <c r="AF165" s="218"/>
      <c r="AG165" s="218"/>
      <c r="AH165" s="218"/>
      <c r="AI165" s="218"/>
      <c r="AJ165" s="218"/>
      <c r="AK165" s="218"/>
      <c r="AL165" s="218"/>
      <c r="AM165" s="218"/>
      <c r="AN165" s="218"/>
      <c r="AO165" s="218"/>
      <c r="AP165" s="218"/>
      <c r="AQ165" s="218"/>
      <c r="AR165" s="218"/>
      <c r="AS165" s="218"/>
      <c r="AT165" s="218"/>
      <c r="AU165" s="218"/>
    </row>
    <row r="166" spans="1:47" ht="15" x14ac:dyDescent="0.2">
      <c r="A166" s="33"/>
      <c r="B166" s="33"/>
      <c r="C166" s="33"/>
      <c r="D166" s="33"/>
      <c r="E166" s="33"/>
      <c r="F166" s="33"/>
      <c r="G166" s="33"/>
      <c r="H166" s="33"/>
      <c r="I166" s="33"/>
      <c r="J166" s="33"/>
      <c r="K166" s="33"/>
      <c r="L166" s="33"/>
      <c r="M166" s="33"/>
      <c r="N166" s="33"/>
      <c r="O166" s="33"/>
      <c r="P166" s="33"/>
      <c r="Q166" s="33"/>
      <c r="R166" s="33"/>
      <c r="S166" s="33"/>
      <c r="T166" s="218"/>
      <c r="U166" s="218"/>
      <c r="V166" s="218"/>
      <c r="W166" s="218"/>
      <c r="X166" s="218"/>
      <c r="Y166" s="218"/>
      <c r="Z166" s="218"/>
      <c r="AA166" s="218"/>
      <c r="AB166" s="218"/>
      <c r="AC166" s="218"/>
      <c r="AD166" s="218"/>
      <c r="AE166" s="218"/>
      <c r="AF166" s="218"/>
      <c r="AG166" s="218"/>
      <c r="AH166" s="218"/>
      <c r="AI166" s="218"/>
      <c r="AJ166" s="218"/>
      <c r="AK166" s="218"/>
      <c r="AL166" s="218"/>
      <c r="AM166" s="218"/>
      <c r="AN166" s="218"/>
      <c r="AO166" s="218"/>
      <c r="AP166" s="218"/>
      <c r="AQ166" s="218"/>
      <c r="AR166" s="218"/>
      <c r="AS166" s="218"/>
      <c r="AT166" s="218"/>
      <c r="AU166" s="218"/>
    </row>
    <row r="167" spans="1:47" ht="15" x14ac:dyDescent="0.2">
      <c r="A167" s="33"/>
      <c r="B167" s="33"/>
      <c r="C167" s="33"/>
      <c r="D167" s="33"/>
      <c r="E167" s="33"/>
      <c r="F167" s="33"/>
      <c r="G167" s="33"/>
      <c r="H167" s="33"/>
      <c r="I167" s="33"/>
      <c r="J167" s="33"/>
      <c r="K167" s="33"/>
      <c r="L167" s="33"/>
      <c r="M167" s="33"/>
      <c r="N167" s="33"/>
      <c r="O167" s="33"/>
      <c r="P167" s="33"/>
      <c r="Q167" s="33"/>
      <c r="R167" s="33"/>
      <c r="S167" s="33"/>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row>
    <row r="168" spans="1:47" ht="15" x14ac:dyDescent="0.2">
      <c r="A168" s="33"/>
      <c r="B168" s="33"/>
      <c r="C168" s="33"/>
      <c r="D168" s="33"/>
      <c r="E168" s="33"/>
      <c r="F168" s="33"/>
      <c r="G168" s="33"/>
      <c r="H168" s="33"/>
      <c r="I168" s="33"/>
      <c r="J168" s="33"/>
      <c r="K168" s="33"/>
      <c r="L168" s="33"/>
      <c r="M168" s="33"/>
      <c r="N168" s="33"/>
      <c r="O168" s="33"/>
      <c r="P168" s="33"/>
      <c r="Q168" s="33"/>
      <c r="R168" s="33"/>
      <c r="S168" s="33"/>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row>
    <row r="169" spans="1:47" ht="15" x14ac:dyDescent="0.2">
      <c r="A169" s="33"/>
      <c r="B169" s="33"/>
      <c r="C169" s="33"/>
      <c r="D169" s="33"/>
      <c r="E169" s="33"/>
      <c r="F169" s="33"/>
      <c r="G169" s="33"/>
      <c r="H169" s="33"/>
      <c r="I169" s="33"/>
      <c r="J169" s="33"/>
      <c r="K169" s="33"/>
      <c r="L169" s="33"/>
      <c r="M169" s="33"/>
      <c r="N169" s="33"/>
      <c r="O169" s="33"/>
      <c r="P169" s="33"/>
      <c r="Q169" s="33"/>
      <c r="R169" s="33"/>
      <c r="S169" s="33"/>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row>
    <row r="170" spans="1:47" ht="15" x14ac:dyDescent="0.2">
      <c r="A170" s="33"/>
      <c r="B170" s="33"/>
      <c r="C170" s="33"/>
      <c r="D170" s="33"/>
      <c r="E170" s="33"/>
      <c r="F170" s="33"/>
      <c r="G170" s="33"/>
      <c r="H170" s="33"/>
      <c r="I170" s="33"/>
      <c r="J170" s="33"/>
      <c r="K170" s="33"/>
      <c r="L170" s="33"/>
      <c r="M170" s="33"/>
      <c r="N170" s="33"/>
      <c r="O170" s="33"/>
      <c r="P170" s="33"/>
      <c r="Q170" s="33"/>
      <c r="R170" s="33"/>
      <c r="S170" s="33"/>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row>
    <row r="171" spans="1:47" ht="15" x14ac:dyDescent="0.2">
      <c r="A171" s="33"/>
      <c r="B171" s="33"/>
      <c r="C171" s="33"/>
      <c r="D171" s="33"/>
      <c r="E171" s="33"/>
      <c r="F171" s="33"/>
      <c r="G171" s="33"/>
      <c r="H171" s="33"/>
      <c r="I171" s="33"/>
      <c r="J171" s="33"/>
      <c r="K171" s="33"/>
      <c r="L171" s="33"/>
      <c r="M171" s="33"/>
      <c r="N171" s="33"/>
      <c r="O171" s="33"/>
      <c r="P171" s="33"/>
      <c r="Q171" s="33"/>
      <c r="R171" s="33"/>
      <c r="S171" s="33"/>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row>
    <row r="172" spans="1:47" ht="15" x14ac:dyDescent="0.2">
      <c r="A172" s="33"/>
      <c r="B172" s="33"/>
      <c r="C172" s="33"/>
      <c r="D172" s="33"/>
      <c r="E172" s="33"/>
      <c r="F172" s="33"/>
      <c r="G172" s="33"/>
      <c r="H172" s="33"/>
      <c r="I172" s="33"/>
      <c r="J172" s="33"/>
      <c r="K172" s="33"/>
      <c r="L172" s="33"/>
      <c r="M172" s="33"/>
      <c r="N172" s="33"/>
      <c r="O172" s="33"/>
      <c r="P172" s="33"/>
      <c r="Q172" s="33"/>
      <c r="R172" s="33"/>
      <c r="S172" s="33"/>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row>
    <row r="173" spans="1:47" ht="15" x14ac:dyDescent="0.2">
      <c r="A173" s="33"/>
      <c r="B173" s="33"/>
      <c r="C173" s="33"/>
      <c r="D173" s="33"/>
      <c r="E173" s="33"/>
      <c r="F173" s="33"/>
      <c r="G173" s="33"/>
      <c r="H173" s="33"/>
      <c r="I173" s="33"/>
      <c r="J173" s="33"/>
      <c r="K173" s="33"/>
      <c r="L173" s="33"/>
      <c r="M173" s="33"/>
      <c r="N173" s="33"/>
      <c r="O173" s="33"/>
      <c r="P173" s="33"/>
      <c r="Q173" s="33"/>
      <c r="R173" s="33"/>
      <c r="S173" s="33"/>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row>
    <row r="174" spans="1:47" ht="15" x14ac:dyDescent="0.2">
      <c r="A174" s="33"/>
      <c r="B174" s="33"/>
      <c r="C174" s="33"/>
      <c r="D174" s="33"/>
      <c r="E174" s="33"/>
      <c r="F174" s="33"/>
      <c r="G174" s="33"/>
      <c r="H174" s="33"/>
      <c r="I174" s="33"/>
      <c r="J174" s="33"/>
      <c r="K174" s="33"/>
      <c r="L174" s="33"/>
      <c r="M174" s="33"/>
      <c r="N174" s="33"/>
      <c r="O174" s="33"/>
      <c r="P174" s="33"/>
      <c r="Q174" s="33"/>
      <c r="R174" s="33"/>
      <c r="S174" s="33"/>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row>
    <row r="175" spans="1:47" ht="15" x14ac:dyDescent="0.2">
      <c r="A175" s="33"/>
      <c r="B175" s="33"/>
      <c r="C175" s="33"/>
      <c r="D175" s="33"/>
      <c r="E175" s="33"/>
      <c r="F175" s="33"/>
      <c r="G175" s="33"/>
      <c r="H175" s="33"/>
      <c r="I175" s="33"/>
      <c r="J175" s="33"/>
      <c r="K175" s="33"/>
      <c r="L175" s="33"/>
      <c r="M175" s="33"/>
      <c r="N175" s="33"/>
      <c r="O175" s="33"/>
      <c r="P175" s="33"/>
      <c r="Q175" s="33"/>
      <c r="R175" s="33"/>
      <c r="S175" s="33"/>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row>
    <row r="176" spans="1:47" ht="15" x14ac:dyDescent="0.2">
      <c r="A176" s="33"/>
      <c r="B176" s="33"/>
      <c r="C176" s="33"/>
      <c r="D176" s="33"/>
      <c r="E176" s="33"/>
      <c r="F176" s="33"/>
      <c r="G176" s="33"/>
      <c r="H176" s="33"/>
      <c r="I176" s="33"/>
      <c r="J176" s="33"/>
      <c r="K176" s="33"/>
      <c r="L176" s="33"/>
      <c r="M176" s="33"/>
      <c r="N176" s="33"/>
      <c r="O176" s="33"/>
      <c r="P176" s="33"/>
      <c r="Q176" s="33"/>
      <c r="R176" s="33"/>
      <c r="S176" s="33"/>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row>
    <row r="177" spans="1:47" ht="15" x14ac:dyDescent="0.2">
      <c r="A177" s="33"/>
      <c r="B177" s="33"/>
      <c r="C177" s="33"/>
      <c r="D177" s="33"/>
      <c r="E177" s="33"/>
      <c r="F177" s="33"/>
      <c r="G177" s="33"/>
      <c r="H177" s="33"/>
      <c r="I177" s="33"/>
      <c r="J177" s="33"/>
      <c r="K177" s="33"/>
      <c r="L177" s="33"/>
      <c r="M177" s="33"/>
      <c r="N177" s="33"/>
      <c r="O177" s="33"/>
      <c r="P177" s="33"/>
      <c r="Q177" s="33"/>
      <c r="R177" s="33"/>
      <c r="S177" s="33"/>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row>
    <row r="178" spans="1:47" ht="15" x14ac:dyDescent="0.2">
      <c r="A178" s="33"/>
      <c r="B178" s="33"/>
      <c r="C178" s="33"/>
      <c r="D178" s="33"/>
      <c r="E178" s="33"/>
      <c r="F178" s="33"/>
      <c r="G178" s="33"/>
      <c r="H178" s="33"/>
      <c r="I178" s="33"/>
      <c r="J178" s="33"/>
      <c r="K178" s="33"/>
      <c r="L178" s="33"/>
      <c r="M178" s="33"/>
      <c r="N178" s="33"/>
      <c r="O178" s="33"/>
      <c r="P178" s="33"/>
      <c r="Q178" s="33"/>
      <c r="R178" s="33"/>
      <c r="S178" s="33"/>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row>
    <row r="179" spans="1:47" ht="15" x14ac:dyDescent="0.2">
      <c r="A179" s="33"/>
      <c r="B179" s="33"/>
      <c r="C179" s="33"/>
      <c r="D179" s="33"/>
      <c r="E179" s="33"/>
      <c r="F179" s="33"/>
      <c r="G179" s="33"/>
      <c r="H179" s="33"/>
      <c r="I179" s="33"/>
      <c r="J179" s="33"/>
      <c r="K179" s="33"/>
      <c r="L179" s="33"/>
      <c r="M179" s="33"/>
      <c r="N179" s="33"/>
      <c r="O179" s="33"/>
      <c r="P179" s="33"/>
      <c r="Q179" s="33"/>
      <c r="R179" s="33"/>
      <c r="S179" s="33"/>
      <c r="T179" s="218"/>
      <c r="U179" s="218"/>
      <c r="V179" s="218"/>
      <c r="W179" s="218"/>
      <c r="X179" s="218"/>
      <c r="Y179" s="218"/>
      <c r="Z179" s="218"/>
      <c r="AA179" s="218"/>
      <c r="AB179" s="218"/>
      <c r="AC179" s="218"/>
      <c r="AD179" s="218"/>
      <c r="AE179" s="218"/>
      <c r="AF179" s="218"/>
      <c r="AG179" s="218"/>
      <c r="AH179" s="218"/>
      <c r="AI179" s="218"/>
      <c r="AJ179" s="218"/>
      <c r="AK179" s="218"/>
      <c r="AL179" s="218"/>
      <c r="AM179" s="218"/>
      <c r="AN179" s="218"/>
      <c r="AO179" s="218"/>
      <c r="AP179" s="218"/>
      <c r="AQ179" s="218"/>
      <c r="AR179" s="218"/>
      <c r="AS179" s="218"/>
      <c r="AT179" s="218"/>
      <c r="AU179" s="218"/>
    </row>
    <row r="180" spans="1:47" ht="15" x14ac:dyDescent="0.2">
      <c r="A180" s="33"/>
      <c r="B180" s="33"/>
      <c r="C180" s="33"/>
      <c r="D180" s="33"/>
      <c r="E180" s="33"/>
      <c r="F180" s="33"/>
      <c r="G180" s="33"/>
      <c r="H180" s="33"/>
      <c r="I180" s="33"/>
      <c r="J180" s="33"/>
      <c r="K180" s="33"/>
      <c r="L180" s="33"/>
      <c r="M180" s="33"/>
      <c r="N180" s="33"/>
      <c r="O180" s="33"/>
      <c r="P180" s="33"/>
      <c r="Q180" s="33"/>
      <c r="R180" s="33"/>
      <c r="S180" s="33"/>
      <c r="T180" s="218"/>
      <c r="U180" s="218"/>
      <c r="V180" s="218"/>
      <c r="W180" s="218"/>
      <c r="X180" s="218"/>
      <c r="Y180" s="218"/>
      <c r="Z180" s="218"/>
      <c r="AA180" s="218"/>
      <c r="AB180" s="218"/>
      <c r="AC180" s="218"/>
      <c r="AD180" s="218"/>
      <c r="AE180" s="218"/>
      <c r="AF180" s="218"/>
      <c r="AG180" s="218"/>
      <c r="AH180" s="218"/>
      <c r="AI180" s="218"/>
      <c r="AJ180" s="218"/>
      <c r="AK180" s="218"/>
      <c r="AL180" s="218"/>
      <c r="AM180" s="218"/>
      <c r="AN180" s="218"/>
      <c r="AO180" s="218"/>
      <c r="AP180" s="218"/>
      <c r="AQ180" s="218"/>
      <c r="AR180" s="218"/>
      <c r="AS180" s="218"/>
      <c r="AT180" s="218"/>
      <c r="AU180" s="218"/>
    </row>
    <row r="181" spans="1:47" ht="15" x14ac:dyDescent="0.2">
      <c r="A181" s="33"/>
      <c r="B181" s="33"/>
      <c r="C181" s="33"/>
      <c r="D181" s="33"/>
      <c r="E181" s="33"/>
      <c r="F181" s="33"/>
      <c r="G181" s="33"/>
      <c r="H181" s="33"/>
      <c r="I181" s="33"/>
      <c r="J181" s="33"/>
      <c r="K181" s="33"/>
      <c r="L181" s="33"/>
      <c r="M181" s="33"/>
      <c r="N181" s="33"/>
      <c r="O181" s="33"/>
      <c r="P181" s="33"/>
      <c r="Q181" s="33"/>
      <c r="R181" s="33"/>
      <c r="S181" s="33"/>
      <c r="T181" s="218"/>
      <c r="U181" s="218"/>
      <c r="V181" s="218"/>
      <c r="W181" s="218"/>
      <c r="X181" s="218"/>
      <c r="Y181" s="218"/>
      <c r="Z181" s="218"/>
      <c r="AA181" s="218"/>
      <c r="AB181" s="218"/>
      <c r="AC181" s="218"/>
      <c r="AD181" s="218"/>
      <c r="AE181" s="218"/>
      <c r="AF181" s="218"/>
      <c r="AG181" s="218"/>
      <c r="AH181" s="218"/>
      <c r="AI181" s="218"/>
      <c r="AJ181" s="218"/>
      <c r="AK181" s="218"/>
      <c r="AL181" s="218"/>
      <c r="AM181" s="218"/>
      <c r="AN181" s="218"/>
      <c r="AO181" s="218"/>
      <c r="AP181" s="218"/>
      <c r="AQ181" s="218"/>
      <c r="AR181" s="218"/>
      <c r="AS181" s="218"/>
      <c r="AT181" s="218"/>
      <c r="AU181" s="218"/>
    </row>
    <row r="182" spans="1:47" ht="15" x14ac:dyDescent="0.2">
      <c r="A182" s="33"/>
      <c r="B182" s="33"/>
      <c r="C182" s="33"/>
      <c r="D182" s="33"/>
      <c r="E182" s="33"/>
      <c r="F182" s="33"/>
      <c r="G182" s="33"/>
      <c r="H182" s="33"/>
      <c r="I182" s="33"/>
      <c r="J182" s="33"/>
      <c r="K182" s="33"/>
      <c r="L182" s="33"/>
      <c r="M182" s="33"/>
      <c r="N182" s="33"/>
      <c r="O182" s="33"/>
      <c r="P182" s="33"/>
      <c r="Q182" s="33"/>
      <c r="R182" s="33"/>
      <c r="S182" s="33"/>
      <c r="T182" s="218"/>
      <c r="U182" s="218"/>
      <c r="V182" s="218"/>
      <c r="W182" s="218"/>
      <c r="X182" s="218"/>
      <c r="Y182" s="218"/>
      <c r="Z182" s="218"/>
      <c r="AA182" s="218"/>
      <c r="AB182" s="218"/>
      <c r="AC182" s="218"/>
      <c r="AD182" s="218"/>
      <c r="AE182" s="218"/>
      <c r="AF182" s="218"/>
      <c r="AG182" s="218"/>
      <c r="AH182" s="218"/>
      <c r="AI182" s="218"/>
      <c r="AJ182" s="218"/>
      <c r="AK182" s="218"/>
      <c r="AL182" s="218"/>
      <c r="AM182" s="218"/>
      <c r="AN182" s="218"/>
      <c r="AO182" s="218"/>
      <c r="AP182" s="218"/>
      <c r="AQ182" s="218"/>
      <c r="AR182" s="218"/>
      <c r="AS182" s="218"/>
      <c r="AT182" s="218"/>
      <c r="AU182" s="218"/>
    </row>
    <row r="183" spans="1:47" ht="15" x14ac:dyDescent="0.2">
      <c r="A183" s="33"/>
      <c r="B183" s="33"/>
      <c r="C183" s="33"/>
      <c r="D183" s="33"/>
      <c r="E183" s="33"/>
      <c r="F183" s="33"/>
      <c r="G183" s="33"/>
      <c r="H183" s="33"/>
      <c r="I183" s="33"/>
      <c r="J183" s="33"/>
      <c r="K183" s="33"/>
      <c r="L183" s="33"/>
      <c r="M183" s="33"/>
      <c r="N183" s="33"/>
      <c r="O183" s="33"/>
      <c r="P183" s="33"/>
      <c r="Q183" s="33"/>
      <c r="R183" s="33"/>
      <c r="S183" s="33"/>
      <c r="T183" s="218"/>
      <c r="U183" s="218"/>
      <c r="V183" s="218"/>
      <c r="W183" s="218"/>
      <c r="X183" s="218"/>
      <c r="Y183" s="218"/>
      <c r="Z183" s="218"/>
      <c r="AA183" s="218"/>
      <c r="AB183" s="218"/>
      <c r="AC183" s="218"/>
      <c r="AD183" s="218"/>
      <c r="AE183" s="218"/>
      <c r="AF183" s="218"/>
      <c r="AG183" s="218"/>
      <c r="AH183" s="218"/>
      <c r="AI183" s="218"/>
      <c r="AJ183" s="218"/>
      <c r="AK183" s="218"/>
      <c r="AL183" s="218"/>
      <c r="AM183" s="218"/>
      <c r="AN183" s="218"/>
      <c r="AO183" s="218"/>
      <c r="AP183" s="218"/>
      <c r="AQ183" s="218"/>
      <c r="AR183" s="218"/>
      <c r="AS183" s="218"/>
      <c r="AT183" s="218"/>
      <c r="AU183" s="218"/>
    </row>
    <row r="184" spans="1:47" ht="15" x14ac:dyDescent="0.2">
      <c r="A184" s="33"/>
      <c r="B184" s="33"/>
      <c r="C184" s="33"/>
      <c r="D184" s="33"/>
      <c r="E184" s="33"/>
      <c r="F184" s="33"/>
      <c r="G184" s="33"/>
      <c r="H184" s="33"/>
      <c r="I184" s="33"/>
      <c r="J184" s="33"/>
      <c r="K184" s="33"/>
      <c r="L184" s="33"/>
      <c r="M184" s="33"/>
      <c r="N184" s="33"/>
      <c r="O184" s="33"/>
      <c r="P184" s="33"/>
      <c r="Q184" s="33"/>
      <c r="R184" s="33"/>
      <c r="S184" s="33"/>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s="218"/>
      <c r="AR184" s="218"/>
      <c r="AS184" s="218"/>
      <c r="AT184" s="218"/>
      <c r="AU184" s="218"/>
    </row>
    <row r="185" spans="1:47" ht="15" x14ac:dyDescent="0.2">
      <c r="A185" s="33"/>
      <c r="B185" s="33"/>
      <c r="C185" s="33"/>
      <c r="D185" s="33"/>
      <c r="E185" s="33"/>
      <c r="F185" s="33"/>
      <c r="G185" s="33"/>
      <c r="H185" s="33"/>
      <c r="I185" s="33"/>
      <c r="J185" s="33"/>
      <c r="K185" s="33"/>
      <c r="L185" s="33"/>
      <c r="M185" s="33"/>
      <c r="N185" s="33"/>
      <c r="O185" s="33"/>
      <c r="P185" s="33"/>
      <c r="Q185" s="33"/>
      <c r="R185" s="33"/>
      <c r="S185" s="33"/>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c r="AR185" s="218"/>
      <c r="AS185" s="218"/>
      <c r="AT185" s="218"/>
      <c r="AU185" s="218"/>
    </row>
    <row r="186" spans="1:47" ht="15" x14ac:dyDescent="0.2">
      <c r="A186" s="33"/>
      <c r="B186" s="33"/>
      <c r="C186" s="33"/>
      <c r="D186" s="33"/>
      <c r="E186" s="33"/>
      <c r="F186" s="33"/>
      <c r="G186" s="33"/>
      <c r="H186" s="33"/>
      <c r="I186" s="33"/>
      <c r="J186" s="33"/>
      <c r="K186" s="33"/>
      <c r="L186" s="33"/>
      <c r="M186" s="33"/>
      <c r="N186" s="33"/>
      <c r="O186" s="33"/>
      <c r="P186" s="33"/>
      <c r="Q186" s="33"/>
      <c r="R186" s="33"/>
      <c r="S186" s="33"/>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c r="AR186" s="218"/>
      <c r="AS186" s="218"/>
      <c r="AT186" s="218"/>
      <c r="AU186" s="218"/>
    </row>
    <row r="187" spans="1:47" ht="15" x14ac:dyDescent="0.2">
      <c r="A187" s="33"/>
      <c r="B187" s="33"/>
      <c r="C187" s="33"/>
      <c r="D187" s="33"/>
      <c r="E187" s="33"/>
      <c r="F187" s="33"/>
      <c r="G187" s="33"/>
      <c r="H187" s="33"/>
      <c r="I187" s="33"/>
      <c r="J187" s="33"/>
      <c r="K187" s="33"/>
      <c r="L187" s="33"/>
      <c r="M187" s="33"/>
      <c r="N187" s="33"/>
      <c r="O187" s="33"/>
      <c r="P187" s="33"/>
      <c r="Q187" s="33"/>
      <c r="R187" s="33"/>
      <c r="S187" s="33"/>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s="218"/>
      <c r="AR187" s="218"/>
      <c r="AS187" s="218"/>
      <c r="AT187" s="218"/>
      <c r="AU187" s="218"/>
    </row>
    <row r="188" spans="1:47" ht="15" x14ac:dyDescent="0.2">
      <c r="A188" s="33"/>
      <c r="B188" s="33"/>
      <c r="C188" s="33"/>
      <c r="D188" s="33"/>
      <c r="E188" s="33"/>
      <c r="F188" s="33"/>
      <c r="G188" s="33"/>
      <c r="H188" s="33"/>
      <c r="I188" s="33"/>
      <c r="J188" s="33"/>
      <c r="K188" s="33"/>
      <c r="L188" s="33"/>
      <c r="M188" s="33"/>
      <c r="N188" s="33"/>
      <c r="O188" s="33"/>
      <c r="P188" s="33"/>
      <c r="Q188" s="33"/>
      <c r="R188" s="33"/>
      <c r="S188" s="33"/>
      <c r="T188" s="218"/>
      <c r="U188" s="218"/>
      <c r="V188" s="218"/>
      <c r="W188" s="218"/>
      <c r="X188" s="218"/>
      <c r="Y188" s="218"/>
      <c r="Z188" s="218"/>
      <c r="AA188" s="218"/>
      <c r="AB188" s="218"/>
      <c r="AC188" s="218"/>
      <c r="AD188" s="218"/>
      <c r="AE188" s="218"/>
      <c r="AF188" s="218"/>
      <c r="AG188" s="218"/>
      <c r="AH188" s="218"/>
      <c r="AI188" s="218"/>
      <c r="AJ188" s="218"/>
      <c r="AK188" s="218"/>
      <c r="AL188" s="218"/>
      <c r="AM188" s="218"/>
      <c r="AN188" s="218"/>
      <c r="AO188" s="218"/>
      <c r="AP188" s="218"/>
      <c r="AQ188" s="218"/>
      <c r="AR188" s="218"/>
      <c r="AS188" s="218"/>
      <c r="AT188" s="218"/>
      <c r="AU188" s="218"/>
    </row>
    <row r="189" spans="1:47" ht="15" x14ac:dyDescent="0.2">
      <c r="A189" s="33"/>
      <c r="B189" s="33"/>
      <c r="C189" s="33"/>
      <c r="D189" s="33"/>
      <c r="E189" s="33"/>
      <c r="F189" s="33"/>
      <c r="G189" s="33"/>
      <c r="H189" s="33"/>
      <c r="I189" s="33"/>
      <c r="J189" s="33"/>
      <c r="K189" s="33"/>
      <c r="L189" s="33"/>
      <c r="M189" s="33"/>
      <c r="N189" s="33"/>
      <c r="O189" s="33"/>
      <c r="P189" s="33"/>
      <c r="Q189" s="33"/>
      <c r="R189" s="33"/>
      <c r="S189" s="33"/>
      <c r="T189" s="218"/>
      <c r="U189" s="218"/>
      <c r="V189" s="218"/>
      <c r="W189" s="218"/>
      <c r="X189" s="218"/>
      <c r="Y189" s="218"/>
      <c r="Z189" s="218"/>
      <c r="AA189" s="218"/>
      <c r="AB189" s="218"/>
      <c r="AC189" s="218"/>
      <c r="AD189" s="218"/>
      <c r="AE189" s="218"/>
      <c r="AF189" s="218"/>
      <c r="AG189" s="218"/>
      <c r="AH189" s="218"/>
      <c r="AI189" s="218"/>
      <c r="AJ189" s="218"/>
      <c r="AK189" s="218"/>
      <c r="AL189" s="218"/>
      <c r="AM189" s="218"/>
      <c r="AN189" s="218"/>
      <c r="AO189" s="218"/>
      <c r="AP189" s="218"/>
      <c r="AQ189" s="218"/>
      <c r="AR189" s="218"/>
      <c r="AS189" s="218"/>
      <c r="AT189" s="218"/>
      <c r="AU189" s="218"/>
    </row>
    <row r="190" spans="1:47" ht="15.75" x14ac:dyDescent="0.25">
      <c r="A190" s="13"/>
      <c r="B190" s="13"/>
      <c r="C190" s="13"/>
      <c r="D190" s="13"/>
      <c r="E190" s="13"/>
      <c r="F190" s="13"/>
      <c r="G190" s="13"/>
      <c r="H190" s="13"/>
      <c r="I190" s="13"/>
      <c r="J190" s="13"/>
      <c r="K190" s="13"/>
      <c r="L190" s="13"/>
      <c r="M190" s="13"/>
      <c r="N190" s="13"/>
      <c r="O190" s="13"/>
      <c r="P190" s="13"/>
      <c r="Q190" s="13"/>
      <c r="R190" s="13"/>
      <c r="S190" s="13"/>
    </row>
  </sheetData>
  <mergeCells count="11">
    <mergeCell ref="N4:Q4"/>
    <mergeCell ref="A1:H1"/>
    <mergeCell ref="A2:H2"/>
    <mergeCell ref="A3:H3"/>
    <mergeCell ref="A4:H4"/>
    <mergeCell ref="A5:H5"/>
    <mergeCell ref="A33:D33"/>
    <mergeCell ref="B6:D6"/>
    <mergeCell ref="F6:H6"/>
    <mergeCell ref="N6:P6"/>
    <mergeCell ref="J6:L6"/>
  </mergeCells>
  <phoneticPr fontId="0" type="noConversion"/>
  <conditionalFormatting sqref="C38 G38 K38">
    <cfRule type="cellIs" dxfId="2" priority="3" stopIfTrue="1" operator="notEqual">
      <formula>"Yes"</formula>
    </cfRule>
  </conditionalFormatting>
  <conditionalFormatting sqref="C37 G37 K37 O36:O37 B39 F39 J39">
    <cfRule type="cellIs" dxfId="1" priority="2" stopIfTrue="1" operator="notEqual">
      <formula>"Yes"</formula>
    </cfRule>
  </conditionalFormatting>
  <conditionalFormatting sqref="R10 R12:R14 R17 R20 R25:R28">
    <cfRule type="cellIs" dxfId="0" priority="1" stopIfTrue="1" operator="notEqual">
      <formula>"Yes"</formula>
    </cfRule>
  </conditionalFormatting>
  <pageMargins left="0.75" right="0.75" top="0.75" bottom="0.75" header="0.5" footer="0.5"/>
  <pageSetup scale="89" firstPageNumber="19" orientation="landscape" useFirstPageNumber="1" r:id="rId1"/>
  <headerFooter alignWithMargins="0">
    <oddHeader>&amp;R&amp;12Schedule 7</oddHeader>
    <oddFooter>&amp;L&amp;12Revised:  July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AP95"/>
  <sheetViews>
    <sheetView showGridLines="0" zoomScaleNormal="100" zoomScaleSheetLayoutView="70" zoomScalePageLayoutView="80" workbookViewId="0">
      <pane xSplit="1" ySplit="7" topLeftCell="B8"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42.7109375" customWidth="1"/>
    <col min="2" max="5" width="14.7109375" customWidth="1"/>
    <col min="6" max="6" width="14.7109375" hidden="1" customWidth="1"/>
    <col min="7" max="7" width="14.7109375" customWidth="1"/>
    <col min="8" max="8" width="2.7109375" customWidth="1"/>
    <col min="9" max="9" width="14.7109375" customWidth="1"/>
    <col min="10" max="10" width="8.7109375" hidden="1" customWidth="1"/>
    <col min="11" max="11" width="12.7109375" customWidth="1"/>
    <col min="12" max="12" width="2.7109375" customWidth="1"/>
    <col min="13" max="24" width="14.7109375" customWidth="1"/>
    <col min="25" max="25" width="13.7109375" customWidth="1"/>
    <col min="26" max="26" width="12.140625" bestFit="1" customWidth="1"/>
    <col min="28" max="28" width="11" bestFit="1" customWidth="1"/>
  </cols>
  <sheetData>
    <row r="1" spans="1:42" ht="16.5" customHeight="1" thickBot="1" x14ac:dyDescent="0.3">
      <c r="A1" s="341" t="str">
        <f>'GW Net Position Exh 1'!A1</f>
        <v>Owl Charter, Inc.</v>
      </c>
      <c r="B1" s="341"/>
      <c r="C1" s="341"/>
      <c r="D1" s="341"/>
      <c r="E1" s="341"/>
      <c r="F1" s="341"/>
      <c r="G1" s="341"/>
      <c r="H1" s="19"/>
      <c r="I1" s="19"/>
      <c r="J1" s="63">
        <v>15.75</v>
      </c>
      <c r="K1" s="63"/>
      <c r="L1" s="63"/>
      <c r="M1" s="354" t="s">
        <v>392</v>
      </c>
      <c r="N1" s="355"/>
      <c r="O1" s="355"/>
      <c r="P1" s="355"/>
      <c r="Q1" s="356"/>
      <c r="R1" s="326"/>
      <c r="S1" s="19"/>
      <c r="T1" s="19"/>
      <c r="U1" s="19"/>
      <c r="V1" s="19"/>
      <c r="W1" s="19"/>
      <c r="X1" s="19"/>
      <c r="Y1" s="19"/>
      <c r="Z1" s="19"/>
      <c r="AA1" s="20"/>
      <c r="AB1" s="20"/>
      <c r="AC1" s="20"/>
      <c r="AD1" s="20"/>
      <c r="AE1" s="20"/>
      <c r="AF1" s="20"/>
      <c r="AG1" s="20"/>
      <c r="AH1" s="20"/>
      <c r="AI1" s="20"/>
      <c r="AJ1" s="20"/>
      <c r="AK1" s="20"/>
      <c r="AL1" s="11"/>
      <c r="AM1" s="11"/>
      <c r="AN1" s="11"/>
      <c r="AO1" s="11"/>
      <c r="AP1" s="11"/>
    </row>
    <row r="2" spans="1:42" ht="16.5" thickBot="1" x14ac:dyDescent="0.3">
      <c r="A2" s="342" t="s">
        <v>6</v>
      </c>
      <c r="B2" s="342"/>
      <c r="C2" s="342"/>
      <c r="D2" s="342"/>
      <c r="E2" s="342"/>
      <c r="F2" s="342"/>
      <c r="G2" s="342"/>
      <c r="H2" s="21"/>
      <c r="I2" s="21"/>
      <c r="J2" s="63">
        <v>15.75</v>
      </c>
      <c r="K2" s="63"/>
      <c r="L2" s="63"/>
      <c r="M2" s="360"/>
      <c r="N2" s="361"/>
      <c r="O2" s="361"/>
      <c r="P2" s="361"/>
      <c r="Q2" s="362"/>
      <c r="R2" s="326"/>
      <c r="S2" s="366" t="s">
        <v>287</v>
      </c>
      <c r="T2" s="367"/>
      <c r="U2" s="368"/>
      <c r="V2" s="366" t="s">
        <v>288</v>
      </c>
      <c r="W2" s="367"/>
      <c r="X2" s="368"/>
      <c r="Y2" s="20"/>
      <c r="Z2" s="20"/>
      <c r="AA2" s="20"/>
      <c r="AB2" s="20"/>
      <c r="AC2" s="20"/>
      <c r="AD2" s="20"/>
      <c r="AE2" s="20"/>
      <c r="AF2" s="20"/>
      <c r="AG2" s="20"/>
      <c r="AH2" s="20"/>
      <c r="AI2" s="20"/>
      <c r="AJ2" s="20"/>
      <c r="AK2" s="20"/>
      <c r="AL2" s="11"/>
      <c r="AM2" s="11"/>
      <c r="AN2" s="11"/>
      <c r="AO2" s="11"/>
      <c r="AP2" s="11"/>
    </row>
    <row r="3" spans="1:42" ht="16.5" thickBot="1" x14ac:dyDescent="0.3">
      <c r="A3" s="342" t="s">
        <v>7</v>
      </c>
      <c r="B3" s="342"/>
      <c r="C3" s="342"/>
      <c r="D3" s="342"/>
      <c r="E3" s="342"/>
      <c r="F3" s="342"/>
      <c r="G3" s="342"/>
      <c r="H3" s="21"/>
      <c r="I3" s="21"/>
      <c r="J3" s="63">
        <v>15.75</v>
      </c>
      <c r="K3" s="63"/>
      <c r="L3" s="63"/>
      <c r="M3" s="21"/>
      <c r="N3" s="21"/>
      <c r="O3" s="21"/>
      <c r="P3" s="21"/>
      <c r="Q3" s="21"/>
      <c r="R3" s="21"/>
      <c r="S3" s="369"/>
      <c r="T3" s="370"/>
      <c r="U3" s="371"/>
      <c r="V3" s="369"/>
      <c r="W3" s="370"/>
      <c r="X3" s="371"/>
      <c r="Y3" s="20"/>
      <c r="Z3" s="20"/>
      <c r="AA3" s="20"/>
      <c r="AB3" s="20"/>
      <c r="AC3" s="20"/>
      <c r="AD3" s="20"/>
      <c r="AE3" s="20"/>
      <c r="AF3" s="20"/>
      <c r="AG3" s="20"/>
      <c r="AH3" s="20"/>
      <c r="AI3" s="20"/>
      <c r="AJ3" s="20"/>
      <c r="AK3" s="20"/>
      <c r="AL3" s="11"/>
      <c r="AM3" s="11"/>
      <c r="AN3" s="11"/>
      <c r="AO3" s="11"/>
      <c r="AP3" s="11"/>
    </row>
    <row r="4" spans="1:42" ht="20.25" x14ac:dyDescent="0.55000000000000004">
      <c r="A4" s="374" t="str">
        <f>+'GW Net Position Exh 1'!A3</f>
        <v>June 30, 2020</v>
      </c>
      <c r="B4" s="374"/>
      <c r="C4" s="374"/>
      <c r="D4" s="374"/>
      <c r="E4" s="374"/>
      <c r="F4" s="374"/>
      <c r="G4" s="374"/>
      <c r="H4" s="22"/>
      <c r="I4" s="22"/>
      <c r="J4" s="63">
        <v>15.75</v>
      </c>
      <c r="K4" s="63"/>
      <c r="L4" s="63"/>
      <c r="M4" s="373" t="s">
        <v>282</v>
      </c>
      <c r="N4" s="373"/>
      <c r="O4" s="373"/>
      <c r="P4" s="373"/>
      <c r="Q4" s="373"/>
      <c r="R4" s="373"/>
      <c r="S4" s="373"/>
      <c r="T4" s="373"/>
      <c r="U4" s="373"/>
      <c r="V4" s="373"/>
      <c r="W4" s="373"/>
      <c r="X4" s="373"/>
      <c r="Y4" s="20"/>
      <c r="Z4" s="20"/>
      <c r="AA4" s="20"/>
      <c r="AB4" s="20"/>
      <c r="AC4" s="20"/>
      <c r="AD4" s="20"/>
      <c r="AE4" s="20"/>
      <c r="AF4" s="20"/>
      <c r="AG4" s="20"/>
      <c r="AH4" s="20"/>
      <c r="AI4" s="20"/>
      <c r="AJ4" s="20"/>
      <c r="AK4" s="20"/>
      <c r="AL4" s="11"/>
      <c r="AM4" s="11"/>
      <c r="AN4" s="11"/>
      <c r="AO4" s="11"/>
      <c r="AP4" s="11"/>
    </row>
    <row r="5" spans="1:42" ht="20.100000000000001" customHeight="1" x14ac:dyDescent="0.35">
      <c r="A5" s="23"/>
      <c r="B5" s="372"/>
      <c r="C5" s="372"/>
      <c r="D5" s="372"/>
      <c r="E5" s="372"/>
      <c r="F5" s="25"/>
      <c r="G5" s="338" t="s">
        <v>8</v>
      </c>
      <c r="H5" s="26"/>
      <c r="I5" s="26"/>
      <c r="J5" s="24">
        <v>25</v>
      </c>
      <c r="K5" s="24"/>
      <c r="L5" s="24"/>
      <c r="Y5" s="20"/>
      <c r="Z5" s="20"/>
      <c r="AA5" s="20"/>
      <c r="AB5" s="20"/>
      <c r="AC5" s="20"/>
      <c r="AD5" s="20"/>
      <c r="AE5" s="20"/>
      <c r="AF5" s="20"/>
      <c r="AG5" s="20"/>
      <c r="AH5" s="20"/>
      <c r="AI5" s="20"/>
      <c r="AJ5" s="20"/>
      <c r="AK5" s="20"/>
      <c r="AL5" s="11"/>
      <c r="AM5" s="11"/>
      <c r="AN5" s="11"/>
      <c r="AO5" s="11"/>
      <c r="AP5" s="11"/>
    </row>
    <row r="6" spans="1:42" ht="18" customHeight="1" x14ac:dyDescent="0.35">
      <c r="A6" s="23"/>
      <c r="C6" s="375" t="s">
        <v>353</v>
      </c>
      <c r="D6" s="375"/>
      <c r="E6" s="375"/>
      <c r="F6" s="338" t="s">
        <v>132</v>
      </c>
      <c r="G6" s="338"/>
      <c r="H6" s="26"/>
      <c r="I6" s="338" t="s">
        <v>291</v>
      </c>
      <c r="J6" s="63">
        <v>18</v>
      </c>
      <c r="K6" s="63"/>
      <c r="L6" s="63"/>
      <c r="M6" s="372" t="s">
        <v>274</v>
      </c>
      <c r="N6" s="372"/>
      <c r="O6" s="372"/>
      <c r="P6" s="372" t="s">
        <v>277</v>
      </c>
      <c r="Q6" s="372"/>
      <c r="R6" s="372"/>
      <c r="S6" s="372" t="s">
        <v>275</v>
      </c>
      <c r="T6" s="372"/>
      <c r="U6" s="372"/>
      <c r="V6" s="372" t="s">
        <v>276</v>
      </c>
      <c r="W6" s="372"/>
      <c r="X6" s="372"/>
      <c r="Y6" s="20"/>
      <c r="Z6" s="20"/>
      <c r="AA6" s="20"/>
      <c r="AB6" s="20"/>
      <c r="AC6" s="20"/>
      <c r="AD6" s="20"/>
      <c r="AE6" s="20"/>
      <c r="AF6" s="20"/>
      <c r="AG6" s="20"/>
      <c r="AH6" s="20"/>
      <c r="AI6" s="20"/>
      <c r="AJ6" s="20"/>
      <c r="AK6" s="20"/>
      <c r="AL6" s="11"/>
      <c r="AM6" s="11"/>
      <c r="AN6" s="11"/>
      <c r="AO6" s="11"/>
      <c r="AP6" s="11"/>
    </row>
    <row r="7" spans="1:42" ht="20.100000000000001" customHeight="1" x14ac:dyDescent="0.35">
      <c r="A7" s="20"/>
      <c r="B7" s="26" t="s">
        <v>12</v>
      </c>
      <c r="C7" s="27" t="s">
        <v>368</v>
      </c>
      <c r="D7" s="27" t="s">
        <v>369</v>
      </c>
      <c r="E7" s="27" t="s">
        <v>370</v>
      </c>
      <c r="F7" s="338"/>
      <c r="G7" s="338"/>
      <c r="H7" s="26"/>
      <c r="I7" s="338"/>
      <c r="J7" s="27">
        <v>18</v>
      </c>
      <c r="K7" s="329" t="s">
        <v>391</v>
      </c>
      <c r="L7" s="27"/>
      <c r="M7" s="27" t="str">
        <f>$C$7</f>
        <v>Owl - Doceo</v>
      </c>
      <c r="N7" s="27" t="str">
        <f>$D$7</f>
        <v>Owl - Erudio</v>
      </c>
      <c r="O7" s="27" t="str">
        <f>$E$7</f>
        <v>Owl - Discite</v>
      </c>
      <c r="P7" s="27" t="str">
        <f>$C$7</f>
        <v>Owl - Doceo</v>
      </c>
      <c r="Q7" s="27" t="str">
        <f>$D$7</f>
        <v>Owl - Erudio</v>
      </c>
      <c r="R7" s="27" t="str">
        <f>$E$7</f>
        <v>Owl - Discite</v>
      </c>
      <c r="S7" s="27" t="str">
        <f>$C$7</f>
        <v>Owl - Doceo</v>
      </c>
      <c r="T7" s="27" t="str">
        <f>$D$7</f>
        <v>Owl - Erudio</v>
      </c>
      <c r="U7" s="27" t="str">
        <f>$E$7</f>
        <v>Owl - Discite</v>
      </c>
      <c r="V7" s="27" t="str">
        <f>$C$7</f>
        <v>Owl - Doceo</v>
      </c>
      <c r="W7" s="27" t="str">
        <f>$D$7</f>
        <v>Owl - Erudio</v>
      </c>
      <c r="X7" s="27" t="str">
        <f>$E$7</f>
        <v>Owl - Discite</v>
      </c>
      <c r="Y7" s="20"/>
      <c r="Z7" s="20"/>
      <c r="AA7" s="20"/>
      <c r="AB7" s="20"/>
      <c r="AC7" s="20"/>
      <c r="AD7" s="20"/>
      <c r="AE7" s="20"/>
      <c r="AF7" s="20"/>
      <c r="AG7" s="20"/>
      <c r="AH7" s="20"/>
      <c r="AI7" s="20"/>
      <c r="AJ7" s="20"/>
      <c r="AK7" s="20"/>
      <c r="AL7" s="11"/>
      <c r="AM7" s="11"/>
      <c r="AN7" s="11"/>
      <c r="AO7" s="11"/>
      <c r="AP7" s="11"/>
    </row>
    <row r="8" spans="1:42" ht="15.75" customHeight="1" x14ac:dyDescent="0.25">
      <c r="A8" s="28" t="s">
        <v>227</v>
      </c>
      <c r="B8" s="20"/>
      <c r="C8" s="20"/>
      <c r="D8" s="20"/>
      <c r="E8" s="20"/>
      <c r="F8" s="20"/>
      <c r="G8" s="20"/>
      <c r="H8" s="20"/>
      <c r="I8" s="20"/>
      <c r="J8" s="63">
        <v>15.75</v>
      </c>
      <c r="K8" s="63"/>
      <c r="L8" s="63"/>
      <c r="M8" s="20"/>
      <c r="N8" s="20"/>
      <c r="O8" s="20"/>
      <c r="P8" s="20"/>
      <c r="Q8" s="20"/>
      <c r="R8" s="20"/>
      <c r="S8" s="20"/>
      <c r="T8" s="20"/>
      <c r="U8" s="20"/>
      <c r="V8" s="20"/>
      <c r="W8" s="20"/>
      <c r="X8" s="20"/>
      <c r="Y8" s="20"/>
      <c r="Z8" s="20"/>
      <c r="AA8" s="20"/>
      <c r="AB8" s="20"/>
      <c r="AC8" s="20"/>
      <c r="AD8" s="20"/>
      <c r="AE8" s="20"/>
      <c r="AF8" s="20"/>
      <c r="AG8" s="20"/>
      <c r="AH8" s="20"/>
      <c r="AI8" s="20"/>
      <c r="AJ8" s="20"/>
      <c r="AK8" s="20"/>
      <c r="AL8" s="11"/>
      <c r="AM8" s="11"/>
      <c r="AN8" s="11"/>
      <c r="AO8" s="11"/>
      <c r="AP8" s="11"/>
    </row>
    <row r="9" spans="1:42" ht="15.75" customHeight="1" x14ac:dyDescent="0.25">
      <c r="A9" s="36" t="s">
        <v>1</v>
      </c>
      <c r="B9" s="18">
        <f>465200-5000+3500+19606</f>
        <v>483306</v>
      </c>
      <c r="C9" s="18">
        <f t="shared" ref="C9:E13" si="0">+M9+P9+S9+V9</f>
        <v>389569</v>
      </c>
      <c r="D9" s="18">
        <f t="shared" si="0"/>
        <v>469853</v>
      </c>
      <c r="E9" s="18">
        <f t="shared" si="0"/>
        <v>342881</v>
      </c>
      <c r="F9" s="18">
        <v>0</v>
      </c>
      <c r="G9" s="18">
        <f t="shared" ref="G9:G14" si="1">SUM(B9:F9)</f>
        <v>1685609</v>
      </c>
      <c r="H9" s="18"/>
      <c r="I9" s="144" t="str">
        <f>IF(G9-'GW Net Position Exh 1'!B7=0,"Yes",G9-'GW Net Position Exh 1'!B7)</f>
        <v>Yes</v>
      </c>
      <c r="J9" s="63">
        <v>15.75</v>
      </c>
      <c r="K9" s="322" t="str">
        <f>IF((ABS(B9)+(ABS(C9)+ABS(D9)+ABS(E9)+ABS(F9)+ABS(G9))=0),"Hide Row?"," ")</f>
        <v xml:space="preserve"> </v>
      </c>
      <c r="L9" s="63"/>
      <c r="M9" s="18">
        <v>290924</v>
      </c>
      <c r="N9" s="18">
        <v>353273</v>
      </c>
      <c r="O9" s="18">
        <v>253632</v>
      </c>
      <c r="P9" s="18">
        <v>98645</v>
      </c>
      <c r="Q9" s="18">
        <v>116580</v>
      </c>
      <c r="R9" s="18">
        <v>83699</v>
      </c>
      <c r="S9" s="18">
        <v>0</v>
      </c>
      <c r="T9" s="18">
        <v>0</v>
      </c>
      <c r="U9" s="18">
        <v>0</v>
      </c>
      <c r="V9" s="18">
        <v>0</v>
      </c>
      <c r="W9" s="18">
        <v>0</v>
      </c>
      <c r="X9" s="18">
        <v>5550</v>
      </c>
      <c r="Y9" s="29"/>
      <c r="Z9" s="20"/>
      <c r="AA9" s="20"/>
      <c r="AB9" s="29"/>
      <c r="AC9" s="20"/>
      <c r="AD9" s="20"/>
      <c r="AE9" s="20"/>
      <c r="AF9" s="20"/>
      <c r="AG9" s="20"/>
      <c r="AH9" s="20"/>
      <c r="AI9" s="20"/>
      <c r="AJ9" s="20"/>
      <c r="AK9" s="20"/>
      <c r="AL9" s="11"/>
      <c r="AM9" s="11"/>
      <c r="AN9" s="11"/>
      <c r="AO9" s="11"/>
      <c r="AP9" s="11"/>
    </row>
    <row r="10" spans="1:42" ht="15.75" x14ac:dyDescent="0.25">
      <c r="A10" s="36" t="s">
        <v>46</v>
      </c>
      <c r="B10" s="33">
        <v>0</v>
      </c>
      <c r="C10" s="32">
        <f t="shared" si="0"/>
        <v>27475</v>
      </c>
      <c r="D10" s="32">
        <f t="shared" si="0"/>
        <v>28103</v>
      </c>
      <c r="E10" s="32">
        <f t="shared" si="0"/>
        <v>20176</v>
      </c>
      <c r="F10" s="33">
        <v>0</v>
      </c>
      <c r="G10" s="33">
        <f t="shared" si="1"/>
        <v>75754</v>
      </c>
      <c r="H10" s="33"/>
      <c r="I10" s="144" t="str">
        <f>IF(G10-'GW Net Position Exh 1'!B8=0,"Yes",G10-'GW Net Position Exh 1'!B8)</f>
        <v>Yes</v>
      </c>
      <c r="J10" s="63">
        <v>15.75</v>
      </c>
      <c r="K10" s="322" t="str">
        <f t="shared" ref="K10:K31" si="2">IF((ABS(B10)+(ABS(C10)+ABS(D10)+ABS(E10)+ABS(F10)+ABS(G10))=0),"Hide Row?"," ")</f>
        <v xml:space="preserve"> </v>
      </c>
      <c r="L10" s="63"/>
      <c r="M10" s="33">
        <v>17879</v>
      </c>
      <c r="N10" s="33">
        <v>21130</v>
      </c>
      <c r="O10" s="33">
        <v>15170</v>
      </c>
      <c r="P10" s="33">
        <v>5900</v>
      </c>
      <c r="Q10" s="33">
        <v>6973</v>
      </c>
      <c r="R10" s="33">
        <v>5006</v>
      </c>
      <c r="S10" s="33">
        <v>3696</v>
      </c>
      <c r="T10" s="33">
        <v>0</v>
      </c>
      <c r="U10" s="33">
        <v>0</v>
      </c>
      <c r="V10" s="33">
        <v>0</v>
      </c>
      <c r="W10" s="33">
        <v>0</v>
      </c>
      <c r="X10" s="33">
        <v>0</v>
      </c>
      <c r="Y10" s="20"/>
      <c r="Z10" s="20"/>
      <c r="AA10" s="20"/>
      <c r="AB10" s="20"/>
      <c r="AC10" s="20"/>
      <c r="AD10" s="20"/>
      <c r="AE10" s="20"/>
      <c r="AF10" s="20"/>
      <c r="AG10" s="20"/>
      <c r="AH10" s="20"/>
      <c r="AI10" s="20"/>
      <c r="AJ10" s="20"/>
      <c r="AK10" s="20"/>
      <c r="AL10" s="11"/>
      <c r="AM10" s="11"/>
      <c r="AN10" s="11"/>
      <c r="AO10" s="11"/>
      <c r="AP10" s="11"/>
    </row>
    <row r="11" spans="1:42" ht="15.75" customHeight="1" x14ac:dyDescent="0.25">
      <c r="A11" s="40" t="s">
        <v>78</v>
      </c>
      <c r="B11" s="31">
        <v>0</v>
      </c>
      <c r="C11" s="32">
        <f t="shared" si="0"/>
        <v>8000</v>
      </c>
      <c r="D11" s="32">
        <f t="shared" si="0"/>
        <v>0</v>
      </c>
      <c r="E11" s="32">
        <f t="shared" si="0"/>
        <v>0</v>
      </c>
      <c r="F11" s="31">
        <v>0</v>
      </c>
      <c r="G11" s="31">
        <f t="shared" si="1"/>
        <v>8000</v>
      </c>
      <c r="H11" s="31"/>
      <c r="I11" s="144" t="str">
        <f>IF(G11-G19=0,"Yes",G11-G19)</f>
        <v>Yes</v>
      </c>
      <c r="J11" s="63">
        <v>15.75</v>
      </c>
      <c r="K11" s="322" t="str">
        <f t="shared" si="2"/>
        <v xml:space="preserve"> </v>
      </c>
      <c r="L11" s="63"/>
      <c r="M11" s="31">
        <v>8000</v>
      </c>
      <c r="N11" s="31">
        <v>0</v>
      </c>
      <c r="O11" s="31">
        <v>0</v>
      </c>
      <c r="P11" s="31">
        <v>0</v>
      </c>
      <c r="Q11" s="31">
        <v>0</v>
      </c>
      <c r="R11" s="31">
        <v>0</v>
      </c>
      <c r="S11" s="31">
        <v>0</v>
      </c>
      <c r="T11" s="31">
        <v>0</v>
      </c>
      <c r="U11" s="31">
        <v>0</v>
      </c>
      <c r="V11" s="31">
        <v>0</v>
      </c>
      <c r="W11" s="31">
        <v>0</v>
      </c>
      <c r="X11" s="31">
        <v>0</v>
      </c>
      <c r="Y11" s="20"/>
      <c r="Z11" s="20"/>
      <c r="AA11" s="20"/>
      <c r="AB11" s="20"/>
      <c r="AC11" s="20"/>
      <c r="AD11" s="20"/>
      <c r="AE11" s="20"/>
      <c r="AF11" s="20"/>
      <c r="AG11" s="20"/>
      <c r="AH11" s="20"/>
      <c r="AI11" s="20"/>
      <c r="AJ11" s="20"/>
      <c r="AK11" s="20"/>
      <c r="AL11" s="11"/>
      <c r="AM11" s="11"/>
      <c r="AN11" s="11"/>
      <c r="AO11" s="11"/>
      <c r="AP11" s="11"/>
    </row>
    <row r="12" spans="1:42" ht="15.75" customHeight="1" x14ac:dyDescent="0.25">
      <c r="A12" s="36" t="s">
        <v>2</v>
      </c>
      <c r="B12" s="33">
        <v>0</v>
      </c>
      <c r="C12" s="32">
        <f t="shared" si="0"/>
        <v>272</v>
      </c>
      <c r="D12" s="32">
        <f t="shared" si="0"/>
        <v>322</v>
      </c>
      <c r="E12" s="32">
        <f t="shared" si="0"/>
        <v>231</v>
      </c>
      <c r="F12" s="33">
        <v>0</v>
      </c>
      <c r="G12" s="33">
        <f t="shared" si="1"/>
        <v>825</v>
      </c>
      <c r="H12" s="33"/>
      <c r="I12" s="144" t="str">
        <f>IF(G12-'GW Net Position Exh 1'!B11=0,"Yes",G12-'GW Net Position Exh 1'!B11)</f>
        <v>Yes</v>
      </c>
      <c r="J12" s="63">
        <v>15.75</v>
      </c>
      <c r="K12" s="322" t="str">
        <f t="shared" si="2"/>
        <v xml:space="preserve"> </v>
      </c>
      <c r="L12" s="63"/>
      <c r="M12" s="33">
        <v>272</v>
      </c>
      <c r="N12" s="33">
        <v>322</v>
      </c>
      <c r="O12" s="33">
        <v>231</v>
      </c>
      <c r="P12" s="33">
        <v>0</v>
      </c>
      <c r="Q12" s="33">
        <v>0</v>
      </c>
      <c r="R12" s="33">
        <v>0</v>
      </c>
      <c r="S12" s="33">
        <v>0</v>
      </c>
      <c r="T12" s="33">
        <v>0</v>
      </c>
      <c r="U12" s="33">
        <v>0</v>
      </c>
      <c r="V12" s="33">
        <v>0</v>
      </c>
      <c r="W12" s="33">
        <v>0</v>
      </c>
      <c r="X12" s="33">
        <v>0</v>
      </c>
      <c r="Y12" s="20"/>
      <c r="Z12" s="20"/>
      <c r="AA12" s="20"/>
      <c r="AB12" s="20"/>
      <c r="AC12" s="20"/>
      <c r="AD12" s="20"/>
      <c r="AE12" s="20"/>
      <c r="AF12" s="20"/>
      <c r="AG12" s="20"/>
      <c r="AH12" s="20"/>
      <c r="AI12" s="20"/>
      <c r="AJ12" s="20"/>
      <c r="AK12" s="20"/>
      <c r="AL12" s="11"/>
      <c r="AM12" s="11"/>
      <c r="AN12" s="11"/>
      <c r="AO12" s="11"/>
      <c r="AP12" s="11"/>
    </row>
    <row r="13" spans="1:42" ht="17.25" customHeight="1" x14ac:dyDescent="0.35">
      <c r="A13" s="36" t="s">
        <v>129</v>
      </c>
      <c r="B13" s="34">
        <v>1500</v>
      </c>
      <c r="C13" s="35">
        <f t="shared" si="0"/>
        <v>3085</v>
      </c>
      <c r="D13" s="35">
        <f t="shared" si="0"/>
        <v>3646</v>
      </c>
      <c r="E13" s="35">
        <f t="shared" si="0"/>
        <v>2618</v>
      </c>
      <c r="F13" s="34">
        <v>0</v>
      </c>
      <c r="G13" s="34">
        <f t="shared" si="1"/>
        <v>10849</v>
      </c>
      <c r="H13" s="34"/>
      <c r="I13" s="144" t="str">
        <f>IF(G13-'GW Net Position Exh 1'!B12=0,"Yes",G13-'GW Net Position Exh 1'!B12)</f>
        <v>Yes</v>
      </c>
      <c r="J13" s="63">
        <v>17.25</v>
      </c>
      <c r="K13" s="322" t="str">
        <f t="shared" si="2"/>
        <v xml:space="preserve"> </v>
      </c>
      <c r="L13" s="63"/>
      <c r="M13" s="34">
        <v>3085</v>
      </c>
      <c r="N13" s="34">
        <v>3646</v>
      </c>
      <c r="O13" s="34">
        <v>2618</v>
      </c>
      <c r="P13" s="34">
        <v>0</v>
      </c>
      <c r="Q13" s="34">
        <v>0</v>
      </c>
      <c r="R13" s="34">
        <v>0</v>
      </c>
      <c r="S13" s="34">
        <v>0</v>
      </c>
      <c r="T13" s="34">
        <v>0</v>
      </c>
      <c r="U13" s="34">
        <v>0</v>
      </c>
      <c r="V13" s="34">
        <v>0</v>
      </c>
      <c r="W13" s="34">
        <v>0</v>
      </c>
      <c r="X13" s="34">
        <v>0</v>
      </c>
      <c r="Y13" s="20"/>
      <c r="Z13" s="20"/>
      <c r="AA13" s="20"/>
      <c r="AB13" s="20"/>
      <c r="AC13" s="20"/>
      <c r="AD13" s="20"/>
      <c r="AE13" s="20"/>
      <c r="AF13" s="20"/>
      <c r="AG13" s="20"/>
      <c r="AH13" s="20"/>
      <c r="AI13" s="20"/>
      <c r="AJ13" s="20"/>
      <c r="AK13" s="20"/>
      <c r="AL13" s="11"/>
      <c r="AM13" s="11"/>
      <c r="AN13" s="11"/>
      <c r="AO13" s="11"/>
      <c r="AP13" s="11"/>
    </row>
    <row r="14" spans="1:42" ht="20.100000000000001" customHeight="1" x14ac:dyDescent="0.35">
      <c r="A14" s="73" t="s">
        <v>3</v>
      </c>
      <c r="B14" s="37">
        <f>SUM(B9:B13)</f>
        <v>484806</v>
      </c>
      <c r="C14" s="37">
        <f>SUM(C9:C13)</f>
        <v>428401</v>
      </c>
      <c r="D14" s="37">
        <f>SUM(D9:D13)</f>
        <v>501924</v>
      </c>
      <c r="E14" s="37">
        <f>SUM(E9:E13)</f>
        <v>365906</v>
      </c>
      <c r="F14" s="37">
        <f>SUM(F9:F13)</f>
        <v>0</v>
      </c>
      <c r="G14" s="37">
        <f t="shared" si="1"/>
        <v>1781037</v>
      </c>
      <c r="H14" s="37"/>
      <c r="I14" s="18"/>
      <c r="J14" s="63">
        <v>24</v>
      </c>
      <c r="K14" s="322" t="str">
        <f t="shared" si="2"/>
        <v xml:space="preserve"> </v>
      </c>
      <c r="L14" s="63"/>
      <c r="M14" s="37">
        <f t="shared" ref="M14:X14" si="3">SUM(M9:M13)</f>
        <v>320160</v>
      </c>
      <c r="N14" s="37">
        <f t="shared" si="3"/>
        <v>378371</v>
      </c>
      <c r="O14" s="37">
        <f t="shared" si="3"/>
        <v>271651</v>
      </c>
      <c r="P14" s="37">
        <f t="shared" si="3"/>
        <v>104545</v>
      </c>
      <c r="Q14" s="37">
        <f t="shared" si="3"/>
        <v>123553</v>
      </c>
      <c r="R14" s="37">
        <f t="shared" si="3"/>
        <v>88705</v>
      </c>
      <c r="S14" s="37">
        <f t="shared" si="3"/>
        <v>3696</v>
      </c>
      <c r="T14" s="37">
        <f t="shared" si="3"/>
        <v>0</v>
      </c>
      <c r="U14" s="37">
        <f t="shared" si="3"/>
        <v>0</v>
      </c>
      <c r="V14" s="37">
        <f t="shared" si="3"/>
        <v>0</v>
      </c>
      <c r="W14" s="37">
        <f t="shared" si="3"/>
        <v>0</v>
      </c>
      <c r="X14" s="37">
        <f t="shared" si="3"/>
        <v>5550</v>
      </c>
      <c r="Y14" s="20"/>
      <c r="Z14" s="20"/>
      <c r="AA14" s="20"/>
      <c r="AB14" s="20"/>
      <c r="AC14" s="20"/>
      <c r="AD14" s="20"/>
      <c r="AE14" s="20"/>
      <c r="AF14" s="20"/>
      <c r="AG14" s="20"/>
      <c r="AH14" s="20"/>
      <c r="AI14" s="20"/>
      <c r="AJ14" s="20"/>
      <c r="AK14" s="20"/>
      <c r="AL14" s="11"/>
      <c r="AM14" s="11"/>
      <c r="AN14" s="11"/>
      <c r="AO14" s="11"/>
      <c r="AP14" s="11"/>
    </row>
    <row r="15" spans="1:42" ht="24" customHeight="1" x14ac:dyDescent="0.25">
      <c r="A15" s="28" t="s">
        <v>228</v>
      </c>
      <c r="B15" s="20"/>
      <c r="C15" s="20"/>
      <c r="D15" s="20"/>
      <c r="E15" s="20"/>
      <c r="F15" s="20"/>
      <c r="G15" s="20"/>
      <c r="H15" s="20"/>
      <c r="I15" s="20"/>
      <c r="J15" s="63">
        <v>21</v>
      </c>
      <c r="K15" s="322"/>
      <c r="L15" s="63"/>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11"/>
      <c r="AM15" s="11"/>
      <c r="AN15" s="11"/>
      <c r="AO15" s="11"/>
      <c r="AP15" s="11"/>
    </row>
    <row r="16" spans="1:42" ht="15.75" customHeight="1" x14ac:dyDescent="0.25">
      <c r="A16" s="36" t="s">
        <v>45</v>
      </c>
      <c r="B16" s="38">
        <v>54500</v>
      </c>
      <c r="C16" s="18">
        <f t="shared" ref="C16:E20" si="4">+M16+P16+S16+V16</f>
        <v>171985</v>
      </c>
      <c r="D16" s="18">
        <f t="shared" si="4"/>
        <v>203255</v>
      </c>
      <c r="E16" s="18">
        <f t="shared" si="4"/>
        <v>146461</v>
      </c>
      <c r="F16" s="18">
        <v>0</v>
      </c>
      <c r="G16" s="18">
        <f t="shared" ref="G16:G21" si="5">SUM(B16:F16)</f>
        <v>576201</v>
      </c>
      <c r="H16" s="18"/>
      <c r="I16" s="146" t="str">
        <f>IF(G16-'GW Net Position Exh 1'!B22-'GW Net Position Exh 1'!B26=0,"Yes",G16-'GW Net Position Exh 1'!B22-'GW Net Position Exh 1'!B26)</f>
        <v>Yes</v>
      </c>
      <c r="J16" s="63">
        <v>15.75</v>
      </c>
      <c r="K16" s="322" t="str">
        <f t="shared" si="2"/>
        <v xml:space="preserve"> </v>
      </c>
      <c r="L16" s="63"/>
      <c r="M16" s="18">
        <v>131545</v>
      </c>
      <c r="N16" s="18">
        <f>155462</f>
        <v>155462</v>
      </c>
      <c r="O16" s="18">
        <v>102614</v>
      </c>
      <c r="P16" s="18">
        <v>40440</v>
      </c>
      <c r="Q16" s="18">
        <v>47793</v>
      </c>
      <c r="R16" s="18">
        <v>43312</v>
      </c>
      <c r="S16" s="18">
        <v>0</v>
      </c>
      <c r="T16" s="18">
        <v>0</v>
      </c>
      <c r="U16" s="18">
        <v>0</v>
      </c>
      <c r="V16" s="18">
        <v>0</v>
      </c>
      <c r="W16" s="18">
        <v>0</v>
      </c>
      <c r="X16" s="18">
        <v>535</v>
      </c>
      <c r="Y16" s="20"/>
      <c r="Z16" s="20"/>
      <c r="AA16" s="30"/>
      <c r="AB16" s="30"/>
      <c r="AC16" s="30"/>
      <c r="AD16" s="20"/>
      <c r="AE16" s="20"/>
      <c r="AF16" s="20"/>
      <c r="AG16" s="20"/>
      <c r="AH16" s="20"/>
      <c r="AI16" s="20"/>
      <c r="AJ16" s="20"/>
      <c r="AK16" s="20"/>
      <c r="AL16" s="11"/>
      <c r="AM16" s="11"/>
      <c r="AN16" s="11"/>
      <c r="AO16" s="11"/>
      <c r="AP16" s="11"/>
    </row>
    <row r="17" spans="1:42" ht="15.75" customHeight="1" x14ac:dyDescent="0.25">
      <c r="A17" s="70" t="s">
        <v>90</v>
      </c>
      <c r="B17" s="33">
        <v>13390</v>
      </c>
      <c r="C17" s="32">
        <f t="shared" si="4"/>
        <v>148651</v>
      </c>
      <c r="D17" s="32">
        <f t="shared" si="4"/>
        <v>171310</v>
      </c>
      <c r="E17" s="32">
        <f t="shared" si="4"/>
        <v>114993</v>
      </c>
      <c r="F17" s="33">
        <v>0</v>
      </c>
      <c r="G17" s="33">
        <f t="shared" si="5"/>
        <v>448344</v>
      </c>
      <c r="H17" s="33"/>
      <c r="I17" s="146" t="str">
        <f>IF(G17-'GW Net Position Exh 1'!B23=0,"Yes",G17-'GW Net Position Exh 1'!B23)</f>
        <v>Yes</v>
      </c>
      <c r="J17" s="63">
        <v>15.75</v>
      </c>
      <c r="K17" s="322" t="str">
        <f t="shared" si="2"/>
        <v xml:space="preserve"> </v>
      </c>
      <c r="L17" s="63"/>
      <c r="M17" s="33">
        <v>80850</v>
      </c>
      <c r="N17" s="33">
        <v>95550</v>
      </c>
      <c r="O17" s="33">
        <v>69600</v>
      </c>
      <c r="P17" s="33">
        <f>+P14-P16</f>
        <v>64105</v>
      </c>
      <c r="Q17" s="33">
        <f>+Q14-Q16</f>
        <v>75760</v>
      </c>
      <c r="R17" s="33">
        <f>+R14-R16</f>
        <v>45393</v>
      </c>
      <c r="S17" s="33">
        <v>3696</v>
      </c>
      <c r="T17" s="33">
        <v>0</v>
      </c>
      <c r="U17" s="33">
        <v>0</v>
      </c>
      <c r="V17" s="33">
        <v>0</v>
      </c>
      <c r="W17" s="33">
        <v>0</v>
      </c>
      <c r="X17" s="33">
        <v>0</v>
      </c>
      <c r="Y17" s="20"/>
      <c r="Z17" s="20"/>
      <c r="AA17" s="31"/>
      <c r="AB17" s="31"/>
      <c r="AC17" s="31"/>
      <c r="AD17" s="20"/>
      <c r="AE17" s="20"/>
      <c r="AF17" s="20"/>
      <c r="AG17" s="20"/>
      <c r="AH17" s="20"/>
      <c r="AI17" s="20"/>
      <c r="AJ17" s="20"/>
      <c r="AK17" s="20"/>
      <c r="AL17" s="11"/>
      <c r="AM17" s="11"/>
      <c r="AN17" s="11"/>
      <c r="AO17" s="11"/>
      <c r="AP17" s="11"/>
    </row>
    <row r="18" spans="1:42" ht="15.75" hidden="1" customHeight="1" x14ac:dyDescent="0.25">
      <c r="A18" s="48" t="s">
        <v>130</v>
      </c>
      <c r="B18" s="31">
        <v>0</v>
      </c>
      <c r="C18" s="32">
        <f t="shared" si="4"/>
        <v>0</v>
      </c>
      <c r="D18" s="32">
        <f t="shared" si="4"/>
        <v>0</v>
      </c>
      <c r="E18" s="32">
        <f t="shared" si="4"/>
        <v>0</v>
      </c>
      <c r="F18" s="33">
        <v>0</v>
      </c>
      <c r="G18" s="33">
        <f t="shared" si="5"/>
        <v>0</v>
      </c>
      <c r="H18" s="33"/>
      <c r="I18" s="144" t="str">
        <f>IF(G18-'GW Net Position Exh 1'!B24=0,"Yes",G18-'GW Net Position Exh 1'!B24)</f>
        <v>Yes</v>
      </c>
      <c r="J18" s="63">
        <v>15.75</v>
      </c>
      <c r="K18" s="322" t="str">
        <f t="shared" si="2"/>
        <v>Hide Row?</v>
      </c>
      <c r="L18" s="63"/>
      <c r="M18" s="31">
        <v>0</v>
      </c>
      <c r="N18" s="31">
        <v>0</v>
      </c>
      <c r="O18" s="31">
        <v>0</v>
      </c>
      <c r="P18" s="31">
        <v>0</v>
      </c>
      <c r="Q18" s="31">
        <v>0</v>
      </c>
      <c r="R18" s="31">
        <v>0</v>
      </c>
      <c r="S18" s="31">
        <v>0</v>
      </c>
      <c r="T18" s="31">
        <v>0</v>
      </c>
      <c r="U18" s="31">
        <v>0</v>
      </c>
      <c r="V18" s="31">
        <v>0</v>
      </c>
      <c r="W18" s="31">
        <v>0</v>
      </c>
      <c r="X18" s="31">
        <v>0</v>
      </c>
      <c r="Y18" s="20"/>
      <c r="Z18" s="20"/>
      <c r="AA18" s="31"/>
      <c r="AB18" s="31"/>
      <c r="AC18" s="31"/>
      <c r="AD18" s="20"/>
      <c r="AE18" s="20"/>
      <c r="AF18" s="20"/>
      <c r="AG18" s="20"/>
      <c r="AH18" s="20"/>
      <c r="AI18" s="20"/>
      <c r="AJ18" s="20"/>
      <c r="AK18" s="20"/>
      <c r="AL18" s="11"/>
      <c r="AM18" s="11"/>
      <c r="AN18" s="11"/>
      <c r="AO18" s="11"/>
      <c r="AP18" s="11"/>
    </row>
    <row r="19" spans="1:42" ht="17.25" customHeight="1" x14ac:dyDescent="0.35">
      <c r="A19" s="104" t="s">
        <v>9</v>
      </c>
      <c r="B19" s="107">
        <v>0</v>
      </c>
      <c r="C19" s="35">
        <f t="shared" si="4"/>
        <v>0</v>
      </c>
      <c r="D19" s="35">
        <f t="shared" si="4"/>
        <v>0</v>
      </c>
      <c r="E19" s="35">
        <v>8000</v>
      </c>
      <c r="F19" s="107">
        <v>0</v>
      </c>
      <c r="G19" s="107">
        <f t="shared" si="5"/>
        <v>8000</v>
      </c>
      <c r="H19" s="31"/>
      <c r="I19" s="144" t="str">
        <f>I11</f>
        <v>Yes</v>
      </c>
      <c r="J19" s="63">
        <v>15.75</v>
      </c>
      <c r="K19" s="322" t="str">
        <f t="shared" si="2"/>
        <v xml:space="preserve"> </v>
      </c>
      <c r="L19" s="63"/>
      <c r="M19" s="31">
        <v>0</v>
      </c>
      <c r="N19" s="31">
        <v>0</v>
      </c>
      <c r="O19" s="31">
        <v>8000</v>
      </c>
      <c r="P19" s="31">
        <v>0</v>
      </c>
      <c r="Q19" s="31">
        <v>0</v>
      </c>
      <c r="R19" s="31">
        <v>0</v>
      </c>
      <c r="S19" s="31">
        <v>0</v>
      </c>
      <c r="T19" s="31">
        <v>0</v>
      </c>
      <c r="U19" s="31">
        <v>0</v>
      </c>
      <c r="V19" s="31">
        <v>0</v>
      </c>
      <c r="W19" s="31">
        <v>0</v>
      </c>
      <c r="X19" s="31">
        <v>0</v>
      </c>
      <c r="Y19" s="20"/>
      <c r="Z19" s="20"/>
      <c r="AA19" s="31"/>
      <c r="AB19" s="31"/>
      <c r="AC19" s="31"/>
      <c r="AD19" s="20"/>
      <c r="AE19" s="20"/>
      <c r="AF19" s="20"/>
      <c r="AG19" s="20"/>
      <c r="AH19" s="20"/>
      <c r="AI19" s="20"/>
      <c r="AJ19" s="20"/>
      <c r="AK19" s="20"/>
      <c r="AL19" s="11"/>
      <c r="AM19" s="11"/>
      <c r="AN19" s="11"/>
      <c r="AO19" s="11"/>
      <c r="AP19" s="11"/>
    </row>
    <row r="20" spans="1:42" ht="17.25" hidden="1" customHeight="1" x14ac:dyDescent="0.35">
      <c r="A20" s="40" t="s">
        <v>202</v>
      </c>
      <c r="B20" s="41">
        <v>0</v>
      </c>
      <c r="C20" s="35">
        <f t="shared" si="4"/>
        <v>0</v>
      </c>
      <c r="D20" s="35">
        <f t="shared" si="4"/>
        <v>0</v>
      </c>
      <c r="E20" s="35">
        <v>0</v>
      </c>
      <c r="F20" s="41">
        <v>0</v>
      </c>
      <c r="G20" s="41">
        <f t="shared" si="5"/>
        <v>0</v>
      </c>
      <c r="H20" s="41"/>
      <c r="I20" s="144" t="str">
        <f>IF(G20-'GW Net Position Exh 1'!B19=0,"Yes",G20-'GW Net Position Exh 1'!B19)</f>
        <v>Yes</v>
      </c>
      <c r="J20" s="63">
        <v>17.25</v>
      </c>
      <c r="K20" s="322" t="str">
        <f t="shared" si="2"/>
        <v>Hide Row?</v>
      </c>
      <c r="L20" s="63"/>
      <c r="M20" s="41">
        <v>0</v>
      </c>
      <c r="N20" s="41">
        <v>0</v>
      </c>
      <c r="O20" s="41">
        <v>0</v>
      </c>
      <c r="P20" s="41">
        <v>0</v>
      </c>
      <c r="Q20" s="41">
        <v>0</v>
      </c>
      <c r="R20" s="41">
        <v>0</v>
      </c>
      <c r="S20" s="41">
        <v>0</v>
      </c>
      <c r="T20" s="41">
        <v>0</v>
      </c>
      <c r="U20" s="41">
        <v>0</v>
      </c>
      <c r="V20" s="41">
        <v>0</v>
      </c>
      <c r="W20" s="41">
        <v>0</v>
      </c>
      <c r="X20" s="41">
        <v>0</v>
      </c>
      <c r="Y20" s="20"/>
      <c r="Z20" s="20"/>
      <c r="AA20" s="31"/>
      <c r="AB20" s="31"/>
      <c r="AC20" s="31"/>
      <c r="AD20" s="20"/>
      <c r="AE20" s="20"/>
      <c r="AF20" s="20"/>
      <c r="AG20" s="20"/>
      <c r="AH20" s="20"/>
      <c r="AI20" s="20"/>
      <c r="AJ20" s="20"/>
      <c r="AK20" s="20"/>
      <c r="AL20" s="11"/>
      <c r="AM20" s="11"/>
      <c r="AN20" s="11"/>
      <c r="AO20" s="11"/>
      <c r="AP20" s="11"/>
    </row>
    <row r="21" spans="1:42" ht="24" customHeight="1" x14ac:dyDescent="0.35">
      <c r="A21" s="73" t="s">
        <v>4</v>
      </c>
      <c r="B21" s="41">
        <f t="shared" ref="B21:U21" si="6">SUM(B16:B20)</f>
        <v>67890</v>
      </c>
      <c r="C21" s="41">
        <f t="shared" si="6"/>
        <v>320636</v>
      </c>
      <c r="D21" s="41">
        <f t="shared" si="6"/>
        <v>374565</v>
      </c>
      <c r="E21" s="41">
        <f t="shared" si="6"/>
        <v>269454</v>
      </c>
      <c r="F21" s="41">
        <f>SUM(F16:F20)</f>
        <v>0</v>
      </c>
      <c r="G21" s="41">
        <f t="shared" si="5"/>
        <v>1032545</v>
      </c>
      <c r="H21" s="41"/>
      <c r="I21" s="41"/>
      <c r="J21" s="63">
        <v>24</v>
      </c>
      <c r="K21" s="322" t="str">
        <f t="shared" si="2"/>
        <v xml:space="preserve"> </v>
      </c>
      <c r="L21" s="63"/>
      <c r="M21" s="41">
        <f t="shared" si="6"/>
        <v>212395</v>
      </c>
      <c r="N21" s="41">
        <f t="shared" si="6"/>
        <v>251012</v>
      </c>
      <c r="O21" s="41">
        <f t="shared" si="6"/>
        <v>180214</v>
      </c>
      <c r="P21" s="41">
        <f t="shared" si="6"/>
        <v>104545</v>
      </c>
      <c r="Q21" s="41">
        <f t="shared" si="6"/>
        <v>123553</v>
      </c>
      <c r="R21" s="41">
        <f t="shared" si="6"/>
        <v>88705</v>
      </c>
      <c r="S21" s="41">
        <f t="shared" si="6"/>
        <v>3696</v>
      </c>
      <c r="T21" s="41">
        <f t="shared" si="6"/>
        <v>0</v>
      </c>
      <c r="U21" s="41">
        <f t="shared" si="6"/>
        <v>0</v>
      </c>
      <c r="V21" s="41">
        <f>SUM(V16:V20)</f>
        <v>0</v>
      </c>
      <c r="W21" s="41">
        <f>SUM(W16:W20)</f>
        <v>0</v>
      </c>
      <c r="X21" s="41">
        <f>SUM(X16:X20)</f>
        <v>535</v>
      </c>
      <c r="Y21" s="20"/>
      <c r="Z21" s="20"/>
      <c r="AA21" s="31"/>
      <c r="AB21" s="31"/>
      <c r="AC21" s="31"/>
      <c r="AD21" s="20"/>
      <c r="AE21" s="20"/>
      <c r="AF21" s="20"/>
      <c r="AG21" s="20"/>
      <c r="AH21" s="20"/>
      <c r="AI21" s="20"/>
      <c r="AJ21" s="20"/>
      <c r="AK21" s="20"/>
      <c r="AL21" s="11"/>
      <c r="AM21" s="11"/>
      <c r="AN21" s="11"/>
      <c r="AO21" s="11"/>
      <c r="AP21" s="11"/>
    </row>
    <row r="22" spans="1:42" ht="24" customHeight="1" x14ac:dyDescent="0.35">
      <c r="A22" s="42" t="s">
        <v>229</v>
      </c>
      <c r="B22" s="41">
        <v>0</v>
      </c>
      <c r="C22" s="35">
        <f>+M22+P22+S22+V22</f>
        <v>495</v>
      </c>
      <c r="D22" s="35">
        <f>+N22+Q22+T22+W22</f>
        <v>585</v>
      </c>
      <c r="E22" s="35">
        <f>+O22+R22+U22+X22</f>
        <v>420</v>
      </c>
      <c r="F22" s="41">
        <f>304-304</f>
        <v>0</v>
      </c>
      <c r="G22" s="85">
        <f>SUM(B22:F22)</f>
        <v>1500</v>
      </c>
      <c r="H22" s="85"/>
      <c r="I22" s="144" t="str">
        <f>IF(G22-'GW Net Position Exh 1'!B33=0,"Yes",G22-'GW Net Position Exh 1'!B33)</f>
        <v>Yes</v>
      </c>
      <c r="J22" s="63">
        <v>24</v>
      </c>
      <c r="K22" s="322" t="str">
        <f t="shared" si="2"/>
        <v xml:space="preserve"> </v>
      </c>
      <c r="L22" s="63"/>
      <c r="M22" s="41">
        <v>495</v>
      </c>
      <c r="N22" s="41">
        <v>585</v>
      </c>
      <c r="O22" s="41">
        <v>420</v>
      </c>
      <c r="P22" s="41">
        <v>0</v>
      </c>
      <c r="Q22" s="41">
        <v>0</v>
      </c>
      <c r="R22" s="41">
        <v>0</v>
      </c>
      <c r="S22" s="41">
        <v>0</v>
      </c>
      <c r="T22" s="41">
        <v>0</v>
      </c>
      <c r="U22" s="41">
        <v>0</v>
      </c>
      <c r="V22" s="41">
        <v>0</v>
      </c>
      <c r="W22" s="41">
        <v>0</v>
      </c>
      <c r="X22" s="41">
        <v>0</v>
      </c>
      <c r="Y22" s="20"/>
      <c r="Z22" s="20"/>
      <c r="AA22" s="31"/>
      <c r="AB22" s="31"/>
      <c r="AC22" s="31"/>
      <c r="AD22" s="20"/>
      <c r="AE22" s="20"/>
      <c r="AF22" s="20"/>
      <c r="AG22" s="20"/>
      <c r="AH22" s="20"/>
      <c r="AI22" s="20"/>
      <c r="AJ22" s="20"/>
      <c r="AK22" s="20"/>
      <c r="AL22" s="11"/>
      <c r="AM22" s="11"/>
      <c r="AN22" s="11"/>
      <c r="AO22" s="11"/>
      <c r="AP22" s="11"/>
    </row>
    <row r="23" spans="1:42" ht="21" customHeight="1" x14ac:dyDescent="0.25">
      <c r="A23" s="42" t="s">
        <v>239</v>
      </c>
      <c r="B23" s="30"/>
      <c r="C23" s="30"/>
      <c r="D23" s="30"/>
      <c r="E23" s="30"/>
      <c r="F23" s="30"/>
      <c r="G23" s="30"/>
      <c r="H23" s="30"/>
      <c r="I23" s="30"/>
      <c r="J23" s="63">
        <v>21</v>
      </c>
      <c r="K23" s="322"/>
      <c r="L23" s="63"/>
      <c r="M23" s="30"/>
      <c r="N23" s="30"/>
      <c r="O23" s="30"/>
      <c r="P23" s="30"/>
      <c r="Q23" s="30"/>
      <c r="R23" s="30"/>
      <c r="S23" s="30"/>
      <c r="T23" s="30"/>
      <c r="U23" s="30"/>
      <c r="V23" s="30"/>
      <c r="W23" s="30"/>
      <c r="X23" s="30"/>
      <c r="Y23" s="20"/>
      <c r="Z23" s="30"/>
      <c r="AA23" s="31"/>
      <c r="AB23" s="31"/>
      <c r="AC23" s="31"/>
      <c r="AD23" s="20"/>
      <c r="AE23" s="20"/>
      <c r="AF23" s="20"/>
      <c r="AG23" s="20"/>
      <c r="AH23" s="20"/>
      <c r="AI23" s="20"/>
      <c r="AJ23" s="20"/>
      <c r="AK23" s="20"/>
      <c r="AL23" s="11"/>
      <c r="AM23" s="11"/>
      <c r="AN23" s="11"/>
      <c r="AO23" s="11"/>
      <c r="AP23" s="11"/>
    </row>
    <row r="24" spans="1:42" ht="15.75" customHeight="1" x14ac:dyDescent="0.25">
      <c r="A24" s="40" t="s">
        <v>337</v>
      </c>
      <c r="B24" s="30"/>
      <c r="C24" s="30"/>
      <c r="D24" s="30"/>
      <c r="E24" s="30"/>
      <c r="F24" s="30"/>
      <c r="G24" s="30"/>
      <c r="H24" s="30"/>
      <c r="I24" s="30"/>
      <c r="J24" s="63">
        <v>15.75</v>
      </c>
      <c r="K24" s="322" t="str">
        <f>IF((AND(B25="Hide Row",B26="Hide Row?")),"Hide Row?"," ")</f>
        <v xml:space="preserve"> </v>
      </c>
      <c r="L24" s="63"/>
      <c r="M24" s="30"/>
      <c r="N24" s="30"/>
      <c r="O24" s="30"/>
      <c r="P24" s="30"/>
      <c r="Q24" s="30"/>
      <c r="R24" s="30"/>
      <c r="S24" s="30"/>
      <c r="T24" s="30"/>
      <c r="U24" s="30"/>
      <c r="V24" s="30"/>
      <c r="W24" s="30"/>
      <c r="X24" s="30"/>
      <c r="Y24" s="20"/>
      <c r="Z24" s="20"/>
      <c r="AA24" s="20"/>
      <c r="AB24" s="20"/>
      <c r="AC24" s="20"/>
      <c r="AD24" s="20"/>
      <c r="AE24" s="20"/>
      <c r="AF24" s="20"/>
      <c r="AG24" s="20"/>
      <c r="AH24" s="20"/>
      <c r="AI24" s="20"/>
      <c r="AJ24" s="20"/>
      <c r="AK24" s="20"/>
      <c r="AL24" s="11"/>
      <c r="AM24" s="11"/>
      <c r="AN24" s="11"/>
      <c r="AO24" s="11"/>
      <c r="AP24" s="11"/>
    </row>
    <row r="25" spans="1:42" ht="15.75" customHeight="1" x14ac:dyDescent="0.25">
      <c r="A25" s="44" t="s">
        <v>2</v>
      </c>
      <c r="B25" s="31">
        <v>0</v>
      </c>
      <c r="C25" s="32">
        <f t="shared" ref="C25:E29" si="7">+M25+P25+S25+V25</f>
        <v>272</v>
      </c>
      <c r="D25" s="32">
        <f t="shared" si="7"/>
        <v>322</v>
      </c>
      <c r="E25" s="32">
        <f t="shared" si="7"/>
        <v>231</v>
      </c>
      <c r="F25" s="31">
        <v>0</v>
      </c>
      <c r="G25" s="31">
        <f>SUM(B25:F25)</f>
        <v>825</v>
      </c>
      <c r="H25" s="31"/>
      <c r="I25" s="145"/>
      <c r="J25" s="63">
        <v>15.75</v>
      </c>
      <c r="K25" s="322" t="str">
        <f t="shared" si="2"/>
        <v xml:space="preserve"> </v>
      </c>
      <c r="L25" s="63"/>
      <c r="M25" s="31">
        <v>272</v>
      </c>
      <c r="N25" s="31">
        <v>322</v>
      </c>
      <c r="O25" s="31">
        <v>231</v>
      </c>
      <c r="P25" s="31">
        <v>0</v>
      </c>
      <c r="Q25" s="31">
        <v>0</v>
      </c>
      <c r="R25" s="31">
        <v>0</v>
      </c>
      <c r="S25" s="31">
        <v>0</v>
      </c>
      <c r="T25" s="31">
        <v>0</v>
      </c>
      <c r="U25" s="31">
        <v>0</v>
      </c>
      <c r="V25" s="31">
        <v>0</v>
      </c>
      <c r="W25" s="31">
        <v>0</v>
      </c>
      <c r="X25" s="31">
        <v>0</v>
      </c>
      <c r="Y25" s="20"/>
      <c r="Z25" s="20"/>
      <c r="AA25" s="20"/>
      <c r="AB25" s="20"/>
      <c r="AC25" s="20"/>
      <c r="AD25" s="20"/>
      <c r="AE25" s="20"/>
      <c r="AF25" s="20"/>
      <c r="AG25" s="20"/>
      <c r="AH25" s="20"/>
      <c r="AI25" s="20"/>
      <c r="AJ25" s="20"/>
      <c r="AK25" s="20"/>
      <c r="AL25" s="11"/>
      <c r="AM25" s="11"/>
      <c r="AN25" s="11"/>
      <c r="AO25" s="11"/>
      <c r="AP25" s="11"/>
    </row>
    <row r="26" spans="1:42" ht="15.75" customHeight="1" x14ac:dyDescent="0.25">
      <c r="A26" s="44" t="s">
        <v>129</v>
      </c>
      <c r="B26" s="31">
        <v>1500</v>
      </c>
      <c r="C26" s="32">
        <f t="shared" si="7"/>
        <v>3085</v>
      </c>
      <c r="D26" s="32">
        <f t="shared" si="7"/>
        <v>3646</v>
      </c>
      <c r="E26" s="32">
        <f t="shared" si="7"/>
        <v>2618</v>
      </c>
      <c r="F26" s="31">
        <v>0</v>
      </c>
      <c r="G26" s="31">
        <f>SUM(B26:F26)</f>
        <v>10849</v>
      </c>
      <c r="H26" s="31"/>
      <c r="I26" s="145"/>
      <c r="J26" s="63">
        <v>15.75</v>
      </c>
      <c r="K26" s="322" t="str">
        <f t="shared" si="2"/>
        <v xml:space="preserve"> </v>
      </c>
      <c r="L26" s="63"/>
      <c r="M26" s="31">
        <v>3085</v>
      </c>
      <c r="N26" s="31">
        <v>3646</v>
      </c>
      <c r="O26" s="31">
        <v>2618</v>
      </c>
      <c r="P26" s="31">
        <v>0</v>
      </c>
      <c r="Q26" s="31">
        <v>0</v>
      </c>
      <c r="R26" s="31">
        <v>0</v>
      </c>
      <c r="S26" s="31">
        <v>0</v>
      </c>
      <c r="T26" s="31">
        <v>0</v>
      </c>
      <c r="U26" s="31">
        <v>0</v>
      </c>
      <c r="V26" s="31">
        <v>0</v>
      </c>
      <c r="W26" s="31">
        <v>0</v>
      </c>
      <c r="X26" s="31">
        <v>0</v>
      </c>
      <c r="Y26" s="20"/>
      <c r="Z26" s="20"/>
      <c r="AA26" s="20"/>
      <c r="AB26" s="20"/>
      <c r="AC26" s="20"/>
      <c r="AD26" s="20"/>
      <c r="AE26" s="20"/>
      <c r="AF26" s="20"/>
      <c r="AG26" s="20"/>
      <c r="AH26" s="20"/>
      <c r="AI26" s="20"/>
      <c r="AJ26" s="20"/>
      <c r="AK26" s="20"/>
      <c r="AL26" s="11"/>
      <c r="AM26" s="11"/>
      <c r="AN26" s="11"/>
      <c r="AO26" s="11"/>
      <c r="AP26" s="11"/>
    </row>
    <row r="27" spans="1:42" s="7" customFormat="1" ht="15.75" customHeight="1" x14ac:dyDescent="0.25">
      <c r="A27" s="40" t="s">
        <v>336</v>
      </c>
      <c r="B27" s="31"/>
      <c r="C27" s="32"/>
      <c r="D27" s="32"/>
      <c r="E27" s="32"/>
      <c r="F27" s="31"/>
      <c r="G27" s="31"/>
      <c r="H27" s="31"/>
      <c r="I27" s="145"/>
      <c r="J27" s="63">
        <v>15.75</v>
      </c>
      <c r="K27" s="322" t="str">
        <f>IF((AND(B28="Hide Row?")),"Hide Row?"," ")</f>
        <v xml:space="preserve"> </v>
      </c>
      <c r="L27" s="63"/>
      <c r="M27" s="31"/>
      <c r="N27" s="31"/>
      <c r="O27" s="31"/>
      <c r="P27" s="31"/>
      <c r="Q27" s="31"/>
      <c r="R27" s="31"/>
      <c r="S27" s="31"/>
      <c r="T27" s="31"/>
      <c r="U27" s="31"/>
      <c r="V27" s="31"/>
      <c r="W27" s="31"/>
      <c r="X27" s="31"/>
      <c r="Y27" s="30"/>
      <c r="Z27" s="20"/>
      <c r="AA27" s="30"/>
      <c r="AB27" s="30"/>
      <c r="AC27" s="30"/>
      <c r="AD27" s="30"/>
      <c r="AE27" s="30"/>
      <c r="AF27" s="30"/>
      <c r="AG27" s="30"/>
      <c r="AH27" s="30"/>
      <c r="AI27" s="30"/>
      <c r="AJ27" s="30"/>
      <c r="AK27" s="30"/>
      <c r="AL27" s="10"/>
      <c r="AM27" s="10"/>
      <c r="AN27" s="10"/>
      <c r="AO27" s="10"/>
      <c r="AP27" s="10"/>
    </row>
    <row r="28" spans="1:42" ht="15.75" customHeight="1" x14ac:dyDescent="0.25">
      <c r="A28" s="44" t="s">
        <v>161</v>
      </c>
      <c r="B28" s="31">
        <v>28925</v>
      </c>
      <c r="C28" s="32">
        <v>0</v>
      </c>
      <c r="D28" s="32">
        <f t="shared" si="7"/>
        <v>0</v>
      </c>
      <c r="E28" s="32">
        <f t="shared" si="7"/>
        <v>0</v>
      </c>
      <c r="F28" s="31">
        <v>0</v>
      </c>
      <c r="G28" s="31">
        <f>SUM(B28:F28)</f>
        <v>28925</v>
      </c>
      <c r="H28" s="31"/>
      <c r="I28" s="145"/>
      <c r="J28" s="63">
        <v>15.75</v>
      </c>
      <c r="K28" s="322" t="str">
        <f t="shared" si="2"/>
        <v xml:space="preserve"> </v>
      </c>
      <c r="L28" s="63"/>
      <c r="M28" s="31">
        <v>0</v>
      </c>
      <c r="N28" s="31">
        <v>0</v>
      </c>
      <c r="O28" s="31">
        <v>0</v>
      </c>
      <c r="P28" s="31">
        <v>0</v>
      </c>
      <c r="Q28" s="31">
        <v>0</v>
      </c>
      <c r="R28" s="31">
        <v>0</v>
      </c>
      <c r="S28" s="31">
        <v>0</v>
      </c>
      <c r="T28" s="31">
        <v>0</v>
      </c>
      <c r="U28" s="31">
        <v>0</v>
      </c>
      <c r="V28" s="31">
        <v>0</v>
      </c>
      <c r="W28" s="31">
        <v>0</v>
      </c>
      <c r="X28" s="31">
        <v>0</v>
      </c>
      <c r="Y28" s="20"/>
      <c r="Z28" s="20"/>
      <c r="AA28" s="20"/>
      <c r="AB28" s="20"/>
      <c r="AC28" s="20"/>
      <c r="AD28" s="20"/>
      <c r="AE28" s="20"/>
      <c r="AF28" s="20"/>
      <c r="AG28" s="20"/>
      <c r="AH28" s="20"/>
      <c r="AI28" s="20"/>
      <c r="AJ28" s="20"/>
      <c r="AK28" s="20"/>
      <c r="AL28" s="11"/>
      <c r="AM28" s="11"/>
      <c r="AN28" s="11"/>
      <c r="AO28" s="11"/>
      <c r="AP28" s="11"/>
    </row>
    <row r="29" spans="1:42" ht="17.25" customHeight="1" x14ac:dyDescent="0.35">
      <c r="A29" s="40" t="s">
        <v>247</v>
      </c>
      <c r="B29" s="41">
        <f>773987-314887-43684-28925</f>
        <v>386491</v>
      </c>
      <c r="C29" s="35">
        <f t="shared" si="7"/>
        <v>103913</v>
      </c>
      <c r="D29" s="35">
        <f t="shared" si="7"/>
        <v>122806</v>
      </c>
      <c r="E29" s="35">
        <f t="shared" si="7"/>
        <v>93183</v>
      </c>
      <c r="F29" s="41">
        <v>0</v>
      </c>
      <c r="G29" s="41">
        <f>SUM(B29:F29)</f>
        <v>706393</v>
      </c>
      <c r="H29" s="41"/>
      <c r="I29" s="145"/>
      <c r="J29" s="63">
        <v>17.25</v>
      </c>
      <c r="K29" s="322" t="str">
        <f t="shared" si="2"/>
        <v xml:space="preserve"> </v>
      </c>
      <c r="L29" s="63"/>
      <c r="M29" s="41">
        <f>103418+495</f>
        <v>103913</v>
      </c>
      <c r="N29" s="41">
        <f>122221+585</f>
        <v>122806</v>
      </c>
      <c r="O29" s="41">
        <f>87748+420</f>
        <v>88168</v>
      </c>
      <c r="P29" s="41">
        <v>0</v>
      </c>
      <c r="Q29" s="41">
        <v>0</v>
      </c>
      <c r="R29" s="41">
        <v>0</v>
      </c>
      <c r="S29" s="41">
        <v>0</v>
      </c>
      <c r="T29" s="41">
        <v>0</v>
      </c>
      <c r="U29" s="41">
        <v>0</v>
      </c>
      <c r="V29" s="41">
        <v>0</v>
      </c>
      <c r="W29" s="41">
        <v>0</v>
      </c>
      <c r="X29" s="41">
        <v>5015</v>
      </c>
      <c r="Y29" s="20"/>
      <c r="Z29" s="20"/>
      <c r="AA29" s="20"/>
      <c r="AB29" s="20"/>
      <c r="AC29" s="20" t="s">
        <v>49</v>
      </c>
      <c r="AD29" s="20"/>
      <c r="AE29" s="20"/>
      <c r="AF29" s="20"/>
      <c r="AG29" s="20"/>
      <c r="AH29" s="20"/>
      <c r="AI29" s="20"/>
      <c r="AJ29" s="20"/>
      <c r="AK29" s="20"/>
      <c r="AL29" s="11"/>
      <c r="AM29" s="11"/>
      <c r="AN29" s="11"/>
      <c r="AO29" s="11"/>
      <c r="AP29" s="11"/>
    </row>
    <row r="30" spans="1:42" ht="24" customHeight="1" x14ac:dyDescent="0.35">
      <c r="A30" s="45" t="s">
        <v>10</v>
      </c>
      <c r="B30" s="41">
        <f>SUM(B25:B29)</f>
        <v>416916</v>
      </c>
      <c r="C30" s="41">
        <f t="shared" ref="C30:U30" si="8">SUM(C24:C29)</f>
        <v>107270</v>
      </c>
      <c r="D30" s="41">
        <f t="shared" si="8"/>
        <v>126774</v>
      </c>
      <c r="E30" s="41">
        <f t="shared" si="8"/>
        <v>96032</v>
      </c>
      <c r="F30" s="41">
        <f>SUM(F25:F29)</f>
        <v>0</v>
      </c>
      <c r="G30" s="46">
        <f>SUM(B30:F30)</f>
        <v>746992</v>
      </c>
      <c r="H30" s="46"/>
      <c r="I30" s="46"/>
      <c r="J30" s="63">
        <v>24</v>
      </c>
      <c r="K30" s="322" t="str">
        <f t="shared" si="2"/>
        <v xml:space="preserve"> </v>
      </c>
      <c r="L30" s="63"/>
      <c r="M30" s="41">
        <f t="shared" si="8"/>
        <v>107270</v>
      </c>
      <c r="N30" s="41">
        <f t="shared" si="8"/>
        <v>126774</v>
      </c>
      <c r="O30" s="41">
        <f t="shared" si="8"/>
        <v>91017</v>
      </c>
      <c r="P30" s="41">
        <f t="shared" si="8"/>
        <v>0</v>
      </c>
      <c r="Q30" s="41">
        <f t="shared" si="8"/>
        <v>0</v>
      </c>
      <c r="R30" s="41">
        <f t="shared" si="8"/>
        <v>0</v>
      </c>
      <c r="S30" s="41">
        <f t="shared" si="8"/>
        <v>0</v>
      </c>
      <c r="T30" s="41">
        <f t="shared" si="8"/>
        <v>0</v>
      </c>
      <c r="U30" s="41">
        <f t="shared" si="8"/>
        <v>0</v>
      </c>
      <c r="V30" s="41">
        <f>SUM(V24:V29)</f>
        <v>0</v>
      </c>
      <c r="W30" s="41">
        <f>SUM(W24:W29)</f>
        <v>0</v>
      </c>
      <c r="X30" s="41">
        <f>SUM(X24:X29)</f>
        <v>5015</v>
      </c>
      <c r="Y30" s="47"/>
      <c r="Z30" s="20"/>
      <c r="AA30" s="20"/>
      <c r="AB30" s="20"/>
      <c r="AC30" s="20"/>
      <c r="AD30" s="20"/>
      <c r="AE30" s="20"/>
      <c r="AF30" s="20"/>
      <c r="AG30" s="20"/>
      <c r="AH30" s="20"/>
      <c r="AI30" s="20"/>
      <c r="AJ30" s="20"/>
      <c r="AK30" s="20"/>
      <c r="AL30" s="11"/>
      <c r="AM30" s="11"/>
      <c r="AN30" s="11"/>
      <c r="AO30" s="11"/>
      <c r="AP30" s="11"/>
    </row>
    <row r="31" spans="1:42" ht="35.1" customHeight="1" x14ac:dyDescent="0.35">
      <c r="A31" s="58" t="s">
        <v>198</v>
      </c>
      <c r="B31" s="49">
        <f>B21+B30+B22</f>
        <v>484806</v>
      </c>
      <c r="C31" s="49">
        <f>C21+C30+C22</f>
        <v>428401</v>
      </c>
      <c r="D31" s="49">
        <f>D21+D30+D22</f>
        <v>501924</v>
      </c>
      <c r="E31" s="49">
        <f>E21+E30+E22</f>
        <v>365906</v>
      </c>
      <c r="F31" s="49">
        <f>F21+F30+F22</f>
        <v>0</v>
      </c>
      <c r="G31" s="50"/>
      <c r="H31" s="50"/>
      <c r="I31" s="50"/>
      <c r="J31" s="63">
        <v>35</v>
      </c>
      <c r="K31" s="322" t="str">
        <f t="shared" si="2"/>
        <v xml:space="preserve"> </v>
      </c>
      <c r="L31" s="63"/>
      <c r="M31" s="49">
        <f t="shared" ref="M31:X31" si="9">M21+M30+M22</f>
        <v>320160</v>
      </c>
      <c r="N31" s="49">
        <f t="shared" si="9"/>
        <v>378371</v>
      </c>
      <c r="O31" s="49">
        <f t="shared" si="9"/>
        <v>271651</v>
      </c>
      <c r="P31" s="49">
        <f t="shared" si="9"/>
        <v>104545</v>
      </c>
      <c r="Q31" s="49">
        <f t="shared" si="9"/>
        <v>123553</v>
      </c>
      <c r="R31" s="49">
        <f t="shared" si="9"/>
        <v>88705</v>
      </c>
      <c r="S31" s="49">
        <f t="shared" si="9"/>
        <v>3696</v>
      </c>
      <c r="T31" s="49">
        <f t="shared" si="9"/>
        <v>0</v>
      </c>
      <c r="U31" s="49">
        <f t="shared" si="9"/>
        <v>0</v>
      </c>
      <c r="V31" s="49">
        <f t="shared" si="9"/>
        <v>0</v>
      </c>
      <c r="W31" s="49">
        <f t="shared" si="9"/>
        <v>0</v>
      </c>
      <c r="X31" s="49">
        <f t="shared" si="9"/>
        <v>5550</v>
      </c>
      <c r="Y31" s="20"/>
      <c r="Z31" s="20"/>
      <c r="AA31" s="20"/>
      <c r="AB31" s="20"/>
      <c r="AC31" s="20"/>
      <c r="AD31" s="20"/>
      <c r="AE31" s="20"/>
      <c r="AF31" s="20"/>
      <c r="AG31" s="20"/>
      <c r="AH31" s="20"/>
      <c r="AI31" s="20"/>
      <c r="AJ31" s="20"/>
      <c r="AK31" s="20"/>
      <c r="AL31" s="11"/>
      <c r="AM31" s="11"/>
      <c r="AN31" s="11"/>
      <c r="AO31" s="11"/>
      <c r="AP31" s="11"/>
    </row>
    <row r="32" spans="1:42" s="2" customFormat="1" ht="39.950000000000003" customHeight="1" x14ac:dyDescent="0.25">
      <c r="A32" s="51"/>
      <c r="B32" s="377" t="s">
        <v>171</v>
      </c>
      <c r="C32" s="377"/>
      <c r="D32" s="377"/>
      <c r="E32" s="377"/>
      <c r="F32" s="52"/>
      <c r="G32" s="30"/>
      <c r="H32" s="30"/>
      <c r="I32" s="30"/>
      <c r="J32" s="52"/>
      <c r="K32" s="52"/>
      <c r="L32" s="52"/>
      <c r="M32" s="52"/>
      <c r="N32" s="52"/>
      <c r="O32" s="52"/>
      <c r="P32" s="52"/>
      <c r="Q32" s="52"/>
      <c r="R32" s="52"/>
      <c r="S32" s="52"/>
      <c r="T32" s="52"/>
      <c r="U32" s="52"/>
      <c r="V32" s="52"/>
      <c r="X32" s="53"/>
      <c r="Y32" s="53"/>
      <c r="Z32" s="53"/>
      <c r="AA32" s="53"/>
      <c r="AB32" s="53"/>
      <c r="AC32" s="53"/>
      <c r="AD32" s="53"/>
      <c r="AE32" s="53"/>
      <c r="AF32" s="53"/>
      <c r="AG32" s="53"/>
      <c r="AH32" s="53"/>
      <c r="AI32" s="53"/>
      <c r="AJ32" s="53"/>
      <c r="AK32" s="53"/>
      <c r="AL32" s="14"/>
      <c r="AM32" s="14"/>
      <c r="AN32" s="14"/>
      <c r="AO32" s="14"/>
      <c r="AP32" s="14"/>
    </row>
    <row r="33" spans="1:42" s="2" customFormat="1" ht="47.1" customHeight="1" x14ac:dyDescent="0.25">
      <c r="A33" s="51"/>
      <c r="B33" s="376" t="s">
        <v>197</v>
      </c>
      <c r="C33" s="376"/>
      <c r="D33" s="376"/>
      <c r="E33" s="376"/>
      <c r="F33" s="64"/>
      <c r="G33" s="31">
        <f>'GW Net Position Exh 1'!B17</f>
        <v>9056728</v>
      </c>
      <c r="H33" s="31"/>
      <c r="I33" s="148" t="str">
        <f>IF(G33-'GW Net Position Exh 1'!B17=0,"Yes",G33-'GW Net Position Exh 1'!B17)</f>
        <v>Yes</v>
      </c>
      <c r="J33" s="48"/>
      <c r="K33" s="48"/>
      <c r="L33" s="48"/>
      <c r="M33" s="48"/>
      <c r="N33" s="48"/>
      <c r="O33" s="48"/>
      <c r="P33" s="48"/>
      <c r="Q33" s="48"/>
      <c r="R33" s="48"/>
      <c r="S33" s="48"/>
      <c r="T33" s="48"/>
      <c r="U33" s="48"/>
      <c r="V33" s="48"/>
      <c r="X33" s="53"/>
      <c r="Y33" s="53"/>
      <c r="Z33" s="53"/>
      <c r="AA33" s="53"/>
      <c r="AB33" s="53"/>
      <c r="AC33" s="53"/>
      <c r="AD33" s="53"/>
      <c r="AE33" s="53"/>
      <c r="AF33" s="53"/>
      <c r="AG33" s="53"/>
      <c r="AH33" s="53"/>
      <c r="AI33" s="53"/>
      <c r="AJ33" s="53"/>
      <c r="AK33" s="53"/>
      <c r="AL33" s="14"/>
      <c r="AM33" s="14"/>
      <c r="AN33" s="14"/>
      <c r="AO33" s="14"/>
      <c r="AP33" s="14"/>
    </row>
    <row r="34" spans="1:42" s="2" customFormat="1" ht="33.950000000000003" hidden="1" customHeight="1" x14ac:dyDescent="0.25">
      <c r="A34" s="51"/>
      <c r="B34" s="376" t="s">
        <v>178</v>
      </c>
      <c r="C34" s="376"/>
      <c r="D34" s="376"/>
      <c r="E34" s="376"/>
      <c r="F34" s="65"/>
      <c r="G34" s="31">
        <v>0</v>
      </c>
      <c r="H34" s="31"/>
      <c r="I34" s="31"/>
      <c r="J34" s="54"/>
      <c r="K34" s="54"/>
      <c r="L34" s="54"/>
      <c r="M34" s="54"/>
      <c r="N34" s="54"/>
      <c r="O34" s="54"/>
      <c r="P34" s="54"/>
      <c r="Q34" s="54"/>
      <c r="R34" s="54"/>
      <c r="S34" s="54"/>
      <c r="T34" s="54"/>
      <c r="U34" s="54"/>
      <c r="V34" s="54"/>
      <c r="X34" s="53"/>
      <c r="Y34" s="53"/>
      <c r="Z34" s="53"/>
      <c r="AA34" s="53"/>
      <c r="AB34" s="53"/>
      <c r="AC34" s="53"/>
      <c r="AD34" s="53"/>
      <c r="AE34" s="53"/>
      <c r="AF34" s="53"/>
      <c r="AG34" s="53"/>
      <c r="AH34" s="53"/>
      <c r="AI34" s="53"/>
      <c r="AJ34" s="53"/>
      <c r="AK34" s="53"/>
      <c r="AL34" s="14"/>
      <c r="AM34" s="14"/>
      <c r="AN34" s="14"/>
      <c r="AO34" s="14"/>
      <c r="AP34" s="14"/>
    </row>
    <row r="35" spans="1:42" s="2" customFormat="1" ht="51" customHeight="1" x14ac:dyDescent="0.35">
      <c r="A35" s="51"/>
      <c r="B35" s="376" t="s">
        <v>381</v>
      </c>
      <c r="C35" s="376"/>
      <c r="D35" s="376"/>
      <c r="E35" s="376"/>
      <c r="F35" s="64"/>
      <c r="G35" s="55">
        <f>-SUM('GW Net Position Exh 1'!B27+'GW Net Position Exh 1'!B30)</f>
        <v>-8191540</v>
      </c>
      <c r="H35" s="55"/>
      <c r="I35" s="149" t="str">
        <f>IF(G35+SUM('GW Net Position Exh 1'!B27+'GW Net Position Exh 1'!B30)=0,"Yes",G35+SUM('GW Net Position Exh 1'!B27+'GW Net Position Exh 1'!B30))</f>
        <v>Yes</v>
      </c>
      <c r="J35" s="56"/>
      <c r="K35" s="56"/>
      <c r="L35" s="56"/>
      <c r="M35" s="56"/>
      <c r="N35" s="56"/>
      <c r="O35" s="56"/>
      <c r="P35" s="56"/>
      <c r="Q35" s="56"/>
      <c r="R35" s="56"/>
      <c r="S35" s="56"/>
      <c r="T35" s="56"/>
      <c r="U35" s="56"/>
      <c r="V35" s="56"/>
      <c r="X35" s="53"/>
      <c r="Y35" s="53"/>
      <c r="Z35" s="53"/>
      <c r="AA35" s="53"/>
      <c r="AB35" s="53"/>
      <c r="AC35" s="53"/>
      <c r="AD35" s="53"/>
      <c r="AE35" s="53"/>
      <c r="AF35" s="53"/>
      <c r="AG35" s="53"/>
      <c r="AH35" s="53"/>
      <c r="AI35" s="53"/>
      <c r="AJ35" s="53"/>
      <c r="AK35" s="53"/>
      <c r="AL35" s="14"/>
      <c r="AM35" s="14"/>
      <c r="AN35" s="14"/>
      <c r="AO35" s="14"/>
      <c r="AP35" s="14"/>
    </row>
    <row r="36" spans="1:42" s="2" customFormat="1" ht="21.95" customHeight="1" x14ac:dyDescent="0.35">
      <c r="A36" s="51"/>
      <c r="B36" s="44" t="s">
        <v>172</v>
      </c>
      <c r="C36" s="57"/>
      <c r="D36" s="57"/>
      <c r="E36" s="57"/>
      <c r="F36" s="57"/>
      <c r="G36" s="37">
        <f>SUM(G30:G35)</f>
        <v>1612180</v>
      </c>
      <c r="H36" s="37"/>
      <c r="I36" s="314" t="str">
        <f>IF(G36-'GW Net Position Exh 1'!B38=0,"Yes",G36-'GW Net Position Exh 1'!B38)</f>
        <v>Yes</v>
      </c>
      <c r="J36" s="57"/>
      <c r="K36" s="57"/>
      <c r="L36" s="57"/>
      <c r="M36" s="40"/>
      <c r="N36" s="40"/>
      <c r="O36" s="40"/>
      <c r="P36" s="40"/>
      <c r="Q36" s="40"/>
      <c r="R36" s="40"/>
      <c r="S36" s="40"/>
      <c r="T36" s="40"/>
      <c r="U36" s="40"/>
      <c r="V36" s="30"/>
      <c r="X36" s="53"/>
      <c r="Y36" s="53"/>
      <c r="Z36" s="53"/>
      <c r="AA36" s="53"/>
      <c r="AB36" s="53"/>
      <c r="AC36" s="53"/>
      <c r="AD36" s="53"/>
      <c r="AE36" s="53"/>
      <c r="AF36" s="53"/>
      <c r="AG36" s="53"/>
      <c r="AH36" s="53"/>
      <c r="AI36" s="53"/>
      <c r="AJ36" s="53"/>
      <c r="AK36" s="53"/>
      <c r="AL36" s="14"/>
      <c r="AM36" s="14"/>
      <c r="AN36" s="14"/>
      <c r="AO36" s="14"/>
      <c r="AP36" s="14"/>
    </row>
    <row r="37" spans="1:42" ht="15.75"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11"/>
      <c r="AM37" s="11"/>
      <c r="AN37" s="11"/>
      <c r="AO37" s="11"/>
      <c r="AP37" s="11"/>
    </row>
    <row r="38" spans="1:42" ht="15.75"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11"/>
      <c r="AM38" s="11"/>
      <c r="AN38" s="11"/>
      <c r="AO38" s="11"/>
      <c r="AP38" s="11"/>
    </row>
    <row r="39" spans="1:42" ht="15.75" x14ac:dyDescent="0.25">
      <c r="A39" s="20" t="s">
        <v>180</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11"/>
      <c r="AM39" s="11"/>
      <c r="AN39" s="11"/>
      <c r="AO39" s="11"/>
      <c r="AP39" s="11"/>
    </row>
    <row r="40" spans="1:42" ht="15.75"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11"/>
      <c r="AM40" s="11"/>
      <c r="AN40" s="11"/>
      <c r="AO40" s="11"/>
      <c r="AP40" s="11"/>
    </row>
    <row r="41" spans="1:42" ht="15.75" x14ac:dyDescent="0.25">
      <c r="A41" s="20"/>
      <c r="B41" s="20"/>
      <c r="C41" s="20"/>
      <c r="D41" s="20"/>
      <c r="E41" s="20"/>
      <c r="F41" s="20"/>
      <c r="G41" s="20"/>
      <c r="H41" s="20"/>
      <c r="I41" s="20"/>
      <c r="J41" s="20"/>
      <c r="K41" s="20"/>
      <c r="L41" s="20"/>
      <c r="M41" s="20"/>
      <c r="N41" s="20"/>
      <c r="O41" s="20"/>
      <c r="P41" s="20"/>
      <c r="Q41" s="20"/>
      <c r="R41" s="20"/>
      <c r="S41" s="20"/>
      <c r="T41" s="20"/>
      <c r="U41" s="20"/>
      <c r="V41" s="20"/>
      <c r="W41" s="29"/>
      <c r="X41" s="20"/>
      <c r="Y41" s="20"/>
      <c r="Z41" s="20"/>
      <c r="AA41" s="20"/>
      <c r="AB41" s="20"/>
      <c r="AC41" s="20"/>
      <c r="AD41" s="20"/>
      <c r="AE41" s="20"/>
      <c r="AF41" s="20"/>
      <c r="AG41" s="20"/>
      <c r="AH41" s="20"/>
      <c r="AI41" s="20"/>
      <c r="AJ41" s="20"/>
      <c r="AK41" s="20"/>
      <c r="AL41" s="11"/>
      <c r="AM41" s="11"/>
      <c r="AN41" s="11"/>
      <c r="AO41" s="11"/>
      <c r="AP41" s="11"/>
    </row>
    <row r="42" spans="1:42" ht="15.75"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11"/>
      <c r="AM42" s="11"/>
      <c r="AN42" s="11"/>
      <c r="AO42" s="11"/>
      <c r="AP42" s="11"/>
    </row>
    <row r="43" spans="1:42" ht="15.75"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11"/>
      <c r="AM43" s="11"/>
      <c r="AN43" s="11"/>
      <c r="AO43" s="11"/>
      <c r="AP43" s="11"/>
    </row>
    <row r="44" spans="1:42" ht="17.25" customHeight="1" x14ac:dyDescent="0.35">
      <c r="B44" s="312"/>
      <c r="C44" s="62"/>
      <c r="E44" s="313" t="s">
        <v>204</v>
      </c>
      <c r="F44" s="62"/>
      <c r="G44" s="180">
        <f>+SUM(G33:G35)</f>
        <v>865188</v>
      </c>
      <c r="H44" s="18"/>
      <c r="I44" s="18"/>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11"/>
      <c r="AM44" s="11"/>
      <c r="AN44" s="11"/>
      <c r="AO44" s="11"/>
      <c r="AP44" s="11"/>
    </row>
    <row r="45" spans="1:42" ht="17.25" customHeight="1"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11"/>
      <c r="AM45" s="11"/>
      <c r="AN45" s="11"/>
      <c r="AO45" s="11"/>
      <c r="AP45" s="11"/>
    </row>
    <row r="46" spans="1:42" ht="45" x14ac:dyDescent="0.25">
      <c r="A46" s="58" t="s">
        <v>186</v>
      </c>
      <c r="B46" s="135" t="str">
        <f t="shared" ref="B46:G46" si="10">IF(+B14-B21-B22-B30=0,"Yes",+B14-B21-B22-B30)</f>
        <v>Yes</v>
      </c>
      <c r="C46" s="135" t="str">
        <f t="shared" si="10"/>
        <v>Yes</v>
      </c>
      <c r="D46" s="135" t="str">
        <f t="shared" si="10"/>
        <v>Yes</v>
      </c>
      <c r="E46" s="135" t="str">
        <f t="shared" si="10"/>
        <v>Yes</v>
      </c>
      <c r="F46" s="135" t="str">
        <f t="shared" si="10"/>
        <v>Yes</v>
      </c>
      <c r="G46" s="135" t="str">
        <f t="shared" si="10"/>
        <v>Yes</v>
      </c>
      <c r="H46" s="59"/>
      <c r="I46" s="59"/>
      <c r="J46" s="59"/>
      <c r="K46" s="59"/>
      <c r="L46" s="59"/>
      <c r="M46" s="135" t="str">
        <f t="shared" ref="M46:X46" si="11">IF(+M14-M21-M22-M30=0,"Yes",+M14-M21-M22-M30)</f>
        <v>Yes</v>
      </c>
      <c r="N46" s="135" t="str">
        <f t="shared" si="11"/>
        <v>Yes</v>
      </c>
      <c r="O46" s="135" t="str">
        <f t="shared" si="11"/>
        <v>Yes</v>
      </c>
      <c r="P46" s="135" t="str">
        <f t="shared" si="11"/>
        <v>Yes</v>
      </c>
      <c r="Q46" s="135" t="str">
        <f t="shared" si="11"/>
        <v>Yes</v>
      </c>
      <c r="R46" s="135" t="str">
        <f t="shared" si="11"/>
        <v>Yes</v>
      </c>
      <c r="S46" s="135" t="str">
        <f t="shared" si="11"/>
        <v>Yes</v>
      </c>
      <c r="T46" s="135" t="str">
        <f t="shared" si="11"/>
        <v>Yes</v>
      </c>
      <c r="U46" s="135" t="str">
        <f t="shared" si="11"/>
        <v>Yes</v>
      </c>
      <c r="V46" s="135" t="str">
        <f t="shared" si="11"/>
        <v>Yes</v>
      </c>
      <c r="W46" s="135" t="str">
        <f t="shared" si="11"/>
        <v>Yes</v>
      </c>
      <c r="X46" s="135" t="str">
        <f t="shared" si="11"/>
        <v>Yes</v>
      </c>
      <c r="Y46" s="20"/>
      <c r="Z46" s="20"/>
      <c r="AA46" s="20"/>
      <c r="AB46" s="20"/>
      <c r="AC46" s="20"/>
      <c r="AD46" s="20"/>
      <c r="AE46" s="20"/>
      <c r="AF46" s="20"/>
      <c r="AG46" s="20"/>
      <c r="AH46" s="20"/>
      <c r="AI46" s="20"/>
      <c r="AJ46" s="20"/>
      <c r="AK46" s="20"/>
      <c r="AL46" s="11"/>
      <c r="AM46" s="11"/>
      <c r="AN46" s="11"/>
      <c r="AO46" s="11"/>
      <c r="AP46" s="11"/>
    </row>
    <row r="47" spans="1:42" ht="36.75" customHeight="1" x14ac:dyDescent="0.25">
      <c r="A47" s="69" t="s">
        <v>279</v>
      </c>
      <c r="B47" s="134" t="str">
        <f>IF(B30-'Govt Funds Inc Stmt Exh 4'!B34=0,"Yes",B30-'Govt Funds Inc Stmt Exh 4'!B34)</f>
        <v>Yes</v>
      </c>
      <c r="C47" s="134" t="str">
        <f>IF(C30-'Govt Funds Inc Stmt Exh 4'!C34=0,"Yes",C30-'Govt Funds Inc Stmt Exh 4'!C34)</f>
        <v>Yes</v>
      </c>
      <c r="D47" s="134" t="str">
        <f>IF(D30-'Govt Funds Inc Stmt Exh 4'!D34=0,"Yes",D30-'Govt Funds Inc Stmt Exh 4'!D34)</f>
        <v>Yes</v>
      </c>
      <c r="E47" s="134" t="str">
        <f>IF(E30-'Govt Funds Inc Stmt Exh 4'!E34=0,"Yes",E30-'Govt Funds Inc Stmt Exh 4'!E34)</f>
        <v>Yes</v>
      </c>
      <c r="F47" s="134" t="str">
        <f>IF(F30-'Govt Funds Inc Stmt Exh 4'!F34=0,"Yes",F30-'Govt Funds Inc Stmt Exh 4'!F34)</f>
        <v>Yes</v>
      </c>
      <c r="G47" s="134" t="str">
        <f>IF(G30-'Govt Funds Inc Stmt Exh 4'!G34=0,"Yes",G30-'Govt Funds Inc Stmt Exh 4'!G34)</f>
        <v>Yes</v>
      </c>
      <c r="H47" s="20"/>
      <c r="I47" s="20"/>
      <c r="J47" s="39"/>
      <c r="K47" s="39"/>
      <c r="L47" s="39"/>
      <c r="M47" s="134" t="str">
        <f>IF(M30-'Govt Funds Inc Stmt Exh 4'!M34=0,"Yes",M30-'Govt Funds Inc Stmt Exh 4'!M34)</f>
        <v>Yes</v>
      </c>
      <c r="N47" s="134" t="str">
        <f>IF(N30-'Govt Funds Inc Stmt Exh 4'!N34=0,"Yes",N30-'Govt Funds Inc Stmt Exh 4'!N34)</f>
        <v>Yes</v>
      </c>
      <c r="O47" s="134" t="str">
        <f>IF(O30-'Govt Funds Inc Stmt Exh 4'!O34=0,"Yes",O30-'Govt Funds Inc Stmt Exh 4'!O34)</f>
        <v>Yes</v>
      </c>
      <c r="P47" s="134" t="str">
        <f>IF(P30-'Govt Funds Inc Stmt Exh 4'!P34=0,"Yes",P30-'Govt Funds Inc Stmt Exh 4'!P34)</f>
        <v>Yes</v>
      </c>
      <c r="Q47" s="134" t="str">
        <f>IF(Q30-'Govt Funds Inc Stmt Exh 4'!Q34=0,"Yes",Q30-'Govt Funds Inc Stmt Exh 4'!Q34)</f>
        <v>Yes</v>
      </c>
      <c r="R47" s="134" t="str">
        <f>IF(R30-'Govt Funds Inc Stmt Exh 4'!R34=0,"Yes",R30-'Govt Funds Inc Stmt Exh 4'!R34)</f>
        <v>Yes</v>
      </c>
      <c r="S47" s="134" t="str">
        <f>IF(S30-'Govt Funds Inc Stmt Exh 4'!S34=0,"Yes",S30-'Govt Funds Inc Stmt Exh 4'!S34)</f>
        <v>Yes</v>
      </c>
      <c r="T47" s="134" t="str">
        <f>IF(T30-'Govt Funds Inc Stmt Exh 4'!T34=0,"Yes",T30-'Govt Funds Inc Stmt Exh 4'!T34)</f>
        <v>Yes</v>
      </c>
      <c r="U47" s="134" t="str">
        <f>IF(U30-'Govt Funds Inc Stmt Exh 4'!U34=0,"Yes",U30-'Govt Funds Inc Stmt Exh 4'!U34)</f>
        <v>Yes</v>
      </c>
      <c r="V47" s="134" t="str">
        <f>IF(V30-'Govt Funds Inc Stmt Exh 4'!V34=0,"Yes",V30-'Govt Funds Inc Stmt Exh 4'!V34)</f>
        <v>Yes</v>
      </c>
      <c r="W47" s="134" t="str">
        <f>IF(W30-'Govt Funds Inc Stmt Exh 4'!W34=0,"Yes",W30-'Govt Funds Inc Stmt Exh 4'!W34)</f>
        <v>Yes</v>
      </c>
      <c r="X47" s="134" t="str">
        <f>IF(X30-'Govt Funds Inc Stmt Exh 4'!X34=0,"Yes",X30-'Govt Funds Inc Stmt Exh 4'!X34)</f>
        <v>Yes</v>
      </c>
      <c r="Y47" s="20"/>
      <c r="Z47" s="20"/>
      <c r="AA47" s="20"/>
      <c r="AB47" s="20"/>
      <c r="AC47" s="20"/>
      <c r="AD47" s="20"/>
      <c r="AE47" s="20"/>
      <c r="AF47" s="20"/>
      <c r="AG47" s="20"/>
      <c r="AH47" s="20"/>
      <c r="AI47" s="20"/>
      <c r="AJ47" s="20"/>
      <c r="AK47" s="20"/>
      <c r="AL47" s="11"/>
      <c r="AM47" s="11"/>
      <c r="AN47" s="11"/>
      <c r="AO47" s="11"/>
      <c r="AP47" s="11"/>
    </row>
    <row r="48" spans="1:42" ht="30.75" x14ac:dyDescent="0.25">
      <c r="A48" s="69" t="s">
        <v>290</v>
      </c>
      <c r="B48" s="68"/>
      <c r="C48" s="68"/>
      <c r="D48" s="68"/>
      <c r="E48" s="68"/>
      <c r="F48" s="68"/>
      <c r="G48" s="147" t="str">
        <f>IF(G36-'GW Net Position Exh 1'!B38=0,"Yes",G36-'GW Net Position Exh 1'!B38)</f>
        <v>Yes</v>
      </c>
      <c r="H48" s="147"/>
      <c r="I48" s="20"/>
      <c r="J48" s="39"/>
      <c r="K48" s="39"/>
      <c r="L48" s="39"/>
      <c r="M48" s="68"/>
      <c r="N48" s="68"/>
      <c r="O48" s="68"/>
      <c r="P48" s="68"/>
      <c r="Q48" s="68"/>
      <c r="R48" s="68"/>
      <c r="S48" s="68"/>
      <c r="T48" s="68"/>
      <c r="U48" s="68"/>
      <c r="V48" s="68"/>
      <c r="W48" s="68"/>
      <c r="X48" s="68"/>
      <c r="Y48" s="20"/>
      <c r="Z48" s="20"/>
      <c r="AA48" s="20"/>
      <c r="AB48" s="20"/>
      <c r="AC48" s="20"/>
      <c r="AD48" s="20"/>
      <c r="AE48" s="20"/>
      <c r="AF48" s="20"/>
      <c r="AG48" s="20"/>
      <c r="AH48" s="20"/>
      <c r="AI48" s="20"/>
      <c r="AJ48" s="20"/>
      <c r="AK48" s="20"/>
      <c r="AL48" s="11"/>
      <c r="AM48" s="11"/>
      <c r="AN48" s="11"/>
      <c r="AO48" s="11"/>
      <c r="AP48" s="11"/>
    </row>
    <row r="49" spans="1:42" ht="15.75" x14ac:dyDescent="0.25">
      <c r="J49" s="62"/>
      <c r="K49" s="62"/>
      <c r="L49" s="62"/>
      <c r="M49" s="62"/>
      <c r="N49" s="62"/>
      <c r="O49" s="62"/>
      <c r="P49" s="62"/>
      <c r="Q49" s="62"/>
      <c r="R49" s="62"/>
      <c r="S49" s="62"/>
      <c r="T49" s="62"/>
      <c r="U49" s="62"/>
      <c r="V49" s="62"/>
      <c r="X49" s="20"/>
      <c r="Y49" s="20"/>
      <c r="Z49" s="20"/>
      <c r="AA49" s="20"/>
      <c r="AB49" s="20"/>
      <c r="AC49" s="20"/>
      <c r="AD49" s="20"/>
      <c r="AE49" s="20"/>
      <c r="AF49" s="20"/>
      <c r="AG49" s="20"/>
      <c r="AH49" s="20"/>
      <c r="AI49" s="20"/>
      <c r="AJ49" s="20"/>
      <c r="AK49" s="20"/>
      <c r="AL49" s="11"/>
      <c r="AM49" s="11"/>
      <c r="AN49" s="11"/>
      <c r="AO49" s="11"/>
      <c r="AP49" s="11"/>
    </row>
    <row r="50" spans="1:42" ht="46.5" x14ac:dyDescent="0.25">
      <c r="A50" s="70" t="s">
        <v>382</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11"/>
      <c r="AM50" s="11"/>
      <c r="AN50" s="11"/>
      <c r="AO50" s="11"/>
      <c r="AP50" s="11"/>
    </row>
    <row r="51" spans="1:42" ht="15.75" x14ac:dyDescent="0.25">
      <c r="A51" s="60"/>
      <c r="B51" s="20"/>
      <c r="C51" s="20"/>
      <c r="D51" s="20"/>
      <c r="E51" s="20"/>
      <c r="F51" s="20"/>
      <c r="G51" s="62"/>
      <c r="H51" s="62"/>
      <c r="I51" s="62"/>
      <c r="J51" s="20"/>
      <c r="K51" s="20"/>
      <c r="L51" s="20"/>
      <c r="N51" s="20"/>
      <c r="O51" s="20"/>
      <c r="P51" s="20"/>
      <c r="Q51" s="20"/>
      <c r="R51" s="20"/>
      <c r="S51" s="20"/>
      <c r="T51" s="20"/>
      <c r="U51" s="20"/>
      <c r="V51" s="63"/>
      <c r="W51" s="20"/>
      <c r="X51" s="20"/>
      <c r="Y51" s="20"/>
      <c r="Z51" s="20"/>
      <c r="AA51" s="20"/>
      <c r="AB51" s="20"/>
      <c r="AC51" s="20"/>
      <c r="AD51" s="20"/>
      <c r="AE51" s="20"/>
      <c r="AF51" s="20"/>
      <c r="AG51" s="20"/>
      <c r="AH51" s="20"/>
      <c r="AI51" s="20"/>
      <c r="AJ51" s="20"/>
      <c r="AK51" s="20"/>
      <c r="AL51" s="11"/>
      <c r="AM51" s="11"/>
      <c r="AN51" s="11"/>
      <c r="AO51" s="11"/>
      <c r="AP51" s="11"/>
    </row>
    <row r="52" spans="1:42" ht="15.75" x14ac:dyDescent="0.25">
      <c r="A52" s="20" t="s">
        <v>413</v>
      </c>
      <c r="B52" s="332">
        <f>B29/B30</f>
        <v>0.92702366903644862</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11"/>
      <c r="AM52" s="11"/>
      <c r="AN52" s="11"/>
      <c r="AO52" s="11"/>
      <c r="AP52" s="11"/>
    </row>
    <row r="53" spans="1:42" ht="15.7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11"/>
      <c r="AM53" s="11"/>
      <c r="AN53" s="11"/>
      <c r="AO53" s="11"/>
      <c r="AP53" s="11"/>
    </row>
    <row r="54" spans="1:42" ht="15.75"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11"/>
      <c r="AM54" s="11"/>
      <c r="AN54" s="11"/>
      <c r="AO54" s="11"/>
      <c r="AP54" s="11"/>
    </row>
    <row r="55" spans="1:42" ht="15.75"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11"/>
      <c r="AM55" s="11"/>
      <c r="AN55" s="11"/>
      <c r="AO55" s="11"/>
      <c r="AP55" s="11"/>
    </row>
    <row r="56" spans="1:42" ht="15.75"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11"/>
      <c r="AM56" s="11"/>
      <c r="AN56" s="11"/>
      <c r="AO56" s="11"/>
      <c r="AP56" s="11"/>
    </row>
    <row r="57" spans="1:42" ht="17.25" x14ac:dyDescent="0.35">
      <c r="A57" s="20"/>
      <c r="B57" s="372"/>
      <c r="C57" s="372"/>
      <c r="D57" s="372"/>
      <c r="E57" s="372"/>
      <c r="F57" s="25"/>
      <c r="G57" s="338"/>
      <c r="H57" s="26"/>
      <c r="I57" s="26"/>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11"/>
      <c r="AM57" s="11"/>
      <c r="AN57" s="11"/>
      <c r="AO57" s="11"/>
      <c r="AP57" s="11"/>
    </row>
    <row r="58" spans="1:42" ht="17.25" x14ac:dyDescent="0.35">
      <c r="A58" s="20"/>
      <c r="B58" s="338"/>
      <c r="C58" s="337"/>
      <c r="D58" s="337"/>
      <c r="E58" s="66"/>
      <c r="F58" s="338"/>
      <c r="G58" s="338"/>
      <c r="H58" s="26"/>
      <c r="I58" s="26"/>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11"/>
      <c r="AM58" s="11"/>
      <c r="AN58" s="11"/>
      <c r="AO58" s="11"/>
      <c r="AP58" s="11"/>
    </row>
    <row r="59" spans="1:42" ht="17.25" x14ac:dyDescent="0.35">
      <c r="A59" s="20"/>
      <c r="B59" s="338"/>
      <c r="C59" s="337"/>
      <c r="D59" s="337"/>
      <c r="E59" s="27"/>
      <c r="F59" s="338"/>
      <c r="G59" s="338"/>
      <c r="H59" s="26"/>
      <c r="I59" s="26"/>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11"/>
      <c r="AM59" s="11"/>
      <c r="AN59" s="11"/>
      <c r="AO59" s="11"/>
      <c r="AP59" s="11"/>
    </row>
    <row r="60" spans="1:42" ht="15.75"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11"/>
      <c r="AM60" s="11"/>
      <c r="AN60" s="11"/>
      <c r="AO60" s="11"/>
      <c r="AP60" s="11"/>
    </row>
    <row r="61" spans="1:42" ht="15.7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row>
    <row r="62" spans="1:42" ht="15.7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row>
    <row r="63" spans="1:42" ht="15.7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row>
    <row r="64" spans="1:42" ht="15.7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row>
    <row r="65" spans="1:42" ht="15.7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row>
    <row r="66" spans="1:42" ht="15.7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row>
    <row r="67" spans="1:42" ht="15.7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row>
    <row r="68" spans="1:42" ht="15.7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row>
    <row r="69" spans="1:42" ht="15.7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row>
    <row r="70" spans="1:42" ht="15.7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row>
    <row r="71" spans="1:42" ht="15.7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row>
    <row r="72" spans="1:42" ht="15.7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row>
    <row r="73" spans="1:42" ht="15.7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row>
    <row r="74" spans="1:42" ht="15.7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row>
    <row r="75" spans="1:42" ht="15.7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row>
    <row r="76" spans="1:42" ht="15.7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row>
    <row r="77" spans="1:42" ht="15.7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row>
    <row r="78" spans="1:42" ht="15.7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row>
    <row r="79" spans="1:42" ht="15.7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row>
    <row r="80" spans="1:42" ht="15.7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row>
    <row r="81" spans="1:42"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row>
    <row r="82" spans="1:42"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row>
    <row r="83" spans="1:42"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row>
    <row r="84" spans="1:42" ht="15.7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row>
    <row r="85" spans="1:42" ht="15.7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row>
    <row r="86" spans="1:42" ht="15.7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row>
    <row r="87" spans="1:42" ht="15.7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row>
    <row r="88" spans="1:42" ht="15.7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row>
    <row r="89" spans="1:42" ht="15.7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row>
    <row r="90" spans="1:42" ht="15.7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row>
    <row r="91" spans="1:42" ht="15.7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row>
    <row r="92" spans="1:42" ht="15.7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row>
    <row r="93" spans="1:42" ht="15.7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row>
    <row r="94" spans="1:42" ht="15.7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row>
    <row r="95" spans="1:42" ht="15.7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row>
  </sheetData>
  <mergeCells count="27">
    <mergeCell ref="B58:B59"/>
    <mergeCell ref="C58:C59"/>
    <mergeCell ref="D58:D59"/>
    <mergeCell ref="F58:F59"/>
    <mergeCell ref="I6:I7"/>
    <mergeCell ref="B33:E33"/>
    <mergeCell ref="B34:E34"/>
    <mergeCell ref="B35:E35"/>
    <mergeCell ref="B32:E32"/>
    <mergeCell ref="B57:E57"/>
    <mergeCell ref="B5:E5"/>
    <mergeCell ref="F6:F7"/>
    <mergeCell ref="G5:G7"/>
    <mergeCell ref="A1:G1"/>
    <mergeCell ref="A2:G2"/>
    <mergeCell ref="A3:G3"/>
    <mergeCell ref="A4:G4"/>
    <mergeCell ref="C6:E6"/>
    <mergeCell ref="M1:Q2"/>
    <mergeCell ref="S2:U3"/>
    <mergeCell ref="V2:X3"/>
    <mergeCell ref="G57:G59"/>
    <mergeCell ref="V6:X6"/>
    <mergeCell ref="M4:X4"/>
    <mergeCell ref="M6:O6"/>
    <mergeCell ref="P6:R6"/>
    <mergeCell ref="S6:U6"/>
  </mergeCells>
  <phoneticPr fontId="0" type="noConversion"/>
  <conditionalFormatting sqref="I9:I13 I16:I20 I22 I33 I35 B46:G47 G48 M46:X47">
    <cfRule type="cellIs" dxfId="93" priority="1" stopIfTrue="1" operator="notEqual">
      <formula>"Yes"</formula>
    </cfRule>
  </conditionalFormatting>
  <pageMargins left="0.75" right="0.75" top="0.75" bottom="0.75" header="0.5" footer="0.5"/>
  <pageSetup scale="78" firstPageNumber="19" orientation="portrait" useFirstPageNumber="1" r:id="rId1"/>
  <headerFooter alignWithMargins="0">
    <oddHeader>&amp;R&amp;12Exhibit 3</oddHeader>
    <oddFooter>&amp;L&amp;12Revised:  July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tabColor theme="8" tint="0.59999389629810485"/>
    <pageSetUpPr fitToPage="1"/>
  </sheetPr>
  <dimension ref="A1:AH96"/>
  <sheetViews>
    <sheetView showGridLines="0" zoomScaleNormal="100" zoomScaleSheetLayoutView="70" zoomScalePageLayoutView="70" workbookViewId="0">
      <pane xSplit="1" ySplit="7" topLeftCell="B8"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42.7109375" customWidth="1"/>
    <col min="2" max="2" width="14.7109375" style="4" customWidth="1"/>
    <col min="3" max="5" width="14.7109375" customWidth="1"/>
    <col min="6" max="6" width="14.7109375" hidden="1" customWidth="1"/>
    <col min="7" max="7" width="14.7109375" customWidth="1"/>
    <col min="8" max="8" width="2.7109375" customWidth="1"/>
    <col min="9" max="9" width="14.7109375" customWidth="1"/>
    <col min="10" max="10" width="14.7109375" hidden="1" customWidth="1"/>
    <col min="11" max="11" width="12.7109375" customWidth="1"/>
    <col min="12" max="12" width="2.7109375" customWidth="1"/>
    <col min="13" max="24" width="14.7109375" customWidth="1"/>
  </cols>
  <sheetData>
    <row r="1" spans="1:34" ht="15.75" customHeight="1" thickBot="1" x14ac:dyDescent="0.3">
      <c r="A1" s="341" t="str">
        <f>'GW Net Position Exh 1'!A1</f>
        <v>Owl Charter, Inc.</v>
      </c>
      <c r="B1" s="341"/>
      <c r="C1" s="341"/>
      <c r="D1" s="341"/>
      <c r="E1" s="341"/>
      <c r="F1" s="341"/>
      <c r="G1" s="19"/>
      <c r="H1" s="19"/>
      <c r="I1" s="19"/>
      <c r="J1" s="63">
        <v>15.75</v>
      </c>
      <c r="K1" s="63"/>
      <c r="L1" s="63"/>
      <c r="M1" s="19"/>
      <c r="N1" s="20"/>
      <c r="O1" s="20"/>
      <c r="P1" s="20"/>
      <c r="Q1" s="20"/>
      <c r="R1" s="20"/>
      <c r="S1" s="20"/>
      <c r="T1" s="20"/>
      <c r="U1" s="20"/>
      <c r="V1" s="20"/>
      <c r="W1" s="20"/>
      <c r="X1" s="20"/>
      <c r="Y1" s="20"/>
      <c r="Z1" s="20"/>
      <c r="AA1" s="20"/>
      <c r="AB1" s="20"/>
      <c r="AC1" s="20"/>
      <c r="AD1" s="20"/>
      <c r="AE1" s="20"/>
      <c r="AF1" s="20"/>
      <c r="AG1" s="11"/>
      <c r="AH1" s="11"/>
    </row>
    <row r="2" spans="1:34" ht="15.75" customHeight="1" x14ac:dyDescent="0.25">
      <c r="A2" s="342" t="s">
        <v>221</v>
      </c>
      <c r="B2" s="342"/>
      <c r="C2" s="342"/>
      <c r="D2" s="342"/>
      <c r="E2" s="342"/>
      <c r="F2" s="342"/>
      <c r="G2" s="20"/>
      <c r="H2" s="20"/>
      <c r="I2" s="20"/>
      <c r="J2" s="63">
        <v>15.75</v>
      </c>
      <c r="K2" s="63"/>
      <c r="L2" s="63"/>
      <c r="M2" s="20"/>
      <c r="N2" s="20"/>
      <c r="O2" s="20"/>
      <c r="P2" s="20"/>
      <c r="Q2" s="20"/>
      <c r="R2" s="20"/>
      <c r="S2" s="366" t="s">
        <v>287</v>
      </c>
      <c r="T2" s="367"/>
      <c r="U2" s="368"/>
      <c r="V2" s="366" t="s">
        <v>288</v>
      </c>
      <c r="W2" s="367"/>
      <c r="X2" s="368"/>
      <c r="Y2" s="20"/>
      <c r="Z2" s="20"/>
      <c r="AA2" s="20"/>
      <c r="AB2" s="20"/>
      <c r="AC2" s="20"/>
      <c r="AD2" s="20"/>
      <c r="AE2" s="20"/>
      <c r="AF2" s="20"/>
      <c r="AG2" s="11"/>
      <c r="AH2" s="11"/>
    </row>
    <row r="3" spans="1:34" ht="15.75" customHeight="1" thickBot="1" x14ac:dyDescent="0.3">
      <c r="A3" s="342" t="s">
        <v>7</v>
      </c>
      <c r="B3" s="342"/>
      <c r="C3" s="342"/>
      <c r="D3" s="342"/>
      <c r="E3" s="342"/>
      <c r="F3" s="342"/>
      <c r="G3" s="20"/>
      <c r="H3" s="20"/>
      <c r="I3" s="20"/>
      <c r="J3" s="63">
        <v>15.75</v>
      </c>
      <c r="K3" s="63"/>
      <c r="L3" s="63"/>
      <c r="M3" s="20"/>
      <c r="N3" s="20"/>
      <c r="O3" s="20"/>
      <c r="P3" s="20"/>
      <c r="Q3" s="20"/>
      <c r="R3" s="20"/>
      <c r="S3" s="369"/>
      <c r="T3" s="370"/>
      <c r="U3" s="371"/>
      <c r="V3" s="369"/>
      <c r="W3" s="370"/>
      <c r="X3" s="371"/>
      <c r="Y3" s="20"/>
      <c r="Z3" s="20"/>
      <c r="AA3" s="20"/>
      <c r="AB3" s="20"/>
      <c r="AC3" s="20"/>
      <c r="AD3" s="20"/>
      <c r="AE3" s="20"/>
      <c r="AF3" s="20"/>
      <c r="AG3" s="11"/>
      <c r="AH3" s="11"/>
    </row>
    <row r="4" spans="1:34" ht="21" customHeight="1" x14ac:dyDescent="0.55000000000000004">
      <c r="A4" s="378" t="str">
        <f>+'GW Stmt Activities Exh 2'!A3</f>
        <v>For the Year Ended June 30, 2020</v>
      </c>
      <c r="B4" s="342"/>
      <c r="C4" s="342"/>
      <c r="D4" s="342"/>
      <c r="E4" s="342"/>
      <c r="F4" s="342"/>
      <c r="G4" s="20"/>
      <c r="H4" s="20"/>
      <c r="I4" s="20"/>
      <c r="J4" s="63">
        <v>15.75</v>
      </c>
      <c r="K4" s="63"/>
      <c r="L4" s="63"/>
      <c r="M4" s="373" t="s">
        <v>282</v>
      </c>
      <c r="N4" s="373"/>
      <c r="O4" s="373"/>
      <c r="P4" s="373"/>
      <c r="Q4" s="373"/>
      <c r="R4" s="373"/>
      <c r="S4" s="373"/>
      <c r="T4" s="373"/>
      <c r="U4" s="373"/>
      <c r="V4" s="373"/>
      <c r="W4" s="373"/>
      <c r="X4" s="373"/>
      <c r="Y4" s="20"/>
      <c r="Z4" s="20"/>
      <c r="AA4" s="20"/>
      <c r="AB4" s="20"/>
      <c r="AC4" s="20"/>
      <c r="AD4" s="20"/>
      <c r="AE4" s="20"/>
      <c r="AF4" s="20"/>
      <c r="AG4" s="11"/>
      <c r="AH4" s="11"/>
    </row>
    <row r="5" spans="1:34" ht="20.100000000000001" customHeight="1" x14ac:dyDescent="0.35">
      <c r="A5" s="23"/>
      <c r="B5" s="372"/>
      <c r="C5" s="372"/>
      <c r="D5" s="372"/>
      <c r="E5" s="372"/>
      <c r="F5" s="25"/>
      <c r="G5" s="338" t="s">
        <v>8</v>
      </c>
      <c r="H5" s="26"/>
      <c r="I5" s="26"/>
      <c r="J5" s="24">
        <v>25</v>
      </c>
      <c r="K5" s="24"/>
      <c r="L5" s="24"/>
      <c r="Y5" s="20"/>
      <c r="Z5" s="20"/>
      <c r="AA5" s="20"/>
      <c r="AB5" s="20"/>
      <c r="AC5" s="20"/>
      <c r="AD5" s="20"/>
      <c r="AE5" s="20"/>
      <c r="AF5" s="20"/>
      <c r="AG5" s="11"/>
      <c r="AH5" s="11"/>
    </row>
    <row r="6" spans="1:34" ht="20.100000000000001" customHeight="1" x14ac:dyDescent="0.35">
      <c r="A6" s="23"/>
      <c r="B6" s="338" t="s">
        <v>12</v>
      </c>
      <c r="C6" s="375" t="s">
        <v>353</v>
      </c>
      <c r="D6" s="375"/>
      <c r="E6" s="375"/>
      <c r="F6" s="338" t="s">
        <v>132</v>
      </c>
      <c r="G6" s="338"/>
      <c r="H6" s="26"/>
      <c r="I6" s="338" t="s">
        <v>291</v>
      </c>
      <c r="J6" s="63">
        <v>18</v>
      </c>
      <c r="K6" s="63"/>
      <c r="L6" s="63"/>
      <c r="M6" s="372" t="s">
        <v>274</v>
      </c>
      <c r="N6" s="372"/>
      <c r="O6" s="372"/>
      <c r="P6" s="372" t="s">
        <v>277</v>
      </c>
      <c r="Q6" s="372"/>
      <c r="R6" s="372"/>
      <c r="S6" s="372" t="s">
        <v>275</v>
      </c>
      <c r="T6" s="372"/>
      <c r="U6" s="372"/>
      <c r="V6" s="372" t="s">
        <v>276</v>
      </c>
      <c r="W6" s="372"/>
      <c r="X6" s="372"/>
      <c r="Y6" s="20"/>
      <c r="Z6" s="20"/>
      <c r="AA6" s="20"/>
      <c r="AB6" s="20"/>
      <c r="AC6" s="20"/>
      <c r="AD6" s="20"/>
      <c r="AE6" s="20"/>
      <c r="AF6" s="20"/>
      <c r="AG6" s="11"/>
      <c r="AH6" s="11"/>
    </row>
    <row r="7" spans="1:34" ht="20.100000000000001" customHeight="1" x14ac:dyDescent="0.35">
      <c r="A7" s="20"/>
      <c r="B7" s="338"/>
      <c r="C7" s="27" t="str">
        <f>'Govt Funds Bal Sh Exh 3'!C7</f>
        <v>Owl - Doceo</v>
      </c>
      <c r="D7" s="27" t="str">
        <f>'Govt Funds Bal Sh Exh 3'!D7</f>
        <v>Owl - Erudio</v>
      </c>
      <c r="E7" s="27" t="str">
        <f>'Govt Funds Bal Sh Exh 3'!E7</f>
        <v>Owl - Discite</v>
      </c>
      <c r="F7" s="338"/>
      <c r="G7" s="338"/>
      <c r="H7" s="26"/>
      <c r="I7" s="338"/>
      <c r="J7" s="27">
        <v>18</v>
      </c>
      <c r="K7" s="329" t="s">
        <v>391</v>
      </c>
      <c r="L7" s="27"/>
      <c r="M7" s="27" t="str">
        <f>$C$7</f>
        <v>Owl - Doceo</v>
      </c>
      <c r="N7" s="27" t="str">
        <f>$D$7</f>
        <v>Owl - Erudio</v>
      </c>
      <c r="O7" s="27" t="str">
        <f>$E$7</f>
        <v>Owl - Discite</v>
      </c>
      <c r="P7" s="27" t="str">
        <f>$C$7</f>
        <v>Owl - Doceo</v>
      </c>
      <c r="Q7" s="27" t="str">
        <f>$D$7</f>
        <v>Owl - Erudio</v>
      </c>
      <c r="R7" s="27" t="str">
        <f>$E$7</f>
        <v>Owl - Discite</v>
      </c>
      <c r="S7" s="27" t="str">
        <f>$C$7</f>
        <v>Owl - Doceo</v>
      </c>
      <c r="T7" s="27" t="str">
        <f>$D$7</f>
        <v>Owl - Erudio</v>
      </c>
      <c r="U7" s="27" t="str">
        <f>$E$7</f>
        <v>Owl - Discite</v>
      </c>
      <c r="V7" s="27" t="str">
        <f>$C$7</f>
        <v>Owl - Doceo</v>
      </c>
      <c r="W7" s="27" t="str">
        <f>$D$7</f>
        <v>Owl - Erudio</v>
      </c>
      <c r="X7" s="27" t="str">
        <f>$E$7</f>
        <v>Owl - Discite</v>
      </c>
      <c r="Y7" s="20"/>
      <c r="Z7" s="20"/>
      <c r="AA7" s="20"/>
      <c r="AB7" s="20"/>
      <c r="AC7" s="20"/>
      <c r="AD7" s="20"/>
      <c r="AE7" s="20"/>
      <c r="AF7" s="20"/>
      <c r="AG7" s="11"/>
      <c r="AH7" s="11"/>
    </row>
    <row r="8" spans="1:34" ht="15.75" customHeight="1" x14ac:dyDescent="0.25">
      <c r="A8" s="28" t="s">
        <v>233</v>
      </c>
      <c r="B8" s="20"/>
      <c r="C8" s="20"/>
      <c r="D8" s="20"/>
      <c r="E8" s="20"/>
      <c r="F8" s="20"/>
      <c r="G8" s="20"/>
      <c r="H8" s="20"/>
      <c r="I8" s="20"/>
      <c r="J8" s="63">
        <v>15.75</v>
      </c>
      <c r="K8" s="63"/>
      <c r="L8" s="63"/>
      <c r="M8" s="20"/>
      <c r="N8" s="20"/>
      <c r="O8" s="20"/>
      <c r="P8" s="20"/>
      <c r="Q8" s="20"/>
      <c r="R8" s="20"/>
      <c r="S8" s="20"/>
      <c r="T8" s="20"/>
      <c r="U8" s="20"/>
      <c r="V8" s="20"/>
      <c r="W8" s="20"/>
      <c r="X8" s="20"/>
      <c r="Y8" s="20"/>
      <c r="Z8" s="20"/>
      <c r="AA8" s="20"/>
      <c r="AB8" s="20"/>
      <c r="AC8" s="20"/>
      <c r="AD8" s="20"/>
      <c r="AE8" s="20"/>
      <c r="AF8" s="20"/>
      <c r="AG8" s="11"/>
      <c r="AH8" s="11"/>
    </row>
    <row r="9" spans="1:34" ht="15.75" customHeight="1" x14ac:dyDescent="0.25">
      <c r="A9" s="36" t="s">
        <v>97</v>
      </c>
      <c r="B9" s="18">
        <v>0</v>
      </c>
      <c r="C9" s="18">
        <f t="shared" ref="C9:E13" si="0">+M9+P9+S9+V9</f>
        <v>893380</v>
      </c>
      <c r="D9" s="18">
        <f t="shared" si="0"/>
        <v>1055814</v>
      </c>
      <c r="E9" s="18">
        <f t="shared" si="0"/>
        <v>758022</v>
      </c>
      <c r="F9" s="18">
        <v>0</v>
      </c>
      <c r="G9" s="18">
        <f t="shared" ref="G9:G14" si="1">SUM(B9:F9)</f>
        <v>2707216</v>
      </c>
      <c r="H9" s="18"/>
      <c r="I9" s="144" t="str">
        <f>IF(G9-'GW Stmt Activities Exh 2'!G21=0,"Yes",G9-'GW Stmt Activities Exh 2'!G21)</f>
        <v>Yes</v>
      </c>
      <c r="J9" s="63">
        <v>15.75</v>
      </c>
      <c r="K9" s="322" t="str">
        <f>IF((ABS(B9)+(ABS(C9)+ABS(D9)+ABS(E9)+ABS(F9)+ABS(G9))=0),"Hide Row?"," ")</f>
        <v xml:space="preserve"> </v>
      </c>
      <c r="L9" s="63"/>
      <c r="M9" s="18">
        <v>0</v>
      </c>
      <c r="N9" s="18">
        <v>0</v>
      </c>
      <c r="O9" s="18">
        <v>0</v>
      </c>
      <c r="P9" s="18">
        <v>893380</v>
      </c>
      <c r="Q9" s="18">
        <v>1055814</v>
      </c>
      <c r="R9" s="18">
        <v>758022</v>
      </c>
      <c r="S9" s="18">
        <v>0</v>
      </c>
      <c r="T9" s="18">
        <v>0</v>
      </c>
      <c r="U9" s="18">
        <v>0</v>
      </c>
      <c r="V9" s="18">
        <v>0</v>
      </c>
      <c r="W9" s="18">
        <v>0</v>
      </c>
      <c r="X9" s="18">
        <v>0</v>
      </c>
      <c r="Y9" s="20"/>
      <c r="Z9" s="20"/>
      <c r="AA9" s="20"/>
      <c r="AB9" s="20"/>
      <c r="AC9" s="20"/>
      <c r="AD9" s="20"/>
      <c r="AE9" s="20"/>
      <c r="AF9" s="20"/>
      <c r="AG9" s="11"/>
      <c r="AH9" s="11"/>
    </row>
    <row r="10" spans="1:34" s="7" customFormat="1" ht="15.75" customHeight="1" x14ac:dyDescent="0.25">
      <c r="A10" s="40" t="s">
        <v>98</v>
      </c>
      <c r="B10" s="31">
        <v>0</v>
      </c>
      <c r="C10" s="32">
        <f t="shared" si="0"/>
        <v>405332</v>
      </c>
      <c r="D10" s="32">
        <f t="shared" si="0"/>
        <v>479029</v>
      </c>
      <c r="E10" s="32">
        <f t="shared" si="0"/>
        <v>343918</v>
      </c>
      <c r="F10" s="32">
        <v>0</v>
      </c>
      <c r="G10" s="33">
        <f t="shared" si="1"/>
        <v>1228279</v>
      </c>
      <c r="H10" s="33"/>
      <c r="I10" s="153" t="str">
        <f>IF(G10-'GW Stmt Activities Exh 2'!G20=0,"Yes",G10-'GW Stmt Activities Exh 2'!G20)</f>
        <v>Yes</v>
      </c>
      <c r="J10" s="63">
        <v>15.75</v>
      </c>
      <c r="K10" s="322" t="str">
        <f t="shared" ref="K10:K34" si="2">IF((ABS(B10)+(ABS(C10)+ABS(D10)+ABS(E10)+ABS(F10)+ABS(G10))=0),"Hide Row?"," ")</f>
        <v xml:space="preserve"> </v>
      </c>
      <c r="L10" s="63"/>
      <c r="M10" s="31">
        <v>405332</v>
      </c>
      <c r="N10" s="31">
        <v>479029</v>
      </c>
      <c r="O10" s="31">
        <v>343918</v>
      </c>
      <c r="P10" s="31">
        <v>0</v>
      </c>
      <c r="Q10" s="31">
        <v>0</v>
      </c>
      <c r="R10" s="31">
        <v>0</v>
      </c>
      <c r="S10" s="31">
        <v>0</v>
      </c>
      <c r="T10" s="31">
        <v>0</v>
      </c>
      <c r="U10" s="31">
        <v>0</v>
      </c>
      <c r="V10" s="31">
        <v>0</v>
      </c>
      <c r="W10" s="31">
        <v>0</v>
      </c>
      <c r="X10" s="31">
        <v>0</v>
      </c>
      <c r="Y10" s="30"/>
      <c r="Z10" s="30"/>
      <c r="AA10" s="30"/>
      <c r="AB10" s="30"/>
      <c r="AC10" s="30"/>
      <c r="AD10" s="30"/>
      <c r="AE10" s="30"/>
      <c r="AF10" s="30"/>
      <c r="AG10" s="10"/>
      <c r="AH10" s="10"/>
    </row>
    <row r="11" spans="1:34" ht="15.75" customHeight="1" x14ac:dyDescent="0.25">
      <c r="A11" s="36" t="s">
        <v>99</v>
      </c>
      <c r="B11" s="33">
        <v>0</v>
      </c>
      <c r="C11" s="32">
        <f t="shared" si="0"/>
        <v>71470</v>
      </c>
      <c r="D11" s="32">
        <f t="shared" si="0"/>
        <v>0</v>
      </c>
      <c r="E11" s="32">
        <f t="shared" si="0"/>
        <v>0</v>
      </c>
      <c r="F11" s="32">
        <v>0</v>
      </c>
      <c r="G11" s="31">
        <f t="shared" si="1"/>
        <v>71470</v>
      </c>
      <c r="H11" s="31"/>
      <c r="I11" s="169" t="str">
        <f>IF(G11-'GW Stmt Activities Exh 2'!G22=0,"Yes",G11-'GW Stmt Activities Exh 2'!G22)</f>
        <v>Yes</v>
      </c>
      <c r="J11" s="63">
        <v>15.75</v>
      </c>
      <c r="K11" s="322" t="str">
        <f>IF((ABS(B11)+(ABS(C11)+ABS(D11)+ABS(E11)+ABS(F11)+ABS(G11))=0),"Hide Row?"," ")</f>
        <v xml:space="preserve"> </v>
      </c>
      <c r="L11" s="63"/>
      <c r="M11" s="33">
        <v>0</v>
      </c>
      <c r="N11" s="33">
        <v>0</v>
      </c>
      <c r="O11" s="33">
        <v>0</v>
      </c>
      <c r="P11" s="33">
        <v>0</v>
      </c>
      <c r="Q11" s="33">
        <v>0</v>
      </c>
      <c r="R11" s="33">
        <v>0</v>
      </c>
      <c r="S11" s="33">
        <v>71470</v>
      </c>
      <c r="T11" s="33">
        <v>0</v>
      </c>
      <c r="U11" s="33">
        <v>0</v>
      </c>
      <c r="V11" s="33">
        <v>0</v>
      </c>
      <c r="W11" s="33">
        <v>0</v>
      </c>
      <c r="X11" s="33">
        <v>0</v>
      </c>
      <c r="Y11" s="20"/>
      <c r="Z11" s="20"/>
      <c r="AA11" s="20"/>
      <c r="AB11" s="20"/>
      <c r="AC11" s="20"/>
      <c r="AD11" s="20"/>
      <c r="AE11" s="20"/>
      <c r="AF11" s="20"/>
      <c r="AG11" s="11"/>
      <c r="AH11" s="11"/>
    </row>
    <row r="12" spans="1:34" ht="15.75" customHeight="1" x14ac:dyDescent="0.25">
      <c r="A12" s="36" t="s">
        <v>100</v>
      </c>
      <c r="B12" s="33">
        <v>28925</v>
      </c>
      <c r="C12" s="32">
        <f t="shared" si="0"/>
        <v>100468</v>
      </c>
      <c r="D12" s="32">
        <f t="shared" si="0"/>
        <v>118735</v>
      </c>
      <c r="E12" s="32">
        <f t="shared" si="0"/>
        <v>85970</v>
      </c>
      <c r="F12" s="32">
        <v>0</v>
      </c>
      <c r="G12" s="33">
        <f t="shared" si="1"/>
        <v>334098</v>
      </c>
      <c r="H12" s="33"/>
      <c r="I12" s="153" t="str">
        <f>IF(G12-'GW Stmt Activities Exh 2'!G23=0,"Yes",G12-'GW Stmt Activities Exh 2'!G23)</f>
        <v>Yes</v>
      </c>
      <c r="J12" s="63">
        <v>15.75</v>
      </c>
      <c r="K12" s="322" t="str">
        <f t="shared" si="2"/>
        <v xml:space="preserve"> </v>
      </c>
      <c r="L12" s="63"/>
      <c r="M12" s="33">
        <v>100468</v>
      </c>
      <c r="N12" s="33">
        <v>118735</v>
      </c>
      <c r="O12" s="33">
        <v>85245</v>
      </c>
      <c r="P12" s="33">
        <v>0</v>
      </c>
      <c r="Q12" s="33">
        <v>0</v>
      </c>
      <c r="R12" s="33">
        <v>0</v>
      </c>
      <c r="S12" s="33">
        <v>0</v>
      </c>
      <c r="T12" s="33">
        <v>0</v>
      </c>
      <c r="U12" s="33">
        <v>0</v>
      </c>
      <c r="V12" s="33">
        <v>0</v>
      </c>
      <c r="W12" s="33">
        <v>0</v>
      </c>
      <c r="X12" s="33">
        <v>725</v>
      </c>
      <c r="Y12" s="20"/>
      <c r="Z12" s="20"/>
      <c r="AA12" s="20"/>
      <c r="AB12" s="20"/>
      <c r="AC12" s="20"/>
      <c r="AD12" s="20"/>
      <c r="AE12" s="20"/>
      <c r="AF12" s="20"/>
      <c r="AG12" s="11"/>
      <c r="AH12" s="11"/>
    </row>
    <row r="13" spans="1:34" ht="17.25" customHeight="1" x14ac:dyDescent="0.35">
      <c r="A13" s="36" t="s">
        <v>91</v>
      </c>
      <c r="B13" s="34">
        <f>12500+23500+4500</f>
        <v>40500</v>
      </c>
      <c r="C13" s="35">
        <f t="shared" si="0"/>
        <v>26822</v>
      </c>
      <c r="D13" s="35">
        <f t="shared" si="0"/>
        <v>31699</v>
      </c>
      <c r="E13" s="35">
        <f t="shared" si="0"/>
        <v>23524</v>
      </c>
      <c r="F13" s="35">
        <v>0</v>
      </c>
      <c r="G13" s="34">
        <f t="shared" si="1"/>
        <v>122545</v>
      </c>
      <c r="H13" s="34"/>
      <c r="I13" s="170" t="str">
        <f>IF(G13-'GW Stmt Activities Exh 2'!G24-'GW Stmt Activities Exh 2'!G25=0,"Yes",G13-'GW Stmt Activities Exh 2'!G24-'GW Stmt Activities Exh 2'!G25)</f>
        <v>Yes</v>
      </c>
      <c r="J13" s="63">
        <v>17.25</v>
      </c>
      <c r="K13" s="322" t="str">
        <f t="shared" si="2"/>
        <v xml:space="preserve"> </v>
      </c>
      <c r="L13" s="63"/>
      <c r="M13" s="34">
        <v>26822</v>
      </c>
      <c r="N13" s="34">
        <v>31699</v>
      </c>
      <c r="O13" s="34">
        <v>22758</v>
      </c>
      <c r="P13" s="34">
        <v>0</v>
      </c>
      <c r="Q13" s="34">
        <v>0</v>
      </c>
      <c r="R13" s="34">
        <v>0</v>
      </c>
      <c r="S13" s="34">
        <v>0</v>
      </c>
      <c r="T13" s="34">
        <v>0</v>
      </c>
      <c r="U13" s="34">
        <v>0</v>
      </c>
      <c r="V13" s="34">
        <v>0</v>
      </c>
      <c r="W13" s="34">
        <v>0</v>
      </c>
      <c r="X13" s="34">
        <v>766</v>
      </c>
      <c r="Y13" s="20"/>
      <c r="Z13" s="20"/>
      <c r="AA13" s="20"/>
      <c r="AB13" s="20"/>
      <c r="AC13" s="20"/>
      <c r="AD13" s="20"/>
      <c r="AE13" s="20"/>
      <c r="AF13" s="20"/>
      <c r="AG13" s="11"/>
      <c r="AH13" s="11"/>
    </row>
    <row r="14" spans="1:34" ht="20.100000000000001" customHeight="1" x14ac:dyDescent="0.35">
      <c r="A14" s="73" t="s">
        <v>13</v>
      </c>
      <c r="B14" s="34">
        <f>SUM(B9:B13)</f>
        <v>69425</v>
      </c>
      <c r="C14" s="34">
        <f>SUM(C9:C13)</f>
        <v>1497472</v>
      </c>
      <c r="D14" s="34">
        <f>SUM(D9:D13)</f>
        <v>1685277</v>
      </c>
      <c r="E14" s="34">
        <f>SUM(E9:E13)</f>
        <v>1211434</v>
      </c>
      <c r="F14" s="34">
        <f>SUM(F9:F13)</f>
        <v>0</v>
      </c>
      <c r="G14" s="83">
        <f t="shared" si="1"/>
        <v>4463608</v>
      </c>
      <c r="H14" s="83"/>
      <c r="I14" s="170" t="str">
        <f>IF(G14-'GW Stmt Activities Exh 2'!G26=0,"Yes",G14-'GW Stmt Activities Exh 2'!G26)</f>
        <v>Yes</v>
      </c>
      <c r="J14" s="63">
        <v>20</v>
      </c>
      <c r="K14" s="322" t="str">
        <f t="shared" si="2"/>
        <v xml:space="preserve"> </v>
      </c>
      <c r="L14" s="63"/>
      <c r="M14" s="34">
        <f t="shared" ref="M14:X14" si="3">SUM(M9:M13)</f>
        <v>532622</v>
      </c>
      <c r="N14" s="34">
        <f t="shared" si="3"/>
        <v>629463</v>
      </c>
      <c r="O14" s="34">
        <f t="shared" si="3"/>
        <v>451921</v>
      </c>
      <c r="P14" s="34">
        <f t="shared" si="3"/>
        <v>893380</v>
      </c>
      <c r="Q14" s="34">
        <f t="shared" si="3"/>
        <v>1055814</v>
      </c>
      <c r="R14" s="34">
        <f t="shared" si="3"/>
        <v>758022</v>
      </c>
      <c r="S14" s="34">
        <f t="shared" si="3"/>
        <v>71470</v>
      </c>
      <c r="T14" s="34">
        <f t="shared" si="3"/>
        <v>0</v>
      </c>
      <c r="U14" s="34">
        <f t="shared" si="3"/>
        <v>0</v>
      </c>
      <c r="V14" s="34">
        <f t="shared" si="3"/>
        <v>0</v>
      </c>
      <c r="W14" s="34">
        <f t="shared" si="3"/>
        <v>0</v>
      </c>
      <c r="X14" s="34">
        <f t="shared" si="3"/>
        <v>1491</v>
      </c>
      <c r="Y14" s="20"/>
      <c r="Z14" s="20"/>
      <c r="AA14" s="20"/>
      <c r="AB14" s="20"/>
      <c r="AC14" s="20"/>
      <c r="AD14" s="20"/>
      <c r="AE14" s="20"/>
      <c r="AF14" s="20"/>
      <c r="AG14" s="11"/>
      <c r="AH14" s="11"/>
    </row>
    <row r="15" spans="1:34" ht="21" customHeight="1" x14ac:dyDescent="0.25">
      <c r="A15" s="28" t="s">
        <v>234</v>
      </c>
      <c r="B15" s="33"/>
      <c r="C15" s="33"/>
      <c r="D15" s="33"/>
      <c r="E15" s="33"/>
      <c r="F15" s="33"/>
      <c r="G15" s="47"/>
      <c r="H15" s="20"/>
      <c r="I15" s="20"/>
      <c r="J15" s="63">
        <v>21</v>
      </c>
      <c r="K15" s="322"/>
      <c r="L15" s="63"/>
      <c r="M15" s="33"/>
      <c r="N15" s="33"/>
      <c r="O15" s="33"/>
      <c r="P15" s="33"/>
      <c r="Q15" s="33"/>
      <c r="R15" s="33"/>
      <c r="S15" s="33"/>
      <c r="T15" s="33"/>
      <c r="U15" s="33"/>
      <c r="V15" s="33"/>
      <c r="W15" s="33"/>
      <c r="X15" s="33"/>
      <c r="Y15" s="20"/>
      <c r="Z15" s="20"/>
      <c r="AA15" s="20"/>
      <c r="AB15" s="20"/>
      <c r="AC15" s="20"/>
      <c r="AD15" s="20"/>
      <c r="AE15" s="20"/>
      <c r="AF15" s="20"/>
      <c r="AG15" s="11"/>
      <c r="AH15" s="11"/>
    </row>
    <row r="16" spans="1:34" ht="18" customHeight="1" x14ac:dyDescent="0.25">
      <c r="A16" s="84" t="s">
        <v>280</v>
      </c>
      <c r="B16" s="33"/>
      <c r="C16" s="33"/>
      <c r="D16" s="33"/>
      <c r="E16" s="33"/>
      <c r="F16" s="33"/>
      <c r="G16" s="20"/>
      <c r="H16" s="20"/>
      <c r="I16" s="20"/>
      <c r="J16" s="63">
        <v>18</v>
      </c>
      <c r="K16" s="322"/>
      <c r="L16" s="63"/>
      <c r="M16" s="33"/>
      <c r="N16" s="33"/>
      <c r="O16" s="33"/>
      <c r="P16" s="33"/>
      <c r="Q16" s="33"/>
      <c r="R16" s="33"/>
      <c r="S16" s="33"/>
      <c r="T16" s="33"/>
      <c r="U16" s="33"/>
      <c r="V16" s="33"/>
      <c r="W16" s="33"/>
      <c r="X16" s="33"/>
      <c r="Y16" s="20"/>
      <c r="Z16" s="20"/>
      <c r="AA16" s="20"/>
      <c r="AB16" s="20"/>
      <c r="AC16" s="20"/>
      <c r="AD16" s="20"/>
      <c r="AE16" s="20"/>
      <c r="AF16" s="20"/>
      <c r="AG16" s="11"/>
      <c r="AH16" s="11"/>
    </row>
    <row r="17" spans="1:34" ht="15.75" customHeight="1" x14ac:dyDescent="0.25">
      <c r="A17" s="69" t="s">
        <v>143</v>
      </c>
      <c r="B17" s="33">
        <v>0</v>
      </c>
      <c r="C17" s="32">
        <f>+M17+P17+S17+V17</f>
        <v>1144048</v>
      </c>
      <c r="D17" s="32">
        <f>+N17+Q17+T17+W17</f>
        <v>1270911</v>
      </c>
      <c r="E17" s="32">
        <f t="shared" ref="D17:E20" si="4">+O17+R17+U17+X17</f>
        <v>913006</v>
      </c>
      <c r="F17" s="32">
        <v>0</v>
      </c>
      <c r="G17" s="33">
        <f t="shared" ref="G17:G23" si="5">SUM(B17:F17)</f>
        <v>3327965</v>
      </c>
      <c r="H17" s="33"/>
      <c r="I17" s="33"/>
      <c r="J17" s="63">
        <v>15.75</v>
      </c>
      <c r="K17" s="322" t="str">
        <f t="shared" si="2"/>
        <v xml:space="preserve"> </v>
      </c>
      <c r="L17" s="63"/>
      <c r="M17" s="33">
        <v>356406</v>
      </c>
      <c r="N17" s="33">
        <f>421207-780</f>
        <v>420427</v>
      </c>
      <c r="O17" s="33">
        <v>302403</v>
      </c>
      <c r="P17" s="33">
        <v>719640</v>
      </c>
      <c r="Q17" s="33">
        <v>850484</v>
      </c>
      <c r="R17" s="33">
        <v>610603</v>
      </c>
      <c r="S17" s="33">
        <v>68002</v>
      </c>
      <c r="T17" s="33">
        <v>0</v>
      </c>
      <c r="U17" s="33">
        <v>0</v>
      </c>
      <c r="V17" s="33">
        <v>0</v>
      </c>
      <c r="W17" s="33">
        <v>0</v>
      </c>
      <c r="X17" s="33">
        <v>0</v>
      </c>
      <c r="Y17" s="20"/>
      <c r="Z17" s="20"/>
      <c r="AA17" s="20"/>
      <c r="AB17" s="20"/>
      <c r="AC17" s="20"/>
      <c r="AD17" s="20"/>
      <c r="AE17" s="20"/>
      <c r="AF17" s="20"/>
      <c r="AG17" s="11"/>
      <c r="AH17" s="11"/>
    </row>
    <row r="18" spans="1:34" ht="15.75" customHeight="1" x14ac:dyDescent="0.25">
      <c r="A18" s="69" t="s">
        <v>155</v>
      </c>
      <c r="B18" s="33">
        <v>0</v>
      </c>
      <c r="C18" s="32">
        <f>+M18+P18+S18+V18</f>
        <v>259461</v>
      </c>
      <c r="D18" s="32">
        <f t="shared" si="4"/>
        <v>303829</v>
      </c>
      <c r="E18" s="32">
        <f t="shared" si="4"/>
        <v>220175</v>
      </c>
      <c r="F18" s="32">
        <v>0</v>
      </c>
      <c r="G18" s="33">
        <f t="shared" si="5"/>
        <v>783465</v>
      </c>
      <c r="H18" s="33"/>
      <c r="I18" s="33"/>
      <c r="J18" s="63">
        <v>15.75</v>
      </c>
      <c r="K18" s="322" t="str">
        <f t="shared" si="2"/>
        <v xml:space="preserve"> </v>
      </c>
      <c r="L18" s="63"/>
      <c r="M18" s="33">
        <v>83345</v>
      </c>
      <c r="N18" s="33">
        <v>98499</v>
      </c>
      <c r="O18" s="33">
        <v>70718</v>
      </c>
      <c r="P18" s="33">
        <v>173740</v>
      </c>
      <c r="Q18" s="33">
        <v>205330</v>
      </c>
      <c r="R18" s="33">
        <v>147419</v>
      </c>
      <c r="S18" s="33">
        <v>2376</v>
      </c>
      <c r="T18" s="33">
        <v>0</v>
      </c>
      <c r="U18" s="33">
        <v>0</v>
      </c>
      <c r="V18" s="33">
        <v>0</v>
      </c>
      <c r="W18" s="33">
        <v>0</v>
      </c>
      <c r="X18" s="33">
        <v>2038</v>
      </c>
      <c r="Y18" s="20"/>
      <c r="Z18" s="20"/>
      <c r="AA18" s="20"/>
      <c r="AB18" s="20"/>
      <c r="AC18" s="20"/>
      <c r="AD18" s="20"/>
      <c r="AE18" s="20"/>
      <c r="AF18" s="20"/>
      <c r="AG18" s="11"/>
      <c r="AH18" s="11"/>
    </row>
    <row r="19" spans="1:34" ht="15.75" customHeight="1" x14ac:dyDescent="0.25">
      <c r="A19" s="69" t="s">
        <v>92</v>
      </c>
      <c r="B19" s="33">
        <v>0</v>
      </c>
      <c r="C19" s="32">
        <f>+M19+P19+S19+V19</f>
        <v>1092</v>
      </c>
      <c r="D19" s="32">
        <f t="shared" si="4"/>
        <v>0</v>
      </c>
      <c r="E19" s="32">
        <f t="shared" si="4"/>
        <v>0</v>
      </c>
      <c r="F19" s="32">
        <v>0</v>
      </c>
      <c r="G19" s="33">
        <f t="shared" si="5"/>
        <v>1092</v>
      </c>
      <c r="H19" s="33"/>
      <c r="I19" s="33"/>
      <c r="J19" s="63">
        <v>15.75</v>
      </c>
      <c r="K19" s="322" t="str">
        <f t="shared" si="2"/>
        <v xml:space="preserve"> </v>
      </c>
      <c r="L19" s="63"/>
      <c r="M19" s="33">
        <v>0</v>
      </c>
      <c r="N19" s="33">
        <v>0</v>
      </c>
      <c r="O19" s="33">
        <v>0</v>
      </c>
      <c r="P19" s="33">
        <v>0</v>
      </c>
      <c r="Q19" s="33">
        <v>0</v>
      </c>
      <c r="R19" s="33">
        <v>0</v>
      </c>
      <c r="S19" s="33">
        <v>1092</v>
      </c>
      <c r="T19" s="33">
        <v>0</v>
      </c>
      <c r="U19" s="33">
        <v>0</v>
      </c>
      <c r="V19" s="33">
        <v>0</v>
      </c>
      <c r="W19" s="33">
        <v>0</v>
      </c>
      <c r="X19" s="33">
        <v>0</v>
      </c>
      <c r="Y19" s="20"/>
      <c r="Z19" s="20"/>
      <c r="AA19" s="20"/>
      <c r="AB19" s="20"/>
      <c r="AC19" s="20"/>
      <c r="AD19" s="20"/>
      <c r="AE19" s="20"/>
      <c r="AF19" s="20"/>
      <c r="AG19" s="11"/>
      <c r="AH19" s="11"/>
    </row>
    <row r="20" spans="1:34" ht="18" customHeight="1" x14ac:dyDescent="0.25">
      <c r="A20" s="84" t="s">
        <v>17</v>
      </c>
      <c r="B20" s="71">
        <v>0</v>
      </c>
      <c r="C20" s="32">
        <f>+M20+P20+S20+V20</f>
        <v>247500</v>
      </c>
      <c r="D20" s="32">
        <f t="shared" si="4"/>
        <v>292500</v>
      </c>
      <c r="E20" s="32">
        <f t="shared" si="4"/>
        <v>210000</v>
      </c>
      <c r="F20" s="32">
        <v>0</v>
      </c>
      <c r="G20" s="33">
        <f t="shared" si="5"/>
        <v>750000</v>
      </c>
      <c r="H20" s="33"/>
      <c r="I20" s="333"/>
      <c r="J20" s="63">
        <v>18</v>
      </c>
      <c r="K20" s="322" t="str">
        <f t="shared" si="2"/>
        <v xml:space="preserve"> </v>
      </c>
      <c r="L20" s="63"/>
      <c r="M20" s="71">
        <v>247500</v>
      </c>
      <c r="N20" s="71">
        <v>292500</v>
      </c>
      <c r="O20" s="71">
        <v>210000</v>
      </c>
      <c r="P20" s="71">
        <v>0</v>
      </c>
      <c r="Q20" s="71">
        <v>0</v>
      </c>
      <c r="R20" s="71">
        <v>0</v>
      </c>
      <c r="S20" s="71">
        <v>0</v>
      </c>
      <c r="T20" s="71">
        <v>0</v>
      </c>
      <c r="U20" s="71">
        <v>0</v>
      </c>
      <c r="V20" s="71">
        <v>0</v>
      </c>
      <c r="W20" s="71">
        <v>0</v>
      </c>
      <c r="X20" s="71">
        <v>0</v>
      </c>
      <c r="Y20" s="20"/>
      <c r="Z20" s="20"/>
      <c r="AA20" s="20"/>
      <c r="AB20" s="20"/>
      <c r="AC20" s="20"/>
      <c r="AD20" s="20"/>
      <c r="AE20" s="20"/>
      <c r="AF20" s="20"/>
      <c r="AG20" s="11"/>
      <c r="AH20" s="11"/>
    </row>
    <row r="21" spans="1:34" ht="18" customHeight="1" x14ac:dyDescent="0.25">
      <c r="A21" s="84" t="s">
        <v>281</v>
      </c>
      <c r="B21" s="33"/>
      <c r="C21" s="33"/>
      <c r="D21" s="33"/>
      <c r="E21" s="33"/>
      <c r="F21" s="72"/>
      <c r="G21" s="33"/>
      <c r="H21" s="33"/>
      <c r="I21" s="33"/>
      <c r="J21" s="63">
        <v>18</v>
      </c>
      <c r="K21" s="322"/>
      <c r="L21" s="63"/>
      <c r="M21" s="33"/>
      <c r="N21" s="33"/>
      <c r="O21" s="33"/>
      <c r="P21" s="33"/>
      <c r="Q21" s="33"/>
      <c r="R21" s="33"/>
      <c r="S21" s="33"/>
      <c r="T21" s="33"/>
      <c r="U21" s="33"/>
      <c r="V21" s="33"/>
      <c r="W21" s="33"/>
      <c r="X21" s="33"/>
      <c r="Y21" s="20"/>
      <c r="Z21" s="20"/>
      <c r="AA21" s="20"/>
      <c r="AB21" s="20"/>
      <c r="AC21" s="20"/>
      <c r="AD21" s="20"/>
      <c r="AE21" s="20"/>
      <c r="AF21" s="20"/>
      <c r="AG21" s="11"/>
      <c r="AH21" s="11"/>
    </row>
    <row r="22" spans="1:34" ht="15.75" customHeight="1" x14ac:dyDescent="0.25">
      <c r="A22" s="73" t="s">
        <v>15</v>
      </c>
      <c r="B22" s="31">
        <v>0</v>
      </c>
      <c r="C22" s="32">
        <f t="shared" ref="C22:E23" si="6">+M22+P22+S22+V22</f>
        <v>57090</v>
      </c>
      <c r="D22" s="32">
        <f t="shared" si="6"/>
        <v>67470</v>
      </c>
      <c r="E22" s="32">
        <f t="shared" si="6"/>
        <v>48440</v>
      </c>
      <c r="F22" s="32">
        <v>0</v>
      </c>
      <c r="G22" s="33">
        <f t="shared" si="5"/>
        <v>173000</v>
      </c>
      <c r="H22" s="33"/>
      <c r="I22" s="33"/>
      <c r="J22" s="63">
        <v>15.75</v>
      </c>
      <c r="K22" s="322" t="str">
        <f t="shared" si="2"/>
        <v xml:space="preserve"> </v>
      </c>
      <c r="L22" s="63"/>
      <c r="M22" s="33">
        <v>57090</v>
      </c>
      <c r="N22" s="33">
        <v>67470</v>
      </c>
      <c r="O22" s="33">
        <v>48440</v>
      </c>
      <c r="P22" s="33">
        <v>0</v>
      </c>
      <c r="Q22" s="33">
        <v>0</v>
      </c>
      <c r="R22" s="33">
        <v>0</v>
      </c>
      <c r="S22" s="33">
        <v>0</v>
      </c>
      <c r="T22" s="33">
        <v>0</v>
      </c>
      <c r="U22" s="33">
        <v>0</v>
      </c>
      <c r="V22" s="33">
        <v>0</v>
      </c>
      <c r="W22" s="33">
        <v>0</v>
      </c>
      <c r="X22" s="33">
        <v>0</v>
      </c>
      <c r="Y22" s="20"/>
      <c r="Z22" s="20"/>
      <c r="AA22" s="20"/>
      <c r="AB22" s="20"/>
      <c r="AC22" s="20"/>
      <c r="AD22" s="20"/>
      <c r="AE22" s="20"/>
      <c r="AF22" s="20"/>
      <c r="AG22" s="11"/>
      <c r="AH22" s="11"/>
    </row>
    <row r="23" spans="1:34" ht="17.25" customHeight="1" x14ac:dyDescent="0.35">
      <c r="A23" s="73" t="s">
        <v>16</v>
      </c>
      <c r="B23" s="41">
        <v>0</v>
      </c>
      <c r="C23" s="35">
        <f t="shared" si="6"/>
        <v>79328</v>
      </c>
      <c r="D23" s="35">
        <f t="shared" si="6"/>
        <v>94531</v>
      </c>
      <c r="E23" s="35">
        <f t="shared" si="6"/>
        <v>67308</v>
      </c>
      <c r="F23" s="35">
        <v>0</v>
      </c>
      <c r="G23" s="34">
        <f t="shared" si="5"/>
        <v>241167</v>
      </c>
      <c r="H23" s="34"/>
      <c r="I23" s="34"/>
      <c r="J23" s="63">
        <v>17.25</v>
      </c>
      <c r="K23" s="322" t="str">
        <f t="shared" si="2"/>
        <v xml:space="preserve"> </v>
      </c>
      <c r="L23" s="63"/>
      <c r="M23" s="34">
        <v>79328</v>
      </c>
      <c r="N23" s="34">
        <f>93751+780</f>
        <v>94531</v>
      </c>
      <c r="O23" s="34">
        <v>67308</v>
      </c>
      <c r="P23" s="34">
        <v>0</v>
      </c>
      <c r="Q23" s="34">
        <v>0</v>
      </c>
      <c r="R23" s="34">
        <v>0</v>
      </c>
      <c r="S23" s="34">
        <v>0</v>
      </c>
      <c r="T23" s="34">
        <v>0</v>
      </c>
      <c r="U23" s="34">
        <v>0</v>
      </c>
      <c r="V23" s="34">
        <v>0</v>
      </c>
      <c r="W23" s="34">
        <v>0</v>
      </c>
      <c r="X23" s="34">
        <v>0</v>
      </c>
      <c r="Y23" s="20"/>
      <c r="Z23" s="20"/>
      <c r="AA23" s="20"/>
      <c r="AB23" s="20"/>
      <c r="AC23" s="20"/>
      <c r="AD23" s="20"/>
      <c r="AE23" s="20"/>
      <c r="AF23" s="20"/>
      <c r="AG23" s="11"/>
      <c r="AH23" s="11"/>
    </row>
    <row r="24" spans="1:34" ht="20.100000000000001" customHeight="1" x14ac:dyDescent="0.35">
      <c r="A24" s="73" t="s">
        <v>18</v>
      </c>
      <c r="B24" s="34">
        <f t="shared" ref="B24:G24" si="7">SUM(B17:B23)</f>
        <v>0</v>
      </c>
      <c r="C24" s="34">
        <f t="shared" si="7"/>
        <v>1788519</v>
      </c>
      <c r="D24" s="34">
        <f t="shared" si="7"/>
        <v>2029241</v>
      </c>
      <c r="E24" s="34">
        <f t="shared" si="7"/>
        <v>1458929</v>
      </c>
      <c r="F24" s="34">
        <f t="shared" si="7"/>
        <v>0</v>
      </c>
      <c r="G24" s="34">
        <f t="shared" si="7"/>
        <v>5276689</v>
      </c>
      <c r="H24" s="34"/>
      <c r="I24" s="34"/>
      <c r="J24" s="63">
        <v>20</v>
      </c>
      <c r="K24" s="322" t="str">
        <f t="shared" si="2"/>
        <v xml:space="preserve"> </v>
      </c>
      <c r="L24" s="63"/>
      <c r="M24" s="34">
        <f t="shared" ref="M24:X24" si="8">SUM(M17:M23)</f>
        <v>823669</v>
      </c>
      <c r="N24" s="34">
        <f t="shared" si="8"/>
        <v>973427</v>
      </c>
      <c r="O24" s="34">
        <f t="shared" si="8"/>
        <v>698869</v>
      </c>
      <c r="P24" s="34">
        <f t="shared" si="8"/>
        <v>893380</v>
      </c>
      <c r="Q24" s="34">
        <f t="shared" si="8"/>
        <v>1055814</v>
      </c>
      <c r="R24" s="34">
        <f t="shared" si="8"/>
        <v>758022</v>
      </c>
      <c r="S24" s="34">
        <f t="shared" si="8"/>
        <v>71470</v>
      </c>
      <c r="T24" s="34">
        <f t="shared" si="8"/>
        <v>0</v>
      </c>
      <c r="U24" s="34">
        <f t="shared" si="8"/>
        <v>0</v>
      </c>
      <c r="V24" s="34">
        <f t="shared" si="8"/>
        <v>0</v>
      </c>
      <c r="W24" s="34">
        <f t="shared" si="8"/>
        <v>0</v>
      </c>
      <c r="X24" s="34">
        <f t="shared" si="8"/>
        <v>2038</v>
      </c>
      <c r="Y24" s="20"/>
      <c r="Z24" s="20"/>
      <c r="AA24" s="20"/>
      <c r="AB24" s="20"/>
      <c r="AC24" s="20"/>
      <c r="AD24" s="20"/>
      <c r="AE24" s="20"/>
      <c r="AF24" s="20"/>
      <c r="AG24" s="11"/>
      <c r="AH24" s="11"/>
    </row>
    <row r="25" spans="1:34" ht="35.1" customHeight="1" x14ac:dyDescent="0.35">
      <c r="A25" s="74" t="s">
        <v>190</v>
      </c>
      <c r="B25" s="34">
        <f t="shared" ref="B25:G25" si="9">+B14-B24</f>
        <v>69425</v>
      </c>
      <c r="C25" s="34">
        <f t="shared" si="9"/>
        <v>-291047</v>
      </c>
      <c r="D25" s="34">
        <f t="shared" si="9"/>
        <v>-343964</v>
      </c>
      <c r="E25" s="34">
        <f t="shared" si="9"/>
        <v>-247495</v>
      </c>
      <c r="F25" s="34">
        <f t="shared" si="9"/>
        <v>0</v>
      </c>
      <c r="G25" s="34">
        <f t="shared" si="9"/>
        <v>-813081</v>
      </c>
      <c r="H25" s="34"/>
      <c r="I25" s="34"/>
      <c r="J25" s="63">
        <v>35</v>
      </c>
      <c r="K25" s="322" t="str">
        <f t="shared" si="2"/>
        <v xml:space="preserve"> </v>
      </c>
      <c r="L25" s="63"/>
      <c r="M25" s="34">
        <f t="shared" ref="M25:X25" si="10">+M14-M24</f>
        <v>-291047</v>
      </c>
      <c r="N25" s="34">
        <f t="shared" si="10"/>
        <v>-343964</v>
      </c>
      <c r="O25" s="34">
        <f t="shared" si="10"/>
        <v>-246948</v>
      </c>
      <c r="P25" s="34">
        <f t="shared" si="10"/>
        <v>0</v>
      </c>
      <c r="Q25" s="34">
        <f t="shared" si="10"/>
        <v>0</v>
      </c>
      <c r="R25" s="34">
        <f t="shared" si="10"/>
        <v>0</v>
      </c>
      <c r="S25" s="34">
        <f t="shared" si="10"/>
        <v>0</v>
      </c>
      <c r="T25" s="34">
        <f t="shared" si="10"/>
        <v>0</v>
      </c>
      <c r="U25" s="34">
        <f t="shared" si="10"/>
        <v>0</v>
      </c>
      <c r="V25" s="34">
        <f t="shared" si="10"/>
        <v>0</v>
      </c>
      <c r="W25" s="34">
        <f t="shared" si="10"/>
        <v>0</v>
      </c>
      <c r="X25" s="34">
        <f t="shared" si="10"/>
        <v>-547</v>
      </c>
      <c r="Y25" s="20"/>
      <c r="Z25" s="20"/>
      <c r="AA25" s="20"/>
      <c r="AB25" s="20"/>
      <c r="AC25" s="20"/>
      <c r="AD25" s="20"/>
      <c r="AE25" s="20"/>
      <c r="AF25" s="20"/>
      <c r="AG25" s="11"/>
      <c r="AH25" s="11"/>
    </row>
    <row r="26" spans="1:34" ht="21" customHeight="1" x14ac:dyDescent="0.25">
      <c r="A26" s="28" t="s">
        <v>235</v>
      </c>
      <c r="B26" s="33"/>
      <c r="C26" s="33"/>
      <c r="D26" s="33"/>
      <c r="E26" s="33"/>
      <c r="F26" s="33"/>
      <c r="G26" s="20"/>
      <c r="H26" s="20"/>
      <c r="I26" s="20"/>
      <c r="J26" s="63">
        <v>21</v>
      </c>
      <c r="K26" s="322"/>
      <c r="L26" s="63"/>
      <c r="M26" s="33"/>
      <c r="N26" s="33"/>
      <c r="O26" s="33"/>
      <c r="P26" s="33"/>
      <c r="Q26" s="33"/>
      <c r="R26" s="33"/>
      <c r="S26" s="33"/>
      <c r="T26" s="33"/>
      <c r="U26" s="33"/>
      <c r="V26" s="33"/>
      <c r="W26" s="33"/>
      <c r="X26" s="33"/>
      <c r="Y26" s="20"/>
      <c r="Z26" s="20"/>
      <c r="AA26" s="20"/>
      <c r="AB26" s="20"/>
      <c r="AC26" s="20"/>
      <c r="AD26" s="20"/>
      <c r="AE26" s="20"/>
      <c r="AF26" s="20"/>
      <c r="AG26" s="11"/>
      <c r="AH26" s="11"/>
    </row>
    <row r="27" spans="1:34" ht="15.75" customHeight="1" x14ac:dyDescent="0.25">
      <c r="A27" s="70" t="s">
        <v>83</v>
      </c>
      <c r="B27" s="33">
        <v>0</v>
      </c>
      <c r="C27" s="32">
        <f t="shared" ref="C27:E30" si="11">+M27+P27+S27+V27</f>
        <v>0</v>
      </c>
      <c r="D27" s="32">
        <f t="shared" si="11"/>
        <v>0</v>
      </c>
      <c r="E27" s="32">
        <f t="shared" si="11"/>
        <v>5000</v>
      </c>
      <c r="F27" s="32">
        <v>0</v>
      </c>
      <c r="G27" s="33">
        <f>SUM(B27:F27)</f>
        <v>5000</v>
      </c>
      <c r="H27" s="33"/>
      <c r="I27" s="33"/>
      <c r="J27" s="63">
        <v>15.75</v>
      </c>
      <c r="K27" s="322" t="str">
        <f t="shared" si="2"/>
        <v xml:space="preserve"> </v>
      </c>
      <c r="L27" s="63"/>
      <c r="M27" s="33">
        <v>0</v>
      </c>
      <c r="N27" s="33">
        <v>0</v>
      </c>
      <c r="O27" s="33">
        <v>0</v>
      </c>
      <c r="P27" s="33">
        <v>0</v>
      </c>
      <c r="Q27" s="33">
        <v>0</v>
      </c>
      <c r="R27" s="33">
        <v>0</v>
      </c>
      <c r="S27" s="33">
        <v>0</v>
      </c>
      <c r="T27" s="33">
        <v>0</v>
      </c>
      <c r="U27" s="33">
        <v>0</v>
      </c>
      <c r="V27" s="33">
        <v>0</v>
      </c>
      <c r="W27" s="33">
        <v>0</v>
      </c>
      <c r="X27" s="33">
        <v>5000</v>
      </c>
      <c r="Y27" s="20"/>
      <c r="Z27" s="20"/>
      <c r="AA27" s="20"/>
      <c r="AB27" s="20"/>
      <c r="AC27" s="20"/>
      <c r="AD27" s="20"/>
      <c r="AE27" s="20"/>
      <c r="AF27" s="20"/>
      <c r="AG27" s="11"/>
      <c r="AH27" s="11"/>
    </row>
    <row r="28" spans="1:34" ht="15.75" customHeight="1" x14ac:dyDescent="0.25">
      <c r="A28" s="70" t="s">
        <v>84</v>
      </c>
      <c r="B28" s="33">
        <v>-5000</v>
      </c>
      <c r="C28" s="32">
        <f t="shared" si="11"/>
        <v>0</v>
      </c>
      <c r="D28" s="32">
        <f t="shared" si="11"/>
        <v>0</v>
      </c>
      <c r="E28" s="32">
        <v>0</v>
      </c>
      <c r="F28" s="32">
        <v>0</v>
      </c>
      <c r="G28" s="33">
        <f>SUM(B28:F28)</f>
        <v>-5000</v>
      </c>
      <c r="H28" s="33"/>
      <c r="I28" s="33"/>
      <c r="J28" s="63">
        <v>15.75</v>
      </c>
      <c r="K28" s="322" t="str">
        <f t="shared" si="2"/>
        <v xml:space="preserve"> </v>
      </c>
      <c r="L28" s="63"/>
      <c r="M28" s="33">
        <v>0</v>
      </c>
      <c r="N28" s="33">
        <v>0</v>
      </c>
      <c r="O28" s="33">
        <v>0</v>
      </c>
      <c r="P28" s="33">
        <v>0</v>
      </c>
      <c r="Q28" s="33">
        <v>0</v>
      </c>
      <c r="R28" s="33">
        <v>0</v>
      </c>
      <c r="S28" s="33">
        <v>0</v>
      </c>
      <c r="T28" s="33">
        <v>0</v>
      </c>
      <c r="U28" s="33">
        <v>0</v>
      </c>
      <c r="V28" s="33">
        <v>0</v>
      </c>
      <c r="W28" s="33">
        <v>0</v>
      </c>
      <c r="X28" s="33">
        <v>0</v>
      </c>
      <c r="Y28" s="20"/>
      <c r="Z28" s="20"/>
      <c r="AA28" s="20"/>
      <c r="AB28" s="20"/>
      <c r="AC28" s="20"/>
      <c r="AD28" s="20"/>
      <c r="AE28" s="20"/>
      <c r="AF28" s="20"/>
      <c r="AG28" s="11"/>
      <c r="AH28" s="11"/>
    </row>
    <row r="29" spans="1:34" ht="15.75" customHeight="1" x14ac:dyDescent="0.25">
      <c r="A29" s="48" t="s">
        <v>148</v>
      </c>
      <c r="B29" s="31">
        <v>0</v>
      </c>
      <c r="C29" s="32">
        <f t="shared" si="11"/>
        <v>33000</v>
      </c>
      <c r="D29" s="32">
        <f t="shared" si="11"/>
        <v>39000</v>
      </c>
      <c r="E29" s="32">
        <f t="shared" si="11"/>
        <v>28000</v>
      </c>
      <c r="F29" s="32">
        <v>0</v>
      </c>
      <c r="G29" s="33">
        <f>SUM(B29:F29)</f>
        <v>100000</v>
      </c>
      <c r="H29" s="33"/>
      <c r="I29" s="33"/>
      <c r="J29" s="63">
        <v>15.75</v>
      </c>
      <c r="K29" s="322" t="str">
        <f t="shared" si="2"/>
        <v xml:space="preserve"> </v>
      </c>
      <c r="L29" s="63"/>
      <c r="M29" s="33">
        <v>33000</v>
      </c>
      <c r="N29" s="33">
        <v>39000</v>
      </c>
      <c r="O29" s="33">
        <v>28000</v>
      </c>
      <c r="P29" s="33">
        <v>0</v>
      </c>
      <c r="Q29" s="33">
        <v>0</v>
      </c>
      <c r="R29" s="33">
        <v>0</v>
      </c>
      <c r="S29" s="33">
        <v>0</v>
      </c>
      <c r="T29" s="33">
        <v>0</v>
      </c>
      <c r="U29" s="33">
        <v>0</v>
      </c>
      <c r="V29" s="33">
        <v>0</v>
      </c>
      <c r="W29" s="33">
        <v>0</v>
      </c>
      <c r="X29" s="33">
        <v>0</v>
      </c>
      <c r="Y29" s="20"/>
      <c r="Z29" s="20"/>
      <c r="AA29" s="20"/>
      <c r="AB29" s="20"/>
      <c r="AC29" s="20"/>
      <c r="AD29" s="20"/>
      <c r="AE29" s="20"/>
      <c r="AF29" s="20"/>
      <c r="AG29" s="11"/>
      <c r="AH29" s="11"/>
    </row>
    <row r="30" spans="1:34" s="7" customFormat="1" ht="17.25" customHeight="1" x14ac:dyDescent="0.35">
      <c r="A30" s="48" t="s">
        <v>124</v>
      </c>
      <c r="B30" s="41">
        <v>0</v>
      </c>
      <c r="C30" s="35">
        <f t="shared" si="11"/>
        <v>214500</v>
      </c>
      <c r="D30" s="35">
        <f t="shared" si="11"/>
        <v>253500</v>
      </c>
      <c r="E30" s="35">
        <f t="shared" si="11"/>
        <v>182000</v>
      </c>
      <c r="F30" s="35">
        <v>0</v>
      </c>
      <c r="G30" s="34">
        <f>SUM(B30:F30)</f>
        <v>650000</v>
      </c>
      <c r="H30" s="34"/>
      <c r="I30" s="34"/>
      <c r="J30" s="63">
        <v>17.25</v>
      </c>
      <c r="K30" s="322" t="str">
        <f t="shared" si="2"/>
        <v xml:space="preserve"> </v>
      </c>
      <c r="L30" s="63"/>
      <c r="M30" s="41">
        <v>214500</v>
      </c>
      <c r="N30" s="41">
        <v>253500</v>
      </c>
      <c r="O30" s="41">
        <v>182000</v>
      </c>
      <c r="P30" s="41">
        <v>0</v>
      </c>
      <c r="Q30" s="41">
        <v>0</v>
      </c>
      <c r="R30" s="41">
        <v>0</v>
      </c>
      <c r="S30" s="41">
        <v>0</v>
      </c>
      <c r="T30" s="41">
        <v>0</v>
      </c>
      <c r="U30" s="41">
        <v>0</v>
      </c>
      <c r="V30" s="41">
        <v>0</v>
      </c>
      <c r="W30" s="41">
        <v>0</v>
      </c>
      <c r="X30" s="41">
        <v>0</v>
      </c>
      <c r="Y30" s="30"/>
      <c r="Z30" s="30"/>
      <c r="AA30" s="30"/>
      <c r="AB30" s="30"/>
      <c r="AC30" s="30"/>
      <c r="AD30" s="30"/>
      <c r="AE30" s="30"/>
      <c r="AF30" s="30"/>
      <c r="AG30" s="10"/>
      <c r="AH30" s="10"/>
    </row>
    <row r="31" spans="1:34" ht="20.100000000000001" customHeight="1" x14ac:dyDescent="0.35">
      <c r="A31" s="69" t="s">
        <v>222</v>
      </c>
      <c r="B31" s="34">
        <f>SUM(B27:B30)</f>
        <v>-5000</v>
      </c>
      <c r="C31" s="34">
        <f>SUM(C27:C30)</f>
        <v>247500</v>
      </c>
      <c r="D31" s="34">
        <f>SUM(D27:D30)</f>
        <v>292500</v>
      </c>
      <c r="E31" s="34">
        <f>SUM(E27:E30)</f>
        <v>215000</v>
      </c>
      <c r="F31" s="34">
        <f>SUM(F26:F30)</f>
        <v>0</v>
      </c>
      <c r="G31" s="34">
        <f>SUM(G26:G30)</f>
        <v>750000</v>
      </c>
      <c r="H31" s="34"/>
      <c r="I31" s="34"/>
      <c r="J31" s="63">
        <v>20</v>
      </c>
      <c r="K31" s="322" t="str">
        <f t="shared" si="2"/>
        <v xml:space="preserve"> </v>
      </c>
      <c r="L31" s="63"/>
      <c r="M31" s="34">
        <f t="shared" ref="M31:X31" si="12">SUM(M27:M30)</f>
        <v>247500</v>
      </c>
      <c r="N31" s="34">
        <f t="shared" si="12"/>
        <v>292500</v>
      </c>
      <c r="O31" s="34">
        <f t="shared" si="12"/>
        <v>210000</v>
      </c>
      <c r="P31" s="34">
        <f t="shared" si="12"/>
        <v>0</v>
      </c>
      <c r="Q31" s="34">
        <f t="shared" si="12"/>
        <v>0</v>
      </c>
      <c r="R31" s="34">
        <f t="shared" si="12"/>
        <v>0</v>
      </c>
      <c r="S31" s="34">
        <f t="shared" si="12"/>
        <v>0</v>
      </c>
      <c r="T31" s="34">
        <f t="shared" si="12"/>
        <v>0</v>
      </c>
      <c r="U31" s="34">
        <f t="shared" si="12"/>
        <v>0</v>
      </c>
      <c r="V31" s="34">
        <f t="shared" si="12"/>
        <v>0</v>
      </c>
      <c r="W31" s="34">
        <f t="shared" si="12"/>
        <v>0</v>
      </c>
      <c r="X31" s="34">
        <f t="shared" si="12"/>
        <v>5000</v>
      </c>
      <c r="Y31" s="20"/>
      <c r="Z31" s="20"/>
      <c r="AA31" s="20"/>
      <c r="AB31" s="20"/>
      <c r="AC31" s="20"/>
      <c r="AD31" s="20"/>
      <c r="AE31" s="20"/>
      <c r="AF31" s="20"/>
      <c r="AG31" s="11"/>
      <c r="AH31" s="11"/>
    </row>
    <row r="32" spans="1:34" ht="21.95" customHeight="1" x14ac:dyDescent="0.25">
      <c r="A32" s="234" t="s">
        <v>195</v>
      </c>
      <c r="B32" s="76">
        <f t="shared" ref="B32:G32" si="13">+B25+B31</f>
        <v>64425</v>
      </c>
      <c r="C32" s="76">
        <f t="shared" si="13"/>
        <v>-43547</v>
      </c>
      <c r="D32" s="76">
        <f t="shared" si="13"/>
        <v>-51464</v>
      </c>
      <c r="E32" s="76">
        <f t="shared" si="13"/>
        <v>-32495</v>
      </c>
      <c r="F32" s="76">
        <f t="shared" si="13"/>
        <v>0</v>
      </c>
      <c r="G32" s="76">
        <f t="shared" si="13"/>
        <v>-63081</v>
      </c>
      <c r="H32" s="76"/>
      <c r="I32" s="76"/>
      <c r="J32" s="63">
        <v>22</v>
      </c>
      <c r="K32" s="322" t="str">
        <f t="shared" si="2"/>
        <v xml:space="preserve"> </v>
      </c>
      <c r="L32" s="63"/>
      <c r="M32" s="76">
        <f t="shared" ref="M32:X32" si="14">+M25+M31</f>
        <v>-43547</v>
      </c>
      <c r="N32" s="76">
        <f t="shared" si="14"/>
        <v>-51464</v>
      </c>
      <c r="O32" s="76">
        <f t="shared" si="14"/>
        <v>-36948</v>
      </c>
      <c r="P32" s="76">
        <f t="shared" si="14"/>
        <v>0</v>
      </c>
      <c r="Q32" s="76">
        <f t="shared" si="14"/>
        <v>0</v>
      </c>
      <c r="R32" s="76">
        <f t="shared" si="14"/>
        <v>0</v>
      </c>
      <c r="S32" s="76">
        <f t="shared" si="14"/>
        <v>0</v>
      </c>
      <c r="T32" s="76">
        <f t="shared" si="14"/>
        <v>0</v>
      </c>
      <c r="U32" s="76">
        <f t="shared" si="14"/>
        <v>0</v>
      </c>
      <c r="V32" s="76">
        <f t="shared" si="14"/>
        <v>0</v>
      </c>
      <c r="W32" s="76">
        <f t="shared" si="14"/>
        <v>0</v>
      </c>
      <c r="X32" s="76">
        <f t="shared" si="14"/>
        <v>4453</v>
      </c>
      <c r="Y32" s="20"/>
      <c r="Z32" s="20"/>
      <c r="AA32" s="20"/>
      <c r="AB32" s="20"/>
      <c r="AC32" s="20"/>
      <c r="AD32" s="20"/>
      <c r="AE32" s="20"/>
      <c r="AF32" s="20"/>
      <c r="AG32" s="11"/>
      <c r="AH32" s="11"/>
    </row>
    <row r="33" spans="1:34" s="4" customFormat="1" ht="20.100000000000001" customHeight="1" x14ac:dyDescent="0.35">
      <c r="A33" s="77" t="s">
        <v>191</v>
      </c>
      <c r="B33" s="34">
        <f>396175-43684</f>
        <v>352491</v>
      </c>
      <c r="C33" s="35">
        <f>+M33+P33+S33+V33</f>
        <v>150817</v>
      </c>
      <c r="D33" s="35">
        <f>+N33+Q33+T33+W33</f>
        <v>178238</v>
      </c>
      <c r="E33" s="35">
        <f>+O33+R33+U33+X33</f>
        <v>128527</v>
      </c>
      <c r="F33" s="35">
        <v>0</v>
      </c>
      <c r="G33" s="34">
        <f>SUM(B33:F33)</f>
        <v>810073</v>
      </c>
      <c r="H33" s="34"/>
      <c r="I33" s="34"/>
      <c r="J33" s="63">
        <v>20</v>
      </c>
      <c r="K33" s="322" t="str">
        <f t="shared" si="2"/>
        <v xml:space="preserve"> </v>
      </c>
      <c r="L33" s="63"/>
      <c r="M33" s="34">
        <v>150817</v>
      </c>
      <c r="N33" s="34">
        <v>178238</v>
      </c>
      <c r="O33" s="34">
        <v>127965</v>
      </c>
      <c r="P33" s="34">
        <v>0</v>
      </c>
      <c r="Q33" s="34">
        <v>0</v>
      </c>
      <c r="R33" s="34">
        <v>0</v>
      </c>
      <c r="S33" s="34">
        <v>0</v>
      </c>
      <c r="T33" s="34">
        <v>0</v>
      </c>
      <c r="U33" s="34">
        <v>0</v>
      </c>
      <c r="V33" s="34">
        <v>0</v>
      </c>
      <c r="W33" s="34">
        <v>0</v>
      </c>
      <c r="X33" s="34">
        <v>562</v>
      </c>
      <c r="Y33" s="20"/>
      <c r="Z33" s="20"/>
      <c r="AA33" s="20"/>
      <c r="AB33" s="20"/>
      <c r="AC33" s="20"/>
      <c r="AD33" s="20"/>
      <c r="AE33" s="20"/>
      <c r="AF33" s="20"/>
      <c r="AG33" s="11"/>
      <c r="AH33" s="11"/>
    </row>
    <row r="34" spans="1:34" s="4" customFormat="1" ht="21.95" customHeight="1" x14ac:dyDescent="0.35">
      <c r="A34" s="20" t="s">
        <v>194</v>
      </c>
      <c r="B34" s="37">
        <f t="shared" ref="B34:G34" si="15">+B32+B33</f>
        <v>416916</v>
      </c>
      <c r="C34" s="37">
        <f t="shared" si="15"/>
        <v>107270</v>
      </c>
      <c r="D34" s="37">
        <f t="shared" si="15"/>
        <v>126774</v>
      </c>
      <c r="E34" s="37">
        <f t="shared" si="15"/>
        <v>96032</v>
      </c>
      <c r="F34" s="37">
        <f t="shared" si="15"/>
        <v>0</v>
      </c>
      <c r="G34" s="37">
        <f t="shared" si="15"/>
        <v>746992</v>
      </c>
      <c r="H34" s="37"/>
      <c r="I34" s="37"/>
      <c r="J34" s="63">
        <v>22</v>
      </c>
      <c r="K34" s="322" t="str">
        <f t="shared" si="2"/>
        <v xml:space="preserve"> </v>
      </c>
      <c r="L34" s="63"/>
      <c r="M34" s="37">
        <f t="shared" ref="M34:X34" si="16">+M32+M33</f>
        <v>107270</v>
      </c>
      <c r="N34" s="37">
        <f t="shared" si="16"/>
        <v>126774</v>
      </c>
      <c r="O34" s="37">
        <f t="shared" si="16"/>
        <v>91017</v>
      </c>
      <c r="P34" s="37">
        <f t="shared" si="16"/>
        <v>0</v>
      </c>
      <c r="Q34" s="37">
        <f t="shared" si="16"/>
        <v>0</v>
      </c>
      <c r="R34" s="37">
        <f t="shared" si="16"/>
        <v>0</v>
      </c>
      <c r="S34" s="37">
        <f t="shared" si="16"/>
        <v>0</v>
      </c>
      <c r="T34" s="37">
        <f t="shared" si="16"/>
        <v>0</v>
      </c>
      <c r="U34" s="37">
        <f t="shared" si="16"/>
        <v>0</v>
      </c>
      <c r="V34" s="37">
        <f t="shared" si="16"/>
        <v>0</v>
      </c>
      <c r="W34" s="37">
        <f t="shared" si="16"/>
        <v>0</v>
      </c>
      <c r="X34" s="37">
        <f t="shared" si="16"/>
        <v>5015</v>
      </c>
      <c r="Y34" s="20"/>
      <c r="Z34" s="20"/>
      <c r="AA34" s="20"/>
      <c r="AB34" s="20"/>
      <c r="AC34" s="20"/>
      <c r="AD34" s="20"/>
      <c r="AE34" s="20"/>
      <c r="AF34" s="20"/>
      <c r="AG34" s="11"/>
      <c r="AH34" s="11"/>
    </row>
    <row r="35" spans="1:34" ht="15.75" x14ac:dyDescent="0.25">
      <c r="A35" s="20"/>
      <c r="B35" s="20"/>
      <c r="C35" s="20"/>
      <c r="D35" s="20"/>
      <c r="E35" s="20"/>
      <c r="F35" s="20"/>
      <c r="G35" s="20"/>
      <c r="H35" s="20"/>
      <c r="I35" s="20"/>
      <c r="J35" s="63"/>
      <c r="K35" s="322"/>
      <c r="L35" s="63"/>
      <c r="M35" s="20"/>
      <c r="N35" s="20"/>
      <c r="O35" s="20"/>
      <c r="P35" s="20"/>
      <c r="Q35" s="20"/>
      <c r="R35" s="20"/>
      <c r="S35" s="20"/>
      <c r="T35" s="20"/>
      <c r="U35" s="20"/>
      <c r="V35" s="20"/>
      <c r="W35" s="20"/>
      <c r="X35" s="20"/>
      <c r="Y35" s="20"/>
      <c r="Z35" s="20"/>
      <c r="AA35" s="20"/>
      <c r="AB35" s="20"/>
      <c r="AC35" s="20"/>
      <c r="AD35" s="20"/>
      <c r="AE35" s="20"/>
      <c r="AF35" s="20"/>
      <c r="AG35" s="11"/>
      <c r="AH35" s="11"/>
    </row>
    <row r="36" spans="1:34" ht="15.75" x14ac:dyDescent="0.25">
      <c r="A36" s="20"/>
      <c r="B36" s="20"/>
      <c r="C36" s="20"/>
      <c r="D36" s="20"/>
      <c r="E36" s="20"/>
      <c r="F36" s="20"/>
      <c r="G36" s="20"/>
      <c r="H36" s="20"/>
      <c r="I36" s="20"/>
      <c r="J36" s="63"/>
      <c r="K36" s="63"/>
      <c r="L36" s="63"/>
      <c r="M36" s="20"/>
      <c r="N36" s="20"/>
      <c r="O36" s="20"/>
      <c r="P36" s="20"/>
      <c r="Q36" s="20"/>
      <c r="R36" s="20"/>
      <c r="S36" s="20"/>
      <c r="T36" s="20"/>
      <c r="U36" s="20"/>
      <c r="V36" s="20"/>
      <c r="W36" s="20"/>
      <c r="X36" s="20"/>
      <c r="Y36" s="20"/>
      <c r="Z36" s="20"/>
      <c r="AA36" s="20"/>
      <c r="AB36" s="20"/>
      <c r="AC36" s="20"/>
      <c r="AD36" s="20"/>
      <c r="AE36" s="20"/>
      <c r="AF36" s="20"/>
      <c r="AG36" s="11"/>
      <c r="AH36" s="11"/>
    </row>
    <row r="37" spans="1:34" ht="15.75" x14ac:dyDescent="0.25">
      <c r="A37" s="78" t="s">
        <v>180</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11"/>
      <c r="AH37" s="11"/>
    </row>
    <row r="38" spans="1:34" ht="15.75"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11"/>
      <c r="AH38" s="11"/>
    </row>
    <row r="39" spans="1:34" ht="15.75" x14ac:dyDescent="0.25">
      <c r="A39" s="20"/>
      <c r="B39" s="20"/>
      <c r="C39" s="20"/>
      <c r="D39" s="20"/>
      <c r="E39" s="20"/>
      <c r="F39" s="62"/>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11"/>
      <c r="AH39" s="11"/>
    </row>
    <row r="40" spans="1:34" ht="15.75" x14ac:dyDescent="0.25">
      <c r="H40" s="63"/>
      <c r="I40" s="63"/>
      <c r="J40" s="20"/>
      <c r="K40" s="20"/>
      <c r="L40" s="20"/>
      <c r="M40" s="20"/>
      <c r="N40" s="20"/>
      <c r="O40" s="20"/>
      <c r="P40" s="20"/>
      <c r="Q40" s="20"/>
      <c r="R40" s="20"/>
      <c r="S40" s="20"/>
      <c r="T40" s="20"/>
      <c r="U40" s="20"/>
      <c r="V40" s="20"/>
      <c r="W40" s="20"/>
      <c r="X40" s="20"/>
      <c r="Y40" s="20"/>
      <c r="Z40" s="20"/>
      <c r="AA40" s="20"/>
      <c r="AB40" s="20"/>
      <c r="AC40" s="20"/>
      <c r="AD40" s="20"/>
      <c r="AE40" s="20"/>
      <c r="AF40" s="20"/>
      <c r="AG40" s="11"/>
      <c r="AH40" s="11"/>
    </row>
    <row r="41" spans="1:34" ht="15.75"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11"/>
      <c r="AH41" s="11"/>
    </row>
    <row r="42" spans="1:34" ht="15.75"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11"/>
      <c r="AH42" s="11"/>
    </row>
    <row r="43" spans="1:34" ht="15.75" hidden="1" x14ac:dyDescent="0.25">
      <c r="A43" s="63">
        <v>42</v>
      </c>
      <c r="B43" s="63">
        <v>14</v>
      </c>
      <c r="C43" s="63">
        <v>14</v>
      </c>
      <c r="D43" s="63">
        <v>14</v>
      </c>
      <c r="E43" s="63">
        <v>14</v>
      </c>
      <c r="F43" s="63">
        <v>14</v>
      </c>
      <c r="G43" s="63">
        <v>14</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11"/>
      <c r="AH43" s="11"/>
    </row>
    <row r="44" spans="1:34" ht="45.75" x14ac:dyDescent="0.25">
      <c r="A44" s="79" t="s">
        <v>187</v>
      </c>
      <c r="B44" s="135" t="str">
        <f>IF(B34-'Govt Funds Bal Sh Exh 3'!B30=0,"Yes",B34-'Govt Funds Bal Sh Exh 3'!B30)</f>
        <v>Yes</v>
      </c>
      <c r="C44" s="135" t="str">
        <f>IF(C34-'Govt Funds Bal Sh Exh 3'!C30=0,"Yes",C34-'Govt Funds Bal Sh Exh 3'!C30)</f>
        <v>Yes</v>
      </c>
      <c r="D44" s="135" t="str">
        <f>IF(D34-'Govt Funds Bal Sh Exh 3'!D30=0,"Yes",D34-'Govt Funds Bal Sh Exh 3'!D30)</f>
        <v>Yes</v>
      </c>
      <c r="E44" s="135" t="str">
        <f>IF(E34-'Govt Funds Bal Sh Exh 3'!E30=0,"Yes",E34-'Govt Funds Bal Sh Exh 3'!E30)</f>
        <v>Yes</v>
      </c>
      <c r="F44" s="135" t="str">
        <f>IF(F34-'Govt Funds Bal Sh Exh 3'!F30=0,"Yes",F34-'Govt Funds Bal Sh Exh 3'!F30)</f>
        <v>Yes</v>
      </c>
      <c r="G44" s="135" t="str">
        <f>IF(G34-'Govt Funds Bal Sh Exh 3'!G30=0,"Yes",G34-'Govt Funds Bal Sh Exh 3'!G30)</f>
        <v>Yes</v>
      </c>
      <c r="H44" s="135"/>
      <c r="I44" s="135"/>
      <c r="J44" s="137"/>
      <c r="K44" s="137"/>
      <c r="L44" s="137"/>
      <c r="M44" s="134" t="str">
        <f>IF(M34-'Govt Funds Bal Sh Exh 3'!M30=0,"Yes",M34-'Govt Funds Bal Sh Exh 3'!M30)</f>
        <v>Yes</v>
      </c>
      <c r="N44" s="134" t="str">
        <f>IF(N34-'Govt Funds Bal Sh Exh 3'!N30=0,"Yes",N34-'Govt Funds Bal Sh Exh 3'!N30)</f>
        <v>Yes</v>
      </c>
      <c r="O44" s="134" t="str">
        <f>IF(O34-'Govt Funds Bal Sh Exh 3'!O30=0,"Yes",O34-'Govt Funds Bal Sh Exh 3'!O30)</f>
        <v>Yes</v>
      </c>
      <c r="P44" s="134" t="str">
        <f>IF(P34-'Govt Funds Bal Sh Exh 3'!P30=0,"Yes",P34-'Govt Funds Bal Sh Exh 3'!P30)</f>
        <v>Yes</v>
      </c>
      <c r="Q44" s="134" t="str">
        <f>IF(Q34-'Govt Funds Bal Sh Exh 3'!Q30=0,"Yes",Q34-'Govt Funds Bal Sh Exh 3'!Q30)</f>
        <v>Yes</v>
      </c>
      <c r="R44" s="134" t="str">
        <f>IF(R34-'Govt Funds Bal Sh Exh 3'!R30=0,"Yes",R34-'Govt Funds Bal Sh Exh 3'!R30)</f>
        <v>Yes</v>
      </c>
      <c r="S44" s="134" t="str">
        <f>IF(S34-'Govt Funds Bal Sh Exh 3'!S30=0,"Yes",S34-'Govt Funds Bal Sh Exh 3'!S30)</f>
        <v>Yes</v>
      </c>
      <c r="T44" s="134" t="str">
        <f>IF(T34-'Govt Funds Bal Sh Exh 3'!T30=0,"Yes",T34-'Govt Funds Bal Sh Exh 3'!T30)</f>
        <v>Yes</v>
      </c>
      <c r="U44" s="134" t="str">
        <f>IF(U34-'Govt Funds Bal Sh Exh 3'!U30=0,"Yes",U34-'Govt Funds Bal Sh Exh 3'!U30)</f>
        <v>Yes</v>
      </c>
      <c r="V44" s="134" t="str">
        <f>IF(V34-'Govt Funds Bal Sh Exh 3'!V30=0,"Yes",V34-'Govt Funds Bal Sh Exh 3'!V30)</f>
        <v>Yes</v>
      </c>
      <c r="W44" s="134" t="str">
        <f>IF(W34-'Govt Funds Bal Sh Exh 3'!W30=0,"Yes",W34-'Govt Funds Bal Sh Exh 3'!W30)</f>
        <v>Yes</v>
      </c>
      <c r="X44" s="134" t="str">
        <f>IF(X34-'Govt Funds Bal Sh Exh 3'!X30=0,"Yes",X34-'Govt Funds Bal Sh Exh 3'!X30)</f>
        <v>Yes</v>
      </c>
      <c r="Y44" s="47"/>
      <c r="Z44" s="20"/>
      <c r="AA44" s="20"/>
      <c r="AB44" s="20"/>
      <c r="AC44" s="20"/>
      <c r="AD44" s="20"/>
      <c r="AE44" s="20"/>
      <c r="AF44" s="20"/>
      <c r="AG44" s="11"/>
      <c r="AH44" s="11"/>
    </row>
    <row r="45" spans="1:34" ht="15.75" x14ac:dyDescent="0.25">
      <c r="A45" s="80"/>
      <c r="B45" s="81"/>
      <c r="C45" s="81"/>
      <c r="D45" s="81"/>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11"/>
      <c r="AH45" s="11"/>
    </row>
    <row r="46" spans="1:34" ht="15.75"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11"/>
      <c r="AH46" s="11"/>
    </row>
    <row r="47" spans="1:34" ht="15.75" x14ac:dyDescent="0.25">
      <c r="A47" s="20" t="s">
        <v>333</v>
      </c>
      <c r="B47" s="82">
        <f t="shared" ref="B47:G47" si="17">IF(OR(B33&lt;=0,B34&lt;=0),"na   ",IF((B34/B33)-1&gt;3,"nm   ",(B34/B33)-1))</f>
        <v>0.18277062393082377</v>
      </c>
      <c r="C47" s="82">
        <f t="shared" si="17"/>
        <v>-0.28874065920950553</v>
      </c>
      <c r="D47" s="82">
        <f t="shared" si="17"/>
        <v>-0.28873753071735542</v>
      </c>
      <c r="E47" s="82">
        <f t="shared" si="17"/>
        <v>-0.25282625440568907</v>
      </c>
      <c r="F47" s="171" t="str">
        <f t="shared" si="17"/>
        <v xml:space="preserve">na   </v>
      </c>
      <c r="G47" s="82">
        <f t="shared" si="17"/>
        <v>-7.7870759795722111E-2</v>
      </c>
      <c r="H47" s="82"/>
      <c r="I47" s="82"/>
      <c r="J47" s="20"/>
      <c r="K47" s="20"/>
      <c r="L47" s="20"/>
      <c r="M47" s="20"/>
      <c r="N47" s="20"/>
      <c r="O47" s="20"/>
      <c r="P47" s="20"/>
      <c r="Q47" s="20"/>
      <c r="R47" s="20"/>
      <c r="S47" s="20"/>
      <c r="T47" s="20"/>
      <c r="U47" s="20"/>
      <c r="V47" s="20"/>
      <c r="W47" s="20"/>
      <c r="X47" s="20"/>
      <c r="Y47" s="20"/>
      <c r="Z47" s="20"/>
      <c r="AA47" s="20"/>
      <c r="AB47" s="20"/>
      <c r="AC47" s="20"/>
      <c r="AD47" s="20"/>
      <c r="AE47" s="20"/>
      <c r="AF47" s="20"/>
      <c r="AG47" s="11"/>
      <c r="AH47" s="11"/>
    </row>
    <row r="48" spans="1:34" ht="15.75"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11"/>
      <c r="AH48" s="11"/>
    </row>
    <row r="49" spans="1:34" ht="15.7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11"/>
      <c r="AH49" s="11"/>
    </row>
    <row r="50" spans="1:34" ht="15.7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11"/>
      <c r="AH50" s="11"/>
    </row>
    <row r="51" spans="1:34" ht="15.75"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11"/>
      <c r="AH51" s="11"/>
    </row>
    <row r="52" spans="1:34" ht="15.7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11"/>
      <c r="AH52" s="11"/>
    </row>
    <row r="53" spans="1:34" ht="15.7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11"/>
      <c r="AH53" s="11"/>
    </row>
    <row r="54" spans="1:34" ht="15.75"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11"/>
      <c r="AH54" s="11"/>
    </row>
    <row r="55" spans="1:34" ht="15.75"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11"/>
      <c r="AH55" s="11"/>
    </row>
    <row r="56" spans="1:34" ht="15.75"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11"/>
      <c r="AH56" s="11"/>
    </row>
    <row r="57" spans="1:34" ht="15.75"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11"/>
      <c r="AH57" s="11"/>
    </row>
    <row r="58" spans="1:34" ht="15.75"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11"/>
      <c r="AH58" s="11"/>
    </row>
    <row r="59" spans="1:34" ht="15.75"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11"/>
      <c r="AH59" s="11"/>
    </row>
    <row r="60" spans="1:34" ht="15.75"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11"/>
      <c r="AH60" s="11"/>
    </row>
    <row r="61" spans="1:34" ht="15.75"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11"/>
      <c r="AH61" s="11"/>
    </row>
    <row r="62" spans="1:34" ht="15.75"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11"/>
      <c r="AH62" s="11"/>
    </row>
    <row r="63" spans="1:34" ht="15.75"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11"/>
      <c r="AH63" s="11"/>
    </row>
    <row r="64" spans="1:34" ht="15.75"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11"/>
      <c r="AH64" s="11"/>
    </row>
    <row r="65" spans="1:34" ht="15.75"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11"/>
      <c r="AH65" s="11"/>
    </row>
    <row r="66" spans="1:34" ht="15.75"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11"/>
      <c r="AH66" s="11"/>
    </row>
    <row r="67" spans="1:34" ht="15.75"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11"/>
      <c r="AH67" s="11"/>
    </row>
    <row r="68" spans="1:34" ht="15.75"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11"/>
      <c r="AH68" s="11"/>
    </row>
    <row r="69" spans="1:34" ht="15.75"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11"/>
      <c r="AH69" s="11"/>
    </row>
    <row r="70" spans="1:34" ht="15.75"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11"/>
      <c r="AH70" s="11"/>
    </row>
    <row r="71" spans="1:34" ht="15.75"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11"/>
      <c r="AH71" s="11"/>
    </row>
    <row r="72" spans="1:34" ht="15.75"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11"/>
      <c r="AH72" s="11"/>
    </row>
    <row r="73" spans="1:34" ht="15.75"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11"/>
      <c r="AH73" s="11"/>
    </row>
    <row r="74" spans="1:34" ht="15.75"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11"/>
      <c r="AH74" s="11"/>
    </row>
    <row r="75" spans="1:34" ht="15.75"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11"/>
      <c r="AH75" s="11"/>
    </row>
    <row r="76" spans="1:34" ht="15.75"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11"/>
      <c r="AH76" s="11"/>
    </row>
    <row r="77" spans="1:34" ht="15.75"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11"/>
      <c r="AH77" s="11"/>
    </row>
    <row r="78" spans="1:34" ht="15.75"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11"/>
      <c r="AH78" s="11"/>
    </row>
    <row r="79" spans="1:34" ht="15.75"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11"/>
      <c r="AH79" s="11"/>
    </row>
    <row r="80" spans="1:34" ht="15.75"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11"/>
      <c r="AH80" s="11"/>
    </row>
    <row r="81" spans="1:34" ht="15.75"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11"/>
      <c r="AH81" s="11"/>
    </row>
    <row r="82" spans="1:34" ht="15.75"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11"/>
      <c r="AH82" s="11"/>
    </row>
    <row r="83" spans="1:34" ht="15.75"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11"/>
      <c r="AH83" s="11"/>
    </row>
    <row r="84" spans="1:34" ht="15.75"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11"/>
      <c r="AH84" s="11"/>
    </row>
    <row r="85" spans="1:34" ht="15.75"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11"/>
      <c r="AH85" s="11"/>
    </row>
    <row r="86" spans="1:34" ht="15.75"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11"/>
      <c r="AH86" s="11"/>
    </row>
    <row r="87" spans="1:34" ht="15.75"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11"/>
      <c r="AH87" s="11"/>
    </row>
    <row r="88" spans="1:34" ht="15.75"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11"/>
      <c r="AH88" s="11"/>
    </row>
    <row r="89" spans="1:34" ht="15.75"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11"/>
      <c r="AH89" s="11"/>
    </row>
    <row r="90" spans="1:34" ht="15.75"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11"/>
      <c r="AH90" s="11"/>
    </row>
    <row r="91" spans="1:34" ht="15.75"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11"/>
      <c r="AH91" s="11"/>
    </row>
    <row r="92" spans="1:34" ht="15.75"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11"/>
      <c r="AH92" s="11"/>
    </row>
    <row r="93" spans="1:34" ht="15.75"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11"/>
      <c r="AH93" s="11"/>
    </row>
    <row r="94" spans="1:34" ht="15.75"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11"/>
      <c r="AH94" s="11"/>
    </row>
    <row r="95" spans="1:34" ht="15.7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spans="1:34" ht="15.7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row>
  </sheetData>
  <mergeCells count="17">
    <mergeCell ref="S2:U3"/>
    <mergeCell ref="V2:X3"/>
    <mergeCell ref="G5:G7"/>
    <mergeCell ref="M4:X4"/>
    <mergeCell ref="B6:B7"/>
    <mergeCell ref="C6:E6"/>
    <mergeCell ref="M6:O6"/>
    <mergeCell ref="P6:R6"/>
    <mergeCell ref="S6:U6"/>
    <mergeCell ref="V6:X6"/>
    <mergeCell ref="I6:I7"/>
    <mergeCell ref="A1:F1"/>
    <mergeCell ref="A2:F2"/>
    <mergeCell ref="A3:F3"/>
    <mergeCell ref="A4:F4"/>
    <mergeCell ref="F6:F7"/>
    <mergeCell ref="B5:E5"/>
  </mergeCells>
  <conditionalFormatting sqref="B44:G44 M44:X44 I9:I14">
    <cfRule type="cellIs" dxfId="92" priority="1" stopIfTrue="1" operator="notEqual">
      <formula>"Yes"</formula>
    </cfRule>
    <cfRule type="cellIs" dxfId="91" priority="2" stopIfTrue="1" operator="notEqual">
      <formula>"Yes"</formula>
    </cfRule>
  </conditionalFormatting>
  <pageMargins left="0.75" right="0.75" top="0.75" bottom="0.75" header="0.5" footer="0.5"/>
  <pageSetup scale="78" firstPageNumber="19" orientation="portrait" useFirstPageNumber="1" r:id="rId1"/>
  <headerFooter alignWithMargins="0">
    <oddHeader>&amp;R&amp;12Exhibit 4</oddHeader>
    <oddFooter>&amp;L&amp;12Revised:  July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59999389629810485"/>
    <pageSetUpPr fitToPage="1"/>
  </sheetPr>
  <dimension ref="A1:X96"/>
  <sheetViews>
    <sheetView showGridLines="0" zoomScaleNormal="100" zoomScaleSheetLayoutView="70" workbookViewId="0">
      <selection activeCell="A5" sqref="A5"/>
    </sheetView>
  </sheetViews>
  <sheetFormatPr defaultRowHeight="12.75" x14ac:dyDescent="0.2"/>
  <cols>
    <col min="1" max="3" width="2.7109375" customWidth="1"/>
    <col min="4" max="4" width="67" customWidth="1"/>
    <col min="5" max="5" width="4" customWidth="1"/>
    <col min="6" max="6" width="14.7109375" customWidth="1"/>
    <col min="9" max="9" width="12.7109375" customWidth="1"/>
    <col min="11" max="11" width="9.85546875" bestFit="1" customWidth="1"/>
    <col min="14" max="14" width="9.85546875" bestFit="1" customWidth="1"/>
  </cols>
  <sheetData>
    <row r="1" spans="1:24" ht="15.75" x14ac:dyDescent="0.25">
      <c r="A1" s="342" t="str">
        <f>'GW Net Position Exh 1'!A1</f>
        <v>Owl Charter, Inc.</v>
      </c>
      <c r="B1" s="342"/>
      <c r="C1" s="342"/>
      <c r="D1" s="342"/>
      <c r="E1" s="342"/>
      <c r="F1" s="342"/>
      <c r="G1" s="20"/>
      <c r="H1" s="20"/>
      <c r="I1" s="20"/>
      <c r="J1" s="20"/>
      <c r="K1" s="20"/>
      <c r="L1" s="20"/>
      <c r="M1" s="20"/>
      <c r="N1" s="20"/>
      <c r="O1" s="20"/>
      <c r="P1" s="20"/>
      <c r="Q1" s="20"/>
      <c r="R1" s="20"/>
      <c r="S1" s="20"/>
      <c r="T1" s="20"/>
      <c r="U1" s="20"/>
      <c r="V1" s="20"/>
      <c r="W1" s="11"/>
      <c r="X1" s="11"/>
    </row>
    <row r="2" spans="1:24" ht="15.75" x14ac:dyDescent="0.25">
      <c r="A2" s="342" t="s">
        <v>377</v>
      </c>
      <c r="B2" s="342"/>
      <c r="C2" s="342"/>
      <c r="D2" s="342"/>
      <c r="E2" s="342"/>
      <c r="F2" s="342"/>
      <c r="G2" s="20"/>
      <c r="H2" s="20"/>
      <c r="I2" s="20"/>
      <c r="J2" s="20"/>
      <c r="K2" s="20"/>
      <c r="L2" s="20"/>
      <c r="M2" s="20"/>
      <c r="N2" s="20"/>
      <c r="O2" s="20"/>
      <c r="P2" s="20"/>
      <c r="Q2" s="20"/>
      <c r="R2" s="20"/>
      <c r="S2" s="20"/>
      <c r="T2" s="20"/>
      <c r="U2" s="20"/>
      <c r="V2" s="20"/>
      <c r="W2" s="11"/>
      <c r="X2" s="11"/>
    </row>
    <row r="3" spans="1:24" ht="15.75" x14ac:dyDescent="0.25">
      <c r="A3" s="342" t="s">
        <v>378</v>
      </c>
      <c r="B3" s="342"/>
      <c r="C3" s="342"/>
      <c r="D3" s="342"/>
      <c r="E3" s="342"/>
      <c r="F3" s="342"/>
      <c r="G3" s="20"/>
      <c r="H3" s="20"/>
      <c r="I3" s="20"/>
      <c r="J3" s="20"/>
      <c r="K3" s="20"/>
      <c r="L3" s="20"/>
      <c r="M3" s="20"/>
      <c r="N3" s="20"/>
      <c r="O3" s="20"/>
      <c r="P3" s="20"/>
      <c r="Q3" s="20"/>
      <c r="R3" s="20"/>
      <c r="S3" s="20"/>
      <c r="T3" s="20"/>
      <c r="U3" s="20"/>
      <c r="V3" s="20"/>
      <c r="W3" s="11"/>
      <c r="X3" s="11"/>
    </row>
    <row r="4" spans="1:24" ht="15.75" x14ac:dyDescent="0.25">
      <c r="A4" s="342" t="str">
        <f>+'GW Stmt Activities Exh 2'!A3</f>
        <v>For the Year Ended June 30, 2020</v>
      </c>
      <c r="B4" s="342"/>
      <c r="C4" s="342"/>
      <c r="D4" s="342"/>
      <c r="E4" s="342"/>
      <c r="F4" s="342"/>
      <c r="G4" s="20"/>
      <c r="H4" s="20"/>
      <c r="I4" s="20"/>
      <c r="J4" s="20"/>
      <c r="K4" s="20"/>
      <c r="L4" s="20"/>
      <c r="M4" s="20"/>
      <c r="N4" s="20"/>
      <c r="O4" s="20"/>
      <c r="P4" s="20"/>
      <c r="Q4" s="20"/>
      <c r="R4" s="20"/>
      <c r="S4" s="20"/>
      <c r="T4" s="20"/>
      <c r="U4" s="20"/>
      <c r="V4" s="20"/>
      <c r="W4" s="11"/>
      <c r="X4" s="11"/>
    </row>
    <row r="5" spans="1:24" ht="15.75" x14ac:dyDescent="0.25">
      <c r="A5" s="20"/>
      <c r="B5" s="20"/>
      <c r="C5" s="20"/>
      <c r="D5" s="20"/>
      <c r="E5" s="20"/>
      <c r="F5" s="20"/>
      <c r="G5" s="20"/>
      <c r="H5" s="20"/>
      <c r="I5" s="20"/>
      <c r="J5" s="20"/>
      <c r="K5" s="20"/>
      <c r="L5" s="20"/>
      <c r="M5" s="20"/>
      <c r="N5" s="20"/>
      <c r="O5" s="20"/>
      <c r="P5" s="20"/>
      <c r="Q5" s="20"/>
      <c r="R5" s="20"/>
      <c r="S5" s="20"/>
      <c r="T5" s="20"/>
      <c r="U5" s="20"/>
      <c r="V5" s="20"/>
      <c r="W5" s="11"/>
      <c r="X5" s="11"/>
    </row>
    <row r="6" spans="1:24" ht="15.75" x14ac:dyDescent="0.25">
      <c r="A6" s="20" t="s">
        <v>81</v>
      </c>
      <c r="B6" s="20"/>
      <c r="C6" s="20"/>
      <c r="D6" s="20"/>
      <c r="E6" s="20"/>
      <c r="F6" s="20"/>
      <c r="G6" s="20"/>
      <c r="H6" s="20"/>
      <c r="I6" s="20"/>
      <c r="J6" s="20"/>
      <c r="K6" s="20"/>
      <c r="L6" s="20"/>
      <c r="M6" s="20"/>
      <c r="N6" s="20"/>
      <c r="O6" s="20"/>
      <c r="P6" s="20"/>
      <c r="Q6" s="20"/>
      <c r="R6" s="20"/>
      <c r="S6" s="20"/>
      <c r="T6" s="20"/>
      <c r="U6" s="20"/>
      <c r="V6" s="20"/>
      <c r="W6" s="11"/>
      <c r="X6" s="11"/>
    </row>
    <row r="7" spans="1:24" ht="15.75" x14ac:dyDescent="0.25">
      <c r="A7" s="20" t="s">
        <v>338</v>
      </c>
      <c r="C7" s="20"/>
      <c r="D7" s="20"/>
      <c r="E7" s="20"/>
      <c r="F7" s="20"/>
      <c r="G7" s="20"/>
      <c r="H7" s="20"/>
      <c r="I7" s="20"/>
      <c r="J7" s="20"/>
      <c r="K7" s="20"/>
      <c r="L7" s="20"/>
      <c r="M7" s="20"/>
      <c r="N7" s="20"/>
      <c r="O7" s="20"/>
      <c r="P7" s="20"/>
      <c r="Q7" s="20"/>
      <c r="R7" s="20"/>
      <c r="S7" s="20"/>
      <c r="T7" s="20"/>
      <c r="U7" s="20"/>
      <c r="V7" s="20"/>
      <c r="W7" s="11"/>
      <c r="X7" s="11"/>
    </row>
    <row r="8" spans="1:24" ht="5.0999999999999996" customHeight="1" x14ac:dyDescent="0.25">
      <c r="A8" s="20"/>
      <c r="B8" s="20"/>
      <c r="C8" s="20"/>
      <c r="D8" s="20"/>
      <c r="E8" s="20"/>
      <c r="F8" s="20"/>
      <c r="G8" s="20"/>
      <c r="H8" s="20"/>
      <c r="I8" s="20"/>
      <c r="J8" s="20"/>
      <c r="K8" s="20"/>
      <c r="L8" s="20"/>
      <c r="M8" s="20"/>
      <c r="N8" s="20"/>
      <c r="O8" s="20"/>
      <c r="P8" s="20"/>
      <c r="Q8" s="20"/>
      <c r="R8" s="20"/>
      <c r="S8" s="20"/>
      <c r="T8" s="20"/>
      <c r="U8" s="20"/>
      <c r="V8" s="20"/>
      <c r="W8" s="11"/>
      <c r="X8" s="11"/>
    </row>
    <row r="9" spans="1:24" s="7" customFormat="1" ht="21.95" customHeight="1" x14ac:dyDescent="0.25">
      <c r="A9" s="30"/>
      <c r="B9" s="30"/>
      <c r="C9" s="30" t="s">
        <v>85</v>
      </c>
      <c r="D9" s="114"/>
      <c r="E9" s="115"/>
      <c r="F9" s="116">
        <f>'Govt Funds Inc Stmt Exh 4'!G32</f>
        <v>-63081</v>
      </c>
      <c r="G9" s="30"/>
      <c r="H9" s="30"/>
      <c r="I9" s="90"/>
      <c r="J9" s="30"/>
      <c r="K9" s="30"/>
      <c r="L9" s="30"/>
      <c r="M9" s="30"/>
      <c r="N9" s="30"/>
      <c r="O9" s="30"/>
      <c r="P9" s="30"/>
      <c r="Q9" s="30"/>
      <c r="R9" s="30"/>
      <c r="S9" s="30"/>
      <c r="T9" s="30"/>
      <c r="U9" s="30"/>
      <c r="V9" s="30"/>
      <c r="W9" s="10"/>
      <c r="X9" s="10"/>
    </row>
    <row r="10" spans="1:24" ht="15.75" hidden="1" x14ac:dyDescent="0.25">
      <c r="A10" s="20"/>
      <c r="B10" s="20"/>
      <c r="C10" s="20"/>
      <c r="D10" s="30" t="s">
        <v>127</v>
      </c>
      <c r="E10" s="30"/>
      <c r="F10" s="90">
        <v>0</v>
      </c>
      <c r="G10" s="20"/>
      <c r="H10" s="20"/>
      <c r="I10" s="20"/>
      <c r="J10" s="20"/>
      <c r="K10" s="20"/>
      <c r="L10" s="20"/>
      <c r="M10" s="20"/>
      <c r="N10" s="20"/>
      <c r="O10" s="20"/>
      <c r="P10" s="20"/>
      <c r="Q10" s="20"/>
      <c r="R10" s="20"/>
      <c r="S10" s="20"/>
      <c r="T10" s="20"/>
      <c r="U10" s="20"/>
      <c r="V10" s="20"/>
      <c r="W10" s="11"/>
      <c r="X10" s="11"/>
    </row>
    <row r="11" spans="1:24" ht="3" customHeight="1" x14ac:dyDescent="0.25">
      <c r="A11" s="20"/>
      <c r="B11" s="20"/>
      <c r="C11" s="20"/>
      <c r="D11" s="20"/>
      <c r="E11" s="20"/>
      <c r="F11" s="47"/>
      <c r="G11" s="20"/>
      <c r="H11" s="20"/>
      <c r="I11" s="20"/>
      <c r="J11" s="20"/>
      <c r="K11" s="20"/>
      <c r="L11" s="20"/>
      <c r="M11" s="20"/>
      <c r="N11" s="20"/>
      <c r="O11" s="20"/>
      <c r="P11" s="20"/>
      <c r="Q11" s="20"/>
      <c r="R11" s="20"/>
      <c r="S11" s="20"/>
      <c r="T11" s="20"/>
      <c r="U11" s="20"/>
      <c r="V11" s="20"/>
      <c r="W11" s="11"/>
      <c r="X11" s="11"/>
    </row>
    <row r="12" spans="1:24" ht="76.5" customHeight="1" x14ac:dyDescent="0.25">
      <c r="A12" s="20"/>
      <c r="B12" s="20"/>
      <c r="C12" s="20"/>
      <c r="D12" s="91" t="s">
        <v>242</v>
      </c>
      <c r="E12" s="20"/>
      <c r="F12" s="47">
        <f>F45</f>
        <v>548702</v>
      </c>
      <c r="G12" s="20"/>
      <c r="H12" s="20"/>
      <c r="I12" s="20"/>
      <c r="J12" s="20"/>
      <c r="K12" s="20"/>
      <c r="L12" s="4"/>
      <c r="M12" s="4"/>
      <c r="N12" s="20"/>
      <c r="O12" s="20"/>
      <c r="P12" s="20"/>
      <c r="Q12" s="20"/>
      <c r="R12" s="20"/>
      <c r="S12" s="20"/>
      <c r="T12" s="20"/>
      <c r="U12" s="20"/>
      <c r="V12" s="20"/>
      <c r="W12" s="11"/>
      <c r="X12" s="11"/>
    </row>
    <row r="13" spans="1:24" ht="3" customHeight="1" x14ac:dyDescent="0.25">
      <c r="A13" s="20"/>
      <c r="B13" s="20"/>
      <c r="C13" s="20"/>
      <c r="D13" s="20"/>
      <c r="E13" s="20"/>
      <c r="F13" s="47"/>
      <c r="G13" s="20"/>
      <c r="H13" s="20"/>
      <c r="I13" s="20"/>
      <c r="J13" s="20"/>
      <c r="K13" s="20"/>
      <c r="L13" s="20"/>
      <c r="M13" s="20"/>
      <c r="N13" s="20"/>
      <c r="O13" s="20"/>
      <c r="P13" s="20"/>
      <c r="Q13" s="20"/>
      <c r="R13" s="20"/>
      <c r="S13" s="20"/>
      <c r="T13" s="20"/>
      <c r="U13" s="20"/>
      <c r="V13" s="20"/>
      <c r="W13" s="11"/>
      <c r="X13" s="11"/>
    </row>
    <row r="14" spans="1:24" ht="30" hidden="1" x14ac:dyDescent="0.25">
      <c r="A14" s="20"/>
      <c r="B14" s="20"/>
      <c r="C14" s="20"/>
      <c r="D14" s="91" t="s">
        <v>86</v>
      </c>
      <c r="E14" s="20"/>
      <c r="F14" s="47"/>
      <c r="G14" s="20"/>
      <c r="H14" s="20" t="s">
        <v>49</v>
      </c>
      <c r="I14" s="20"/>
      <c r="J14" s="20"/>
      <c r="K14" s="20"/>
      <c r="L14" s="20"/>
      <c r="M14" s="20"/>
      <c r="N14" s="20"/>
      <c r="O14" s="20"/>
      <c r="P14" s="20"/>
      <c r="Q14" s="20"/>
      <c r="R14" s="20"/>
      <c r="S14" s="20"/>
      <c r="T14" s="20"/>
      <c r="U14" s="20"/>
      <c r="V14" s="20"/>
      <c r="W14" s="11"/>
      <c r="X14" s="11"/>
    </row>
    <row r="15" spans="1:24" ht="15.75" hidden="1" x14ac:dyDescent="0.25">
      <c r="A15" s="20"/>
      <c r="B15" s="20"/>
      <c r="C15" s="20"/>
      <c r="D15" s="39" t="s">
        <v>87</v>
      </c>
      <c r="E15" s="20"/>
      <c r="F15" s="47">
        <v>0</v>
      </c>
      <c r="G15" s="20"/>
      <c r="H15" s="20"/>
      <c r="I15" s="20"/>
      <c r="J15" s="20"/>
      <c r="K15" s="20"/>
      <c r="L15" s="20"/>
      <c r="M15" s="20"/>
      <c r="N15" s="20"/>
      <c r="O15" s="20"/>
      <c r="P15" s="20"/>
      <c r="Q15" s="20"/>
      <c r="R15" s="20"/>
      <c r="S15" s="20"/>
      <c r="T15" s="20"/>
      <c r="U15" s="20"/>
      <c r="V15" s="20"/>
      <c r="W15" s="11"/>
      <c r="X15" s="11"/>
    </row>
    <row r="16" spans="1:24" ht="3" hidden="1" customHeight="1" x14ac:dyDescent="0.25">
      <c r="A16" s="20"/>
      <c r="B16" s="20"/>
      <c r="C16" s="20"/>
      <c r="D16" s="39"/>
      <c r="E16" s="20"/>
      <c r="F16" s="47"/>
      <c r="G16" s="20"/>
      <c r="H16" s="20"/>
      <c r="I16" s="20"/>
      <c r="J16" s="20"/>
      <c r="K16" s="20"/>
      <c r="L16" s="20"/>
      <c r="M16" s="20"/>
      <c r="N16" s="20"/>
      <c r="O16" s="20"/>
      <c r="P16" s="20"/>
      <c r="Q16" s="20"/>
      <c r="R16" s="20"/>
      <c r="S16" s="20"/>
      <c r="T16" s="20"/>
      <c r="U16" s="20"/>
      <c r="V16" s="20"/>
      <c r="W16" s="11"/>
      <c r="X16" s="11"/>
    </row>
    <row r="17" spans="1:24" ht="30.75" hidden="1" x14ac:dyDescent="0.25">
      <c r="A17" s="20"/>
      <c r="B17" s="20"/>
      <c r="C17" s="20"/>
      <c r="D17" s="39" t="s">
        <v>119</v>
      </c>
      <c r="E17" s="20"/>
      <c r="F17" s="47">
        <v>0</v>
      </c>
      <c r="G17" s="20"/>
      <c r="H17" s="20"/>
      <c r="I17" s="20"/>
      <c r="J17" s="20"/>
      <c r="K17" s="20"/>
      <c r="L17" s="20"/>
      <c r="M17" s="20"/>
      <c r="N17" s="20"/>
      <c r="O17" s="20"/>
      <c r="P17" s="20"/>
      <c r="Q17" s="20"/>
      <c r="R17" s="20"/>
      <c r="S17" s="20"/>
      <c r="T17" s="20"/>
      <c r="U17" s="20"/>
      <c r="V17" s="20"/>
      <c r="W17" s="11"/>
      <c r="X17" s="11"/>
    </row>
    <row r="18" spans="1:24" ht="3" customHeight="1" x14ac:dyDescent="0.25">
      <c r="A18" s="20"/>
      <c r="B18" s="20"/>
      <c r="C18" s="20"/>
      <c r="D18" s="39"/>
      <c r="E18" s="20"/>
      <c r="F18" s="47"/>
      <c r="G18" s="20"/>
      <c r="H18" s="20"/>
      <c r="I18" s="20"/>
      <c r="J18" s="20"/>
      <c r="K18" s="20"/>
      <c r="L18" s="20"/>
      <c r="M18" s="20"/>
      <c r="N18" s="20"/>
      <c r="O18" s="20"/>
      <c r="P18" s="20"/>
      <c r="Q18" s="20"/>
      <c r="R18" s="20"/>
      <c r="S18" s="20"/>
      <c r="T18" s="20"/>
      <c r="U18" s="20"/>
      <c r="V18" s="20"/>
      <c r="W18" s="11"/>
      <c r="X18" s="11"/>
    </row>
    <row r="19" spans="1:24" ht="135" x14ac:dyDescent="0.25">
      <c r="A19" s="20"/>
      <c r="B19" s="20"/>
      <c r="C19" s="20"/>
      <c r="D19" s="93" t="s">
        <v>179</v>
      </c>
      <c r="E19" s="53"/>
      <c r="F19" s="47">
        <f>F49</f>
        <v>-577000</v>
      </c>
      <c r="G19" s="20"/>
      <c r="H19" s="20"/>
      <c r="I19" s="20"/>
      <c r="J19" s="20"/>
      <c r="K19" s="20"/>
      <c r="L19" s="4"/>
      <c r="M19" s="4"/>
      <c r="N19" s="29"/>
      <c r="O19" s="20"/>
      <c r="P19" s="20"/>
      <c r="Q19" s="20"/>
      <c r="R19" s="20"/>
      <c r="S19" s="20"/>
      <c r="T19" s="20"/>
      <c r="U19" s="20"/>
      <c r="V19" s="20"/>
      <c r="W19" s="11"/>
      <c r="X19" s="11"/>
    </row>
    <row r="20" spans="1:24" ht="3" customHeight="1" x14ac:dyDescent="0.25">
      <c r="A20" s="20"/>
      <c r="B20" s="20"/>
      <c r="C20" s="20"/>
      <c r="D20" s="39"/>
      <c r="E20" s="20"/>
      <c r="F20" s="47"/>
      <c r="G20" s="20"/>
      <c r="H20" s="20"/>
      <c r="I20" s="20"/>
      <c r="J20" s="20"/>
      <c r="K20" s="20"/>
      <c r="L20" s="20"/>
      <c r="M20" s="20"/>
      <c r="N20" s="20"/>
      <c r="O20" s="20"/>
      <c r="P20" s="20"/>
      <c r="Q20" s="20"/>
      <c r="R20" s="20"/>
      <c r="S20" s="20"/>
      <c r="T20" s="20"/>
      <c r="U20" s="20"/>
      <c r="V20" s="20"/>
      <c r="W20" s="11"/>
      <c r="X20" s="11"/>
    </row>
    <row r="21" spans="1:24" ht="30" x14ac:dyDescent="0.25">
      <c r="A21" s="20"/>
      <c r="B21" s="20"/>
      <c r="C21" s="20"/>
      <c r="D21" s="91" t="s">
        <v>120</v>
      </c>
      <c r="E21" s="20"/>
      <c r="F21" s="47">
        <f>240387-63489</f>
        <v>176898</v>
      </c>
      <c r="G21" s="20"/>
      <c r="H21" s="20"/>
      <c r="I21" s="20"/>
      <c r="J21" s="20"/>
      <c r="K21" s="20"/>
      <c r="L21" s="20"/>
      <c r="M21" s="20"/>
      <c r="N21" s="20"/>
      <c r="O21" s="20"/>
      <c r="P21" s="20"/>
      <c r="Q21" s="20"/>
      <c r="R21" s="20"/>
      <c r="S21" s="20"/>
      <c r="T21" s="20"/>
      <c r="U21" s="20"/>
      <c r="V21" s="20"/>
      <c r="W21" s="11"/>
      <c r="X21" s="11"/>
    </row>
    <row r="22" spans="1:24" ht="3" customHeight="1" x14ac:dyDescent="0.25">
      <c r="A22" s="20"/>
      <c r="B22" s="20"/>
      <c r="C22" s="20"/>
      <c r="D22" s="39"/>
      <c r="E22" s="20"/>
      <c r="F22" s="47"/>
      <c r="G22" s="20"/>
      <c r="H22" s="20"/>
      <c r="I22" s="20"/>
      <c r="J22" s="20"/>
      <c r="K22" s="20"/>
      <c r="L22" s="20"/>
      <c r="M22" s="20"/>
      <c r="N22" s="20"/>
      <c r="O22" s="20"/>
      <c r="P22" s="20"/>
      <c r="Q22" s="20"/>
      <c r="R22" s="20"/>
      <c r="S22" s="20"/>
      <c r="T22" s="20"/>
      <c r="U22" s="20"/>
      <c r="V22" s="20"/>
      <c r="W22" s="11"/>
      <c r="X22" s="11"/>
    </row>
    <row r="23" spans="1:24" ht="48" customHeight="1" x14ac:dyDescent="0.25">
      <c r="A23" s="20"/>
      <c r="B23" s="20"/>
      <c r="C23" s="20"/>
      <c r="D23" s="91" t="s">
        <v>82</v>
      </c>
      <c r="E23" s="20"/>
      <c r="F23" s="47"/>
      <c r="G23" s="20"/>
      <c r="H23" s="20"/>
      <c r="I23" s="20"/>
      <c r="J23" s="20"/>
      <c r="K23" s="20"/>
      <c r="L23" s="20"/>
      <c r="M23" s="20"/>
      <c r="N23" s="20"/>
      <c r="O23" s="20"/>
      <c r="P23" s="20"/>
      <c r="Q23" s="20"/>
      <c r="R23" s="20"/>
      <c r="S23" s="20"/>
      <c r="T23" s="20"/>
      <c r="U23" s="20"/>
      <c r="V23" s="20"/>
      <c r="W23" s="11"/>
      <c r="X23" s="11"/>
    </row>
    <row r="24" spans="1:24" ht="15.75" hidden="1" x14ac:dyDescent="0.25">
      <c r="A24" s="20"/>
      <c r="B24" s="20"/>
      <c r="C24" s="20"/>
      <c r="D24" s="70" t="s">
        <v>118</v>
      </c>
      <c r="E24" s="20"/>
      <c r="F24" s="47">
        <v>0</v>
      </c>
      <c r="G24" s="20"/>
      <c r="H24" s="20"/>
      <c r="I24" s="20"/>
      <c r="J24" s="20"/>
      <c r="K24" s="20"/>
      <c r="L24" s="20"/>
      <c r="M24" s="20"/>
      <c r="N24" s="20"/>
      <c r="O24" s="20"/>
      <c r="P24" s="20"/>
      <c r="Q24" s="20"/>
      <c r="R24" s="20"/>
      <c r="S24" s="20"/>
      <c r="T24" s="20"/>
      <c r="U24" s="20"/>
      <c r="V24" s="20"/>
      <c r="W24" s="11"/>
      <c r="X24" s="11"/>
    </row>
    <row r="25" spans="1:24" ht="17.25" x14ac:dyDescent="0.35">
      <c r="A25" s="20"/>
      <c r="B25" s="20"/>
      <c r="C25" s="20"/>
      <c r="D25" s="70" t="s">
        <v>23</v>
      </c>
      <c r="E25" s="20"/>
      <c r="F25" s="98">
        <v>1260</v>
      </c>
      <c r="G25" s="20"/>
      <c r="H25" s="20"/>
      <c r="I25" s="20"/>
      <c r="J25" s="20"/>
      <c r="K25" s="20"/>
      <c r="L25" s="20"/>
      <c r="M25" s="20"/>
      <c r="N25" s="20"/>
      <c r="O25" s="20"/>
      <c r="P25" s="20"/>
      <c r="Q25" s="20"/>
      <c r="R25" s="20"/>
      <c r="S25" s="20"/>
      <c r="T25" s="20"/>
      <c r="U25" s="20"/>
      <c r="V25" s="20"/>
      <c r="W25" s="11"/>
      <c r="X25" s="11"/>
    </row>
    <row r="26" spans="1:24" ht="21.95" customHeight="1" x14ac:dyDescent="0.35">
      <c r="A26" s="20"/>
      <c r="B26" s="20"/>
      <c r="C26" s="30" t="s">
        <v>383</v>
      </c>
      <c r="D26" s="4"/>
      <c r="E26" s="20"/>
      <c r="F26" s="95">
        <f>+F24+F25+F21+F19+F17+F15+F12+F10+F9</f>
        <v>86779</v>
      </c>
      <c r="G26" s="20"/>
      <c r="H26" s="20"/>
      <c r="I26" s="4"/>
      <c r="J26" s="20"/>
      <c r="K26" s="47"/>
      <c r="L26" s="20"/>
      <c r="M26" s="20"/>
      <c r="N26" s="20"/>
      <c r="O26" s="20"/>
      <c r="P26" s="20"/>
      <c r="Q26" s="20"/>
      <c r="R26" s="20"/>
      <c r="S26" s="20"/>
      <c r="T26" s="20"/>
      <c r="U26" s="20"/>
      <c r="V26" s="20"/>
      <c r="W26" s="11"/>
      <c r="X26" s="11"/>
    </row>
    <row r="27" spans="1:24" ht="15.75" x14ac:dyDescent="0.25">
      <c r="A27" s="20"/>
      <c r="B27" s="20"/>
      <c r="C27" s="20"/>
      <c r="D27" s="20"/>
      <c r="E27" s="20"/>
      <c r="F27" s="92"/>
      <c r="G27" s="20"/>
      <c r="H27" s="20"/>
      <c r="I27" s="20"/>
      <c r="J27" s="20"/>
      <c r="K27" s="20"/>
      <c r="L27" s="20"/>
      <c r="M27" s="20"/>
      <c r="N27" s="20"/>
      <c r="O27" s="20"/>
      <c r="P27" s="20"/>
      <c r="Q27" s="20"/>
      <c r="R27" s="20"/>
      <c r="S27" s="20"/>
      <c r="T27" s="20"/>
      <c r="U27" s="20"/>
      <c r="V27" s="20"/>
      <c r="W27" s="11"/>
      <c r="X27" s="11"/>
    </row>
    <row r="28" spans="1:24" s="7" customFormat="1" ht="15.75" x14ac:dyDescent="0.25">
      <c r="A28" s="30"/>
      <c r="B28" s="30"/>
      <c r="C28" s="30"/>
      <c r="D28" s="30"/>
      <c r="E28" s="30"/>
      <c r="F28" s="96"/>
      <c r="G28" s="30"/>
      <c r="H28" s="30"/>
      <c r="I28" s="30"/>
      <c r="J28" s="30"/>
      <c r="K28" s="30"/>
      <c r="L28" s="30"/>
      <c r="M28" s="30"/>
      <c r="N28" s="30"/>
      <c r="O28" s="30"/>
      <c r="P28" s="30"/>
      <c r="Q28" s="30"/>
      <c r="R28" s="30"/>
      <c r="S28" s="30"/>
      <c r="T28" s="30"/>
      <c r="U28" s="30"/>
      <c r="V28" s="30"/>
      <c r="W28" s="10"/>
      <c r="X28" s="10"/>
    </row>
    <row r="29" spans="1:24" ht="15.75" x14ac:dyDescent="0.25">
      <c r="A29" s="78" t="s">
        <v>180</v>
      </c>
      <c r="B29" s="20"/>
      <c r="C29" s="20"/>
      <c r="D29" s="20"/>
      <c r="E29" s="20"/>
      <c r="F29" s="20"/>
      <c r="G29" s="20"/>
      <c r="H29" s="20"/>
      <c r="I29" s="20"/>
      <c r="J29" s="20"/>
      <c r="K29" s="20" t="s">
        <v>49</v>
      </c>
      <c r="L29" s="20"/>
      <c r="M29" s="20"/>
      <c r="N29" s="20"/>
      <c r="O29" s="20"/>
      <c r="P29" s="20"/>
      <c r="Q29" s="20"/>
      <c r="R29" s="20"/>
      <c r="S29" s="20"/>
      <c r="T29" s="20"/>
      <c r="U29" s="20"/>
      <c r="V29" s="20"/>
      <c r="W29" s="11"/>
      <c r="X29" s="11"/>
    </row>
    <row r="30" spans="1:24" ht="15.75" x14ac:dyDescent="0.25">
      <c r="A30" s="20"/>
      <c r="B30" s="20"/>
      <c r="C30" s="20"/>
      <c r="D30" s="20"/>
      <c r="E30" s="20"/>
      <c r="F30" s="20"/>
      <c r="G30" s="20"/>
      <c r="H30" s="20"/>
      <c r="I30" s="20"/>
      <c r="J30" s="20"/>
      <c r="K30" s="20"/>
      <c r="L30" s="20"/>
      <c r="M30" s="20"/>
      <c r="N30" s="20"/>
      <c r="O30" s="20"/>
      <c r="P30" s="20"/>
      <c r="Q30" s="20"/>
      <c r="R30" s="20"/>
      <c r="S30" s="20"/>
      <c r="T30" s="20"/>
      <c r="U30" s="20"/>
      <c r="V30" s="20"/>
      <c r="W30" s="11"/>
      <c r="X30" s="11"/>
    </row>
    <row r="31" spans="1:24" ht="15.75" x14ac:dyDescent="0.25">
      <c r="A31" s="20"/>
      <c r="B31" s="20"/>
      <c r="C31" s="20"/>
      <c r="D31" s="20"/>
      <c r="E31" s="20"/>
      <c r="F31" s="20"/>
      <c r="G31" s="20"/>
      <c r="H31" s="20"/>
      <c r="I31" s="20"/>
      <c r="J31" s="20"/>
      <c r="K31" s="20"/>
      <c r="L31" s="20"/>
      <c r="M31" s="20"/>
      <c r="N31" s="20"/>
      <c r="O31" s="20"/>
      <c r="P31" s="20"/>
      <c r="Q31" s="20"/>
      <c r="R31" s="20"/>
      <c r="S31" s="20"/>
      <c r="T31" s="20"/>
      <c r="U31" s="20"/>
      <c r="V31" s="20"/>
      <c r="W31" s="11"/>
      <c r="X31" s="11"/>
    </row>
    <row r="32" spans="1:24" ht="15.75" x14ac:dyDescent="0.25">
      <c r="A32" s="20"/>
      <c r="B32" s="20"/>
      <c r="C32" s="20"/>
      <c r="D32" s="20"/>
      <c r="E32" s="20"/>
      <c r="F32" s="20"/>
      <c r="G32" s="20"/>
      <c r="H32" s="20"/>
      <c r="I32" s="20"/>
      <c r="J32" s="20"/>
      <c r="K32" s="20"/>
      <c r="L32" s="20"/>
      <c r="M32" s="20"/>
      <c r="N32" s="20"/>
      <c r="O32" s="20"/>
      <c r="P32" s="20"/>
      <c r="Q32" s="20"/>
      <c r="R32" s="20"/>
      <c r="S32" s="20"/>
      <c r="T32" s="20"/>
      <c r="U32" s="20"/>
      <c r="V32" s="20"/>
      <c r="W32" s="11"/>
      <c r="X32" s="11"/>
    </row>
    <row r="33" spans="1:24" ht="17.25" x14ac:dyDescent="0.35">
      <c r="A33" s="20"/>
      <c r="B33" s="20"/>
      <c r="C33" s="20"/>
      <c r="D33" s="80" t="s">
        <v>245</v>
      </c>
      <c r="E33" s="20"/>
      <c r="F33" s="99">
        <f>'GW Stmt Activities Exh 2'!G27</f>
        <v>86779</v>
      </c>
      <c r="G33" s="20"/>
      <c r="H33" s="20" t="s">
        <v>159</v>
      </c>
      <c r="I33" s="20"/>
      <c r="J33" s="20"/>
      <c r="K33" s="20"/>
      <c r="L33" s="20"/>
      <c r="M33" s="20"/>
      <c r="N33" s="20"/>
      <c r="O33" s="20"/>
      <c r="P33" s="20"/>
      <c r="Q33" s="20"/>
      <c r="R33" s="20"/>
      <c r="S33" s="20"/>
      <c r="T33" s="20"/>
      <c r="U33" s="20"/>
      <c r="V33" s="20"/>
      <c r="W33" s="11"/>
      <c r="X33" s="11"/>
    </row>
    <row r="34" spans="1:24" ht="15.75" x14ac:dyDescent="0.25">
      <c r="A34" s="20"/>
      <c r="B34" s="20"/>
      <c r="C34" s="20"/>
      <c r="D34" s="20"/>
      <c r="E34" s="20"/>
      <c r="F34" s="97"/>
      <c r="G34" s="20"/>
      <c r="H34" s="20"/>
      <c r="I34" s="20"/>
      <c r="J34" s="20"/>
      <c r="K34" s="20"/>
      <c r="L34" s="20"/>
      <c r="M34" s="20"/>
      <c r="N34" s="20"/>
      <c r="O34" s="20"/>
      <c r="P34" s="20"/>
      <c r="Q34" s="20"/>
      <c r="R34" s="20"/>
      <c r="S34" s="20"/>
      <c r="T34" s="20"/>
      <c r="U34" s="20"/>
      <c r="V34" s="20"/>
      <c r="W34" s="11"/>
      <c r="X34" s="11"/>
    </row>
    <row r="35" spans="1:24" ht="15.75" x14ac:dyDescent="0.25">
      <c r="A35" s="20"/>
      <c r="B35" s="20"/>
      <c r="C35" s="20"/>
      <c r="D35" s="62" t="s">
        <v>246</v>
      </c>
      <c r="E35" s="20"/>
      <c r="F35" s="86" t="str">
        <f>IF(F26-'GW Stmt Activities Exh 2'!G27=0,"Yes",F26-'GW Stmt Activities Exh 2'!G27)</f>
        <v>Yes</v>
      </c>
      <c r="G35" s="20"/>
      <c r="H35" s="20"/>
      <c r="I35" s="20"/>
      <c r="J35" s="20"/>
      <c r="K35" s="20"/>
      <c r="L35" s="20"/>
      <c r="M35" s="20"/>
      <c r="N35" s="20"/>
      <c r="O35" s="20"/>
      <c r="P35" s="20"/>
      <c r="Q35" s="20"/>
      <c r="R35" s="20"/>
      <c r="S35" s="20"/>
      <c r="T35" s="20"/>
      <c r="U35" s="20"/>
      <c r="V35" s="20"/>
      <c r="W35" s="11"/>
      <c r="X35" s="11"/>
    </row>
    <row r="36" spans="1:24" ht="15.75" x14ac:dyDescent="0.25">
      <c r="A36" s="20"/>
      <c r="B36" s="20"/>
      <c r="C36" s="20"/>
      <c r="D36" s="20"/>
      <c r="E36" s="20"/>
      <c r="F36" s="20"/>
      <c r="G36" s="20"/>
      <c r="H36" s="20"/>
      <c r="I36" s="20"/>
      <c r="J36" s="20"/>
      <c r="K36" s="20"/>
      <c r="L36" s="20"/>
      <c r="M36" s="20"/>
      <c r="N36" s="20"/>
      <c r="O36" s="20"/>
      <c r="P36" s="20"/>
      <c r="Q36" s="20"/>
      <c r="R36" s="20"/>
      <c r="S36" s="20"/>
      <c r="T36" s="20"/>
      <c r="U36" s="20"/>
      <c r="V36" s="20"/>
      <c r="W36" s="11"/>
      <c r="X36" s="11"/>
    </row>
    <row r="37" spans="1:24" ht="17.25" x14ac:dyDescent="0.35">
      <c r="A37" s="20"/>
      <c r="B37" s="20"/>
      <c r="C37" s="20"/>
      <c r="D37" s="62" t="s">
        <v>205</v>
      </c>
      <c r="E37" s="63"/>
      <c r="F37" s="273">
        <f>SUM(F10:F25)</f>
        <v>149860</v>
      </c>
      <c r="G37" s="20"/>
      <c r="H37" s="20"/>
      <c r="I37" s="20"/>
      <c r="J37" s="20"/>
      <c r="K37" s="20"/>
      <c r="L37" s="20"/>
      <c r="M37" s="20"/>
      <c r="N37" s="20"/>
      <c r="O37" s="20"/>
      <c r="P37" s="20"/>
      <c r="Q37" s="20"/>
      <c r="R37" s="20"/>
      <c r="S37" s="20"/>
      <c r="T37" s="20"/>
      <c r="U37" s="20"/>
      <c r="V37" s="20"/>
      <c r="W37" s="11"/>
      <c r="X37" s="11"/>
    </row>
    <row r="38" spans="1:24" ht="15.75" x14ac:dyDescent="0.25">
      <c r="A38" s="20"/>
      <c r="B38" s="20"/>
      <c r="C38" s="20"/>
      <c r="D38" s="20"/>
      <c r="E38" s="20"/>
      <c r="F38" s="97"/>
      <c r="G38" s="20"/>
      <c r="H38" s="20"/>
      <c r="I38" s="20"/>
      <c r="J38" s="20"/>
      <c r="K38" s="20"/>
      <c r="L38" s="20"/>
      <c r="M38" s="20"/>
      <c r="N38" s="20"/>
      <c r="O38" s="20"/>
      <c r="P38" s="20"/>
      <c r="Q38" s="20"/>
      <c r="R38" s="20"/>
      <c r="S38" s="20"/>
      <c r="T38" s="20"/>
      <c r="U38" s="20"/>
      <c r="V38" s="20"/>
      <c r="W38" s="11"/>
      <c r="X38" s="11"/>
    </row>
    <row r="39" spans="1:24" ht="15.75" x14ac:dyDescent="0.25">
      <c r="A39" s="20"/>
      <c r="B39" s="20"/>
      <c r="C39" s="20"/>
      <c r="D39" s="20"/>
      <c r="E39" s="20"/>
      <c r="F39" s="47"/>
      <c r="G39" s="20"/>
      <c r="H39" s="20"/>
      <c r="I39" s="20"/>
      <c r="J39" s="20"/>
      <c r="K39" s="20"/>
      <c r="L39" s="20"/>
      <c r="M39" s="20"/>
      <c r="N39" s="20"/>
      <c r="O39" s="20"/>
      <c r="P39" s="20"/>
      <c r="Q39" s="20"/>
      <c r="R39" s="20"/>
      <c r="S39" s="20"/>
      <c r="T39" s="20"/>
      <c r="U39" s="20"/>
      <c r="V39" s="20"/>
      <c r="W39" s="11"/>
      <c r="X39" s="11"/>
    </row>
    <row r="40" spans="1:24" ht="15.75" x14ac:dyDescent="0.25">
      <c r="A40" s="20"/>
      <c r="B40" s="20"/>
      <c r="C40" s="20"/>
      <c r="D40" s="20"/>
      <c r="E40" s="20"/>
      <c r="F40" s="47"/>
      <c r="G40" s="20"/>
      <c r="H40" s="20"/>
      <c r="I40" s="20"/>
      <c r="J40" s="20"/>
      <c r="K40" s="20"/>
      <c r="L40" s="20"/>
      <c r="M40" s="20"/>
      <c r="N40" s="20"/>
      <c r="O40" s="20"/>
      <c r="P40" s="20"/>
      <c r="Q40" s="20"/>
      <c r="R40" s="20"/>
      <c r="S40" s="20"/>
      <c r="T40" s="20"/>
      <c r="U40" s="20"/>
      <c r="V40" s="20"/>
      <c r="W40" s="11"/>
      <c r="X40" s="11"/>
    </row>
    <row r="41" spans="1:24" ht="15.75" x14ac:dyDescent="0.25">
      <c r="A41" s="20"/>
      <c r="B41" s="20"/>
      <c r="C41" s="20"/>
      <c r="D41" s="20"/>
      <c r="E41" s="20"/>
      <c r="F41" s="20"/>
      <c r="G41" s="20"/>
      <c r="H41" s="20"/>
      <c r="I41" s="20"/>
      <c r="J41" s="20"/>
      <c r="K41" s="20"/>
      <c r="L41" s="20"/>
      <c r="M41" s="20"/>
      <c r="N41" s="20"/>
      <c r="O41" s="20"/>
      <c r="P41" s="20"/>
      <c r="Q41" s="20"/>
      <c r="R41" s="20"/>
      <c r="S41" s="20"/>
      <c r="T41" s="20"/>
      <c r="U41" s="20"/>
      <c r="V41" s="20"/>
      <c r="W41" s="11"/>
      <c r="X41" s="11"/>
    </row>
    <row r="42" spans="1:24" ht="15.75" x14ac:dyDescent="0.25">
      <c r="A42" s="20"/>
      <c r="B42" s="20"/>
      <c r="C42" s="20"/>
      <c r="D42" s="20"/>
      <c r="E42" s="20"/>
      <c r="F42" s="20"/>
      <c r="G42" s="20"/>
      <c r="H42" s="20"/>
      <c r="I42" s="20"/>
      <c r="J42" s="20"/>
      <c r="K42" s="20"/>
      <c r="L42" s="20"/>
      <c r="M42" s="20"/>
      <c r="N42" s="20"/>
      <c r="O42" s="20"/>
      <c r="P42" s="20"/>
      <c r="Q42" s="20"/>
      <c r="R42" s="20"/>
      <c r="S42" s="20"/>
      <c r="T42" s="20"/>
      <c r="U42" s="20"/>
      <c r="V42" s="20"/>
      <c r="W42" s="11"/>
      <c r="X42" s="11"/>
    </row>
    <row r="43" spans="1:24" ht="15.75" x14ac:dyDescent="0.25">
      <c r="A43" s="20"/>
      <c r="B43" s="20"/>
      <c r="C43" s="20"/>
      <c r="D43" s="20" t="s">
        <v>216</v>
      </c>
      <c r="E43" s="20"/>
      <c r="F43" s="29">
        <v>650000</v>
      </c>
      <c r="G43" s="20"/>
      <c r="H43" s="20"/>
      <c r="I43" s="20"/>
      <c r="J43" s="20"/>
      <c r="K43" s="20"/>
      <c r="L43" s="20"/>
      <c r="M43" s="20"/>
      <c r="N43" s="20"/>
      <c r="O43" s="20"/>
      <c r="P43" s="20"/>
      <c r="Q43" s="20"/>
      <c r="R43" s="20"/>
      <c r="S43" s="20"/>
      <c r="T43" s="20"/>
      <c r="U43" s="20"/>
      <c r="V43" s="20"/>
      <c r="W43" s="11"/>
      <c r="X43" s="11"/>
    </row>
    <row r="44" spans="1:24" ht="17.25" x14ac:dyDescent="0.35">
      <c r="A44" s="20"/>
      <c r="B44" s="20"/>
      <c r="C44" s="20"/>
      <c r="D44" s="73" t="s">
        <v>217</v>
      </c>
      <c r="E44" s="20"/>
      <c r="F44" s="98">
        <v>101298</v>
      </c>
      <c r="G44" s="20"/>
      <c r="H44" s="20"/>
      <c r="I44" s="20"/>
      <c r="J44" s="20"/>
      <c r="K44" s="20"/>
      <c r="L44" s="20"/>
      <c r="M44" s="20"/>
      <c r="N44" s="20"/>
      <c r="O44" s="20"/>
      <c r="P44" s="20"/>
      <c r="Q44" s="20"/>
      <c r="R44" s="20"/>
      <c r="S44" s="20"/>
      <c r="T44" s="20"/>
      <c r="U44" s="20"/>
      <c r="V44" s="20"/>
      <c r="W44" s="11"/>
      <c r="X44" s="11"/>
    </row>
    <row r="45" spans="1:24" ht="17.25" x14ac:dyDescent="0.35">
      <c r="A45" s="20"/>
      <c r="B45" s="20"/>
      <c r="C45" s="20"/>
      <c r="D45" s="63" t="str">
        <f>IF(E45&gt;=0,"Amount: capital outlay &gt; depreciation","Amount: depreciation &gt; capital outlay")</f>
        <v>Amount: capital outlay &gt; depreciation</v>
      </c>
      <c r="E45" s="20"/>
      <c r="F45" s="99">
        <f>+F43-F44</f>
        <v>548702</v>
      </c>
      <c r="G45" s="20"/>
      <c r="H45" s="20"/>
      <c r="I45" s="20"/>
      <c r="J45" s="20"/>
      <c r="K45" s="20"/>
      <c r="L45" s="20"/>
      <c r="M45" s="20"/>
      <c r="N45" s="20"/>
      <c r="O45" s="20"/>
      <c r="P45" s="20"/>
      <c r="Q45" s="20"/>
      <c r="R45" s="20"/>
      <c r="S45" s="20"/>
      <c r="T45" s="20"/>
      <c r="U45" s="20"/>
      <c r="V45" s="20"/>
      <c r="W45" s="11"/>
      <c r="X45" s="11"/>
    </row>
    <row r="46" spans="1:24" ht="15.75" x14ac:dyDescent="0.25">
      <c r="A46" s="20"/>
      <c r="B46" s="20"/>
      <c r="C46" s="20"/>
      <c r="D46" s="20"/>
      <c r="E46" s="20"/>
      <c r="F46" s="20"/>
      <c r="G46" s="20"/>
      <c r="H46" s="20"/>
      <c r="I46" s="20"/>
      <c r="J46" s="20"/>
      <c r="K46" s="20"/>
      <c r="L46" s="20"/>
      <c r="M46" s="20"/>
      <c r="N46" s="20"/>
      <c r="O46" s="20"/>
      <c r="P46" s="20"/>
      <c r="Q46" s="20"/>
      <c r="R46" s="20"/>
      <c r="S46" s="20"/>
      <c r="T46" s="20"/>
      <c r="U46" s="20"/>
      <c r="V46" s="20"/>
      <c r="W46" s="11"/>
      <c r="X46" s="11"/>
    </row>
    <row r="47" spans="1:24" ht="15.75" x14ac:dyDescent="0.25">
      <c r="A47" s="20"/>
      <c r="B47" s="20"/>
      <c r="C47" s="20"/>
      <c r="D47" s="20" t="s">
        <v>218</v>
      </c>
      <c r="E47" s="20"/>
      <c r="F47" s="29">
        <f>+'Govt Funds Inc Stmt Exh 4'!G29+'Govt Funds Inc Stmt Exh 4'!G30</f>
        <v>750000</v>
      </c>
      <c r="G47" s="20"/>
      <c r="H47" s="20"/>
      <c r="I47" s="20"/>
      <c r="J47" s="20"/>
      <c r="K47" s="20"/>
      <c r="L47" s="20"/>
      <c r="M47" s="20"/>
      <c r="N47" s="20"/>
      <c r="O47" s="20"/>
      <c r="P47" s="20"/>
      <c r="Q47" s="20"/>
      <c r="R47" s="20"/>
      <c r="S47" s="20"/>
      <c r="T47" s="20"/>
      <c r="U47" s="20"/>
      <c r="V47" s="20"/>
      <c r="W47" s="11"/>
      <c r="X47" s="11"/>
    </row>
    <row r="48" spans="1:24" ht="17.25" x14ac:dyDescent="0.35">
      <c r="A48" s="20"/>
      <c r="B48" s="20"/>
      <c r="C48" s="20"/>
      <c r="D48" s="20" t="s">
        <v>219</v>
      </c>
      <c r="E48" s="20"/>
      <c r="F48" s="98">
        <f>23000+25000+125000</f>
        <v>173000</v>
      </c>
      <c r="G48" s="20"/>
      <c r="H48" s="20"/>
      <c r="I48" s="20"/>
      <c r="J48" s="20"/>
      <c r="K48" s="20"/>
      <c r="L48" s="20"/>
      <c r="M48" s="20"/>
      <c r="N48" s="20"/>
      <c r="O48" s="20"/>
      <c r="P48" s="20"/>
      <c r="Q48" s="20"/>
      <c r="R48" s="20"/>
      <c r="S48" s="20"/>
      <c r="T48" s="20"/>
      <c r="U48" s="20"/>
      <c r="V48" s="20"/>
      <c r="W48" s="11"/>
      <c r="X48" s="11"/>
    </row>
    <row r="49" spans="1:24" ht="17.25" x14ac:dyDescent="0.35">
      <c r="A49" s="20"/>
      <c r="B49" s="20"/>
      <c r="C49" s="20"/>
      <c r="D49" s="63" t="str">
        <f>IF(F49&lt;=0,"Amount: debt issuance &gt; repayments","Amount: debt repayments &gt; issuance")</f>
        <v>Amount: debt issuance &gt; repayments</v>
      </c>
      <c r="E49" s="20"/>
      <c r="F49" s="99">
        <f>F48-F47</f>
        <v>-577000</v>
      </c>
      <c r="G49" s="20"/>
      <c r="H49" s="20"/>
      <c r="I49" s="20"/>
      <c r="J49" s="20"/>
      <c r="K49" s="20"/>
      <c r="L49" s="20"/>
      <c r="M49" s="20"/>
      <c r="N49" s="20"/>
      <c r="O49" s="20"/>
      <c r="P49" s="20"/>
      <c r="Q49" s="20"/>
      <c r="R49" s="20"/>
      <c r="S49" s="20"/>
      <c r="T49" s="20"/>
      <c r="U49" s="20"/>
      <c r="V49" s="20"/>
      <c r="W49" s="11"/>
      <c r="X49" s="11"/>
    </row>
    <row r="50" spans="1:24" ht="15.75" x14ac:dyDescent="0.25">
      <c r="A50" s="20"/>
      <c r="B50" s="20"/>
      <c r="C50" s="20"/>
      <c r="D50" s="20"/>
      <c r="E50" s="20"/>
      <c r="F50" s="20"/>
      <c r="G50" s="20"/>
      <c r="H50" s="20"/>
      <c r="I50" s="20"/>
      <c r="J50" s="20"/>
      <c r="K50" s="20"/>
      <c r="L50" s="20"/>
      <c r="M50" s="20"/>
      <c r="N50" s="20"/>
      <c r="O50" s="20"/>
      <c r="P50" s="20"/>
      <c r="Q50" s="20"/>
      <c r="R50" s="20"/>
      <c r="S50" s="20"/>
      <c r="T50" s="20"/>
      <c r="U50" s="20"/>
      <c r="V50" s="20"/>
      <c r="W50" s="11"/>
      <c r="X50" s="11"/>
    </row>
    <row r="51" spans="1:24" ht="15.75" x14ac:dyDescent="0.25">
      <c r="A51" s="20"/>
      <c r="B51" s="20"/>
      <c r="C51" s="20"/>
      <c r="D51" s="20"/>
      <c r="E51" s="20"/>
      <c r="F51" s="20"/>
      <c r="G51" s="20"/>
      <c r="H51" s="20"/>
      <c r="I51" s="20"/>
      <c r="J51" s="20"/>
      <c r="K51" s="20"/>
      <c r="L51" s="20"/>
      <c r="M51" s="20"/>
      <c r="N51" s="20"/>
      <c r="O51" s="20"/>
      <c r="P51" s="20"/>
      <c r="Q51" s="20"/>
      <c r="R51" s="20"/>
      <c r="S51" s="20"/>
      <c r="T51" s="20"/>
      <c r="U51" s="20"/>
      <c r="V51" s="20"/>
      <c r="W51" s="11"/>
      <c r="X51" s="11"/>
    </row>
    <row r="52" spans="1:24" ht="15.75" x14ac:dyDescent="0.25">
      <c r="A52" s="20"/>
      <c r="B52" s="20"/>
      <c r="C52" s="20"/>
      <c r="D52" s="20" t="s">
        <v>243</v>
      </c>
      <c r="E52" s="20"/>
      <c r="F52" s="29">
        <v>0</v>
      </c>
      <c r="G52" s="20"/>
      <c r="H52" s="20"/>
      <c r="I52" s="20"/>
      <c r="J52" s="20"/>
      <c r="K52" s="20"/>
      <c r="L52" s="20"/>
      <c r="M52" s="20"/>
      <c r="N52" s="20"/>
      <c r="O52" s="20"/>
      <c r="P52" s="20"/>
      <c r="Q52" s="20"/>
      <c r="R52" s="20"/>
      <c r="S52" s="20"/>
      <c r="T52" s="20"/>
      <c r="U52" s="20"/>
      <c r="V52" s="20"/>
      <c r="W52" s="11"/>
      <c r="X52" s="11"/>
    </row>
    <row r="53" spans="1:24" ht="17.25" x14ac:dyDescent="0.35">
      <c r="A53" s="20"/>
      <c r="B53" s="20"/>
      <c r="C53" s="20"/>
      <c r="D53" s="20" t="s">
        <v>244</v>
      </c>
      <c r="E53" s="20"/>
      <c r="F53" s="98">
        <f>'GW Stmt Activities Exh 2'!B10</f>
        <v>240387</v>
      </c>
      <c r="G53" s="20"/>
      <c r="H53" s="20"/>
      <c r="I53" s="20"/>
      <c r="J53" s="20"/>
      <c r="K53" s="20"/>
      <c r="L53" s="20"/>
      <c r="M53" s="20"/>
      <c r="N53" s="20"/>
      <c r="O53" s="20"/>
      <c r="P53" s="20"/>
      <c r="Q53" s="20"/>
      <c r="R53" s="20"/>
      <c r="S53" s="20"/>
      <c r="T53" s="20"/>
      <c r="U53" s="20"/>
      <c r="V53" s="20"/>
      <c r="W53" s="11"/>
      <c r="X53" s="11"/>
    </row>
    <row r="54" spans="1:24" ht="17.25" x14ac:dyDescent="0.35">
      <c r="A54" s="20"/>
      <c r="B54" s="20"/>
      <c r="C54" s="20"/>
      <c r="D54" s="63" t="str">
        <f>IF(F54&lt;=0,"Amount interest: expense &gt; payable","Amount interest: payable &gt; expense")</f>
        <v>Amount interest: payable &gt; expense</v>
      </c>
      <c r="E54" s="20"/>
      <c r="F54" s="99">
        <f>F53-F52</f>
        <v>240387</v>
      </c>
      <c r="G54" s="20"/>
      <c r="H54" s="20"/>
      <c r="I54" s="20"/>
      <c r="J54" s="20"/>
      <c r="K54" s="20"/>
      <c r="L54" s="20"/>
      <c r="M54" s="20"/>
      <c r="N54" s="20"/>
      <c r="O54" s="20"/>
      <c r="P54" s="20"/>
      <c r="Q54" s="20"/>
      <c r="R54" s="20"/>
      <c r="S54" s="20"/>
      <c r="T54" s="20"/>
      <c r="U54" s="20"/>
      <c r="V54" s="20"/>
      <c r="W54" s="11"/>
      <c r="X54" s="11"/>
    </row>
    <row r="55" spans="1:24" ht="15.75" x14ac:dyDescent="0.25">
      <c r="A55" s="20"/>
      <c r="B55" s="20"/>
      <c r="C55" s="20"/>
      <c r="D55" s="20"/>
      <c r="E55" s="20"/>
      <c r="F55" s="20"/>
      <c r="G55" s="20"/>
      <c r="H55" s="20"/>
      <c r="I55" s="20"/>
      <c r="J55" s="20"/>
      <c r="K55" s="20"/>
      <c r="L55" s="20"/>
      <c r="M55" s="20"/>
      <c r="N55" s="20"/>
      <c r="O55" s="20"/>
      <c r="P55" s="20"/>
      <c r="Q55" s="20"/>
      <c r="R55" s="20"/>
      <c r="S55" s="20"/>
      <c r="T55" s="20"/>
      <c r="U55" s="20"/>
      <c r="V55" s="20"/>
      <c r="W55" s="11"/>
      <c r="X55" s="11"/>
    </row>
    <row r="56" spans="1:24" ht="15.75" x14ac:dyDescent="0.25">
      <c r="A56" s="20"/>
      <c r="B56" s="20"/>
      <c r="C56" s="20"/>
      <c r="D56" s="20"/>
      <c r="E56" s="20"/>
      <c r="F56" s="20"/>
      <c r="G56" s="20"/>
      <c r="H56" s="20"/>
      <c r="I56" s="20"/>
      <c r="J56" s="20"/>
      <c r="K56" s="20"/>
      <c r="L56" s="20"/>
      <c r="M56" s="20"/>
      <c r="N56" s="20"/>
      <c r="O56" s="20"/>
      <c r="P56" s="20"/>
      <c r="Q56" s="20"/>
      <c r="R56" s="20"/>
      <c r="S56" s="20"/>
      <c r="T56" s="20"/>
      <c r="U56" s="20"/>
      <c r="V56" s="20"/>
      <c r="W56" s="11"/>
      <c r="X56" s="11"/>
    </row>
    <row r="57" spans="1:24" ht="15.75" x14ac:dyDescent="0.25">
      <c r="A57" s="20"/>
      <c r="B57" s="20"/>
      <c r="C57" s="20"/>
      <c r="D57" s="20"/>
      <c r="E57" s="20"/>
      <c r="F57" s="20"/>
      <c r="G57" s="20"/>
      <c r="H57" s="20"/>
      <c r="I57" s="20"/>
      <c r="J57" s="20"/>
      <c r="K57" s="20"/>
      <c r="L57" s="20"/>
      <c r="M57" s="20"/>
      <c r="N57" s="20"/>
      <c r="O57" s="20"/>
      <c r="P57" s="20"/>
      <c r="Q57" s="20"/>
      <c r="R57" s="20"/>
      <c r="S57" s="20"/>
      <c r="T57" s="20"/>
      <c r="U57" s="20"/>
      <c r="V57" s="20"/>
      <c r="W57" s="11"/>
      <c r="X57" s="11"/>
    </row>
    <row r="58" spans="1:24" ht="15.75" x14ac:dyDescent="0.25">
      <c r="A58" s="20"/>
      <c r="B58" s="20"/>
      <c r="C58" s="20"/>
      <c r="D58" s="20"/>
      <c r="E58" s="20"/>
      <c r="F58" s="20"/>
      <c r="G58" s="20"/>
      <c r="H58" s="20"/>
      <c r="I58" s="20"/>
      <c r="J58" s="20"/>
      <c r="K58" s="20"/>
      <c r="L58" s="20"/>
      <c r="M58" s="20"/>
      <c r="N58" s="20"/>
      <c r="O58" s="20"/>
      <c r="P58" s="20"/>
      <c r="Q58" s="20"/>
      <c r="R58" s="20"/>
      <c r="S58" s="20"/>
      <c r="T58" s="20"/>
      <c r="U58" s="20"/>
      <c r="V58" s="20"/>
      <c r="W58" s="11"/>
      <c r="X58" s="11"/>
    </row>
    <row r="59" spans="1:24" ht="15.75" x14ac:dyDescent="0.25">
      <c r="A59" s="20"/>
      <c r="B59" s="20"/>
      <c r="C59" s="20"/>
      <c r="D59" s="20"/>
      <c r="E59" s="20"/>
      <c r="F59" s="20"/>
      <c r="G59" s="20"/>
      <c r="H59" s="20"/>
      <c r="I59" s="20"/>
      <c r="J59" s="20"/>
      <c r="K59" s="20"/>
      <c r="L59" s="20"/>
      <c r="M59" s="20"/>
      <c r="N59" s="20"/>
      <c r="O59" s="20"/>
      <c r="P59" s="20"/>
      <c r="Q59" s="20"/>
      <c r="R59" s="20"/>
      <c r="S59" s="20"/>
      <c r="T59" s="20"/>
      <c r="U59" s="20"/>
      <c r="V59" s="20"/>
      <c r="W59" s="11"/>
      <c r="X59" s="11"/>
    </row>
    <row r="60" spans="1:24" ht="15.75" x14ac:dyDescent="0.25">
      <c r="A60" s="20"/>
      <c r="B60" s="20"/>
      <c r="C60" s="20"/>
      <c r="D60" s="20"/>
      <c r="E60" s="20"/>
      <c r="F60" s="20"/>
      <c r="G60" s="20"/>
      <c r="H60" s="20"/>
      <c r="I60" s="20"/>
      <c r="J60" s="20"/>
      <c r="K60" s="20"/>
      <c r="L60" s="20"/>
      <c r="M60" s="20"/>
      <c r="N60" s="20"/>
      <c r="O60" s="20"/>
      <c r="P60" s="20"/>
      <c r="Q60" s="20"/>
      <c r="R60" s="20"/>
      <c r="S60" s="20"/>
      <c r="T60" s="20"/>
      <c r="U60" s="20"/>
      <c r="V60" s="20"/>
      <c r="W60" s="11"/>
      <c r="X60" s="11"/>
    </row>
    <row r="61" spans="1:24" ht="15.75" x14ac:dyDescent="0.25">
      <c r="A61" s="20"/>
      <c r="B61" s="20"/>
      <c r="C61" s="20"/>
      <c r="D61" s="20"/>
      <c r="E61" s="20"/>
      <c r="F61" s="20"/>
      <c r="G61" s="20"/>
      <c r="H61" s="20"/>
      <c r="I61" s="20"/>
      <c r="J61" s="20"/>
      <c r="K61" s="20"/>
      <c r="L61" s="20"/>
      <c r="M61" s="20"/>
      <c r="N61" s="20"/>
      <c r="O61" s="20"/>
      <c r="P61" s="20"/>
      <c r="Q61" s="20"/>
      <c r="R61" s="20"/>
      <c r="S61" s="20"/>
      <c r="T61" s="20"/>
      <c r="U61" s="20"/>
      <c r="V61" s="20"/>
      <c r="W61" s="11"/>
      <c r="X61" s="11"/>
    </row>
    <row r="62" spans="1:24" ht="15.75" x14ac:dyDescent="0.25">
      <c r="A62" s="20"/>
      <c r="B62" s="20"/>
      <c r="C62" s="20"/>
      <c r="D62" s="20"/>
      <c r="E62" s="20"/>
      <c r="F62" s="20"/>
      <c r="G62" s="20"/>
      <c r="H62" s="20"/>
      <c r="I62" s="20"/>
      <c r="J62" s="20"/>
      <c r="K62" s="20"/>
      <c r="L62" s="20"/>
      <c r="M62" s="20"/>
      <c r="N62" s="20"/>
      <c r="O62" s="20"/>
      <c r="P62" s="20"/>
      <c r="Q62" s="20"/>
      <c r="R62" s="20"/>
      <c r="S62" s="20"/>
      <c r="T62" s="20"/>
      <c r="U62" s="20"/>
      <c r="V62" s="20"/>
      <c r="W62" s="11"/>
      <c r="X62" s="11"/>
    </row>
    <row r="63" spans="1:24" ht="15.75" x14ac:dyDescent="0.25">
      <c r="A63" s="20"/>
      <c r="B63" s="20"/>
      <c r="C63" s="20"/>
      <c r="D63" s="20"/>
      <c r="E63" s="20"/>
      <c r="F63" s="20"/>
      <c r="G63" s="20"/>
      <c r="H63" s="20"/>
      <c r="I63" s="20"/>
      <c r="J63" s="20"/>
      <c r="K63" s="20"/>
      <c r="L63" s="20"/>
      <c r="M63" s="20"/>
      <c r="N63" s="20"/>
      <c r="O63" s="20"/>
      <c r="P63" s="20"/>
      <c r="Q63" s="20"/>
      <c r="R63" s="20"/>
      <c r="S63" s="20"/>
      <c r="T63" s="20"/>
      <c r="U63" s="20"/>
      <c r="V63" s="20"/>
      <c r="W63" s="11"/>
      <c r="X63" s="11"/>
    </row>
    <row r="64" spans="1:24" ht="15.75" x14ac:dyDescent="0.25">
      <c r="A64" s="20"/>
      <c r="B64" s="20"/>
      <c r="C64" s="20"/>
      <c r="D64" s="20"/>
      <c r="E64" s="20"/>
      <c r="F64" s="20"/>
      <c r="G64" s="20"/>
      <c r="H64" s="20"/>
      <c r="I64" s="20"/>
      <c r="J64" s="20"/>
      <c r="K64" s="20"/>
      <c r="L64" s="20"/>
      <c r="M64" s="20"/>
      <c r="N64" s="20"/>
      <c r="O64" s="20"/>
      <c r="P64" s="20"/>
      <c r="Q64" s="20"/>
      <c r="R64" s="20"/>
      <c r="S64" s="20"/>
      <c r="T64" s="20"/>
      <c r="U64" s="20"/>
      <c r="V64" s="20"/>
      <c r="W64" s="11"/>
      <c r="X64" s="11"/>
    </row>
    <row r="65" spans="1:24" ht="15.75" x14ac:dyDescent="0.25">
      <c r="A65" s="20"/>
      <c r="B65" s="20"/>
      <c r="C65" s="20"/>
      <c r="D65" s="20"/>
      <c r="E65" s="20"/>
      <c r="F65" s="20"/>
      <c r="G65" s="20"/>
      <c r="H65" s="20"/>
      <c r="I65" s="20"/>
      <c r="J65" s="20"/>
      <c r="K65" s="20"/>
      <c r="L65" s="20"/>
      <c r="M65" s="20"/>
      <c r="N65" s="20"/>
      <c r="O65" s="20"/>
      <c r="P65" s="20"/>
      <c r="Q65" s="20"/>
      <c r="R65" s="20"/>
      <c r="S65" s="20"/>
      <c r="T65" s="20"/>
      <c r="U65" s="20"/>
      <c r="V65" s="20"/>
      <c r="W65" s="11"/>
      <c r="X65" s="11"/>
    </row>
    <row r="66" spans="1:24" ht="15.75" x14ac:dyDescent="0.25">
      <c r="A66" s="20"/>
      <c r="B66" s="20"/>
      <c r="C66" s="20"/>
      <c r="D66" s="20"/>
      <c r="E66" s="20"/>
      <c r="F66" s="20"/>
      <c r="G66" s="20"/>
      <c r="H66" s="20"/>
      <c r="I66" s="20"/>
      <c r="J66" s="20"/>
      <c r="K66" s="20"/>
      <c r="L66" s="20"/>
      <c r="M66" s="20"/>
      <c r="N66" s="20"/>
      <c r="O66" s="20"/>
      <c r="P66" s="20"/>
      <c r="Q66" s="20"/>
      <c r="R66" s="20"/>
      <c r="S66" s="20"/>
      <c r="T66" s="20"/>
      <c r="U66" s="20"/>
      <c r="V66" s="20"/>
      <c r="W66" s="11"/>
      <c r="X66" s="11"/>
    </row>
    <row r="67" spans="1:24" ht="15.75" x14ac:dyDescent="0.25">
      <c r="A67" s="20"/>
      <c r="B67" s="20"/>
      <c r="C67" s="20"/>
      <c r="D67" s="20"/>
      <c r="E67" s="20"/>
      <c r="F67" s="20"/>
      <c r="G67" s="20"/>
      <c r="H67" s="20"/>
      <c r="I67" s="20"/>
      <c r="J67" s="20"/>
      <c r="K67" s="20"/>
      <c r="L67" s="20"/>
      <c r="M67" s="20"/>
      <c r="N67" s="20"/>
      <c r="O67" s="20"/>
      <c r="P67" s="20"/>
      <c r="Q67" s="20"/>
      <c r="R67" s="20"/>
      <c r="S67" s="20"/>
      <c r="T67" s="20"/>
      <c r="U67" s="20"/>
      <c r="V67" s="20"/>
      <c r="W67" s="11"/>
      <c r="X67" s="11"/>
    </row>
    <row r="68" spans="1:24" ht="15.75" x14ac:dyDescent="0.25">
      <c r="A68" s="20"/>
      <c r="B68" s="20"/>
      <c r="C68" s="20"/>
      <c r="D68" s="20"/>
      <c r="E68" s="20"/>
      <c r="F68" s="20"/>
      <c r="G68" s="20"/>
      <c r="H68" s="20"/>
      <c r="I68" s="20"/>
      <c r="J68" s="20"/>
      <c r="K68" s="20"/>
      <c r="L68" s="20"/>
      <c r="M68" s="20"/>
      <c r="N68" s="20"/>
      <c r="O68" s="20"/>
      <c r="P68" s="20"/>
      <c r="Q68" s="20"/>
      <c r="R68" s="20"/>
      <c r="S68" s="20"/>
      <c r="T68" s="20"/>
      <c r="U68" s="20"/>
      <c r="V68" s="20"/>
      <c r="W68" s="11"/>
      <c r="X68" s="11"/>
    </row>
    <row r="69" spans="1:24" ht="15.75" x14ac:dyDescent="0.25">
      <c r="A69" s="20"/>
      <c r="B69" s="20"/>
      <c r="C69" s="20"/>
      <c r="D69" s="20"/>
      <c r="E69" s="20"/>
      <c r="F69" s="20"/>
      <c r="G69" s="20"/>
      <c r="H69" s="20"/>
      <c r="I69" s="20"/>
      <c r="J69" s="20"/>
      <c r="K69" s="20"/>
      <c r="L69" s="20"/>
      <c r="M69" s="20"/>
      <c r="N69" s="20"/>
      <c r="O69" s="20"/>
      <c r="P69" s="20"/>
      <c r="Q69" s="20"/>
      <c r="R69" s="20"/>
      <c r="S69" s="20"/>
      <c r="T69" s="20"/>
      <c r="U69" s="20"/>
      <c r="V69" s="20"/>
      <c r="W69" s="11"/>
      <c r="X69" s="11"/>
    </row>
    <row r="70" spans="1:24" ht="15.75" x14ac:dyDescent="0.25">
      <c r="A70" s="20"/>
      <c r="B70" s="20"/>
      <c r="C70" s="20"/>
      <c r="D70" s="20"/>
      <c r="E70" s="20"/>
      <c r="F70" s="20"/>
      <c r="G70" s="20"/>
      <c r="H70" s="20"/>
      <c r="I70" s="20"/>
      <c r="J70" s="20"/>
      <c r="K70" s="20"/>
      <c r="L70" s="20"/>
      <c r="M70" s="20"/>
      <c r="N70" s="20"/>
      <c r="O70" s="20"/>
      <c r="P70" s="20"/>
      <c r="Q70" s="20"/>
      <c r="R70" s="20"/>
      <c r="S70" s="20"/>
      <c r="T70" s="20"/>
      <c r="U70" s="20"/>
      <c r="V70" s="20"/>
      <c r="W70" s="11"/>
      <c r="X70" s="11"/>
    </row>
    <row r="71" spans="1:24" ht="15.75" x14ac:dyDescent="0.25">
      <c r="A71" s="20"/>
      <c r="B71" s="20"/>
      <c r="C71" s="20"/>
      <c r="D71" s="20"/>
      <c r="E71" s="20"/>
      <c r="F71" s="20"/>
      <c r="G71" s="20"/>
      <c r="H71" s="20"/>
      <c r="I71" s="20"/>
      <c r="J71" s="20"/>
      <c r="K71" s="20"/>
      <c r="L71" s="20"/>
      <c r="M71" s="20"/>
      <c r="N71" s="20"/>
      <c r="O71" s="20"/>
      <c r="P71" s="20"/>
      <c r="Q71" s="20"/>
      <c r="R71" s="20"/>
      <c r="S71" s="20"/>
      <c r="T71" s="20"/>
      <c r="U71" s="20"/>
      <c r="V71" s="20"/>
      <c r="W71" s="11"/>
      <c r="X71" s="11"/>
    </row>
    <row r="72" spans="1:24" ht="15.75" x14ac:dyDescent="0.25">
      <c r="A72" s="20"/>
      <c r="B72" s="20"/>
      <c r="C72" s="20"/>
      <c r="D72" s="20"/>
      <c r="E72" s="20"/>
      <c r="F72" s="20"/>
      <c r="G72" s="20"/>
      <c r="H72" s="20"/>
      <c r="I72" s="20"/>
      <c r="J72" s="20"/>
      <c r="K72" s="20"/>
      <c r="L72" s="20"/>
      <c r="M72" s="20"/>
      <c r="N72" s="20"/>
      <c r="O72" s="20"/>
      <c r="P72" s="20"/>
      <c r="Q72" s="20"/>
      <c r="R72" s="20"/>
      <c r="S72" s="20"/>
      <c r="T72" s="20"/>
      <c r="U72" s="20"/>
      <c r="V72" s="20"/>
      <c r="W72" s="11"/>
      <c r="X72" s="11"/>
    </row>
    <row r="73" spans="1:24" ht="15.75" x14ac:dyDescent="0.25">
      <c r="A73" s="20"/>
      <c r="B73" s="20"/>
      <c r="C73" s="20"/>
      <c r="D73" s="20"/>
      <c r="E73" s="20"/>
      <c r="F73" s="20"/>
      <c r="G73" s="20"/>
      <c r="H73" s="20"/>
      <c r="I73" s="20"/>
      <c r="J73" s="20"/>
      <c r="K73" s="20"/>
      <c r="L73" s="20"/>
      <c r="M73" s="20"/>
      <c r="N73" s="20"/>
      <c r="O73" s="20"/>
      <c r="P73" s="20"/>
      <c r="Q73" s="20"/>
      <c r="R73" s="20"/>
      <c r="S73" s="20"/>
      <c r="T73" s="20"/>
      <c r="U73" s="20"/>
      <c r="V73" s="20"/>
      <c r="W73" s="11"/>
      <c r="X73" s="11"/>
    </row>
    <row r="74" spans="1:24" ht="15.75" x14ac:dyDescent="0.25">
      <c r="A74" s="20"/>
      <c r="B74" s="20"/>
      <c r="C74" s="20"/>
      <c r="D74" s="20"/>
      <c r="E74" s="20"/>
      <c r="F74" s="20"/>
      <c r="G74" s="20"/>
      <c r="H74" s="20"/>
      <c r="I74" s="20"/>
      <c r="J74" s="20"/>
      <c r="K74" s="20"/>
      <c r="L74" s="20"/>
      <c r="M74" s="20"/>
      <c r="N74" s="20"/>
      <c r="O74" s="20"/>
      <c r="P74" s="20"/>
      <c r="Q74" s="20"/>
      <c r="R74" s="20"/>
      <c r="S74" s="20"/>
      <c r="T74" s="20"/>
      <c r="U74" s="20"/>
      <c r="V74" s="20"/>
      <c r="W74" s="11"/>
      <c r="X74" s="11"/>
    </row>
    <row r="75" spans="1:24" ht="15.75" x14ac:dyDescent="0.25">
      <c r="A75" s="20"/>
      <c r="B75" s="20"/>
      <c r="C75" s="20"/>
      <c r="D75" s="20"/>
      <c r="E75" s="20"/>
      <c r="F75" s="20"/>
      <c r="G75" s="20"/>
      <c r="H75" s="20"/>
      <c r="I75" s="20"/>
      <c r="J75" s="20"/>
      <c r="K75" s="20"/>
      <c r="L75" s="20"/>
      <c r="M75" s="20"/>
      <c r="N75" s="20"/>
      <c r="O75" s="20"/>
      <c r="P75" s="20"/>
      <c r="Q75" s="20"/>
      <c r="R75" s="20"/>
      <c r="S75" s="20"/>
      <c r="T75" s="20"/>
      <c r="U75" s="20"/>
      <c r="V75" s="20"/>
      <c r="W75" s="11"/>
      <c r="X75" s="11"/>
    </row>
    <row r="76" spans="1:24" ht="15.75" x14ac:dyDescent="0.25">
      <c r="A76" s="20"/>
      <c r="B76" s="20"/>
      <c r="C76" s="20"/>
      <c r="D76" s="20"/>
      <c r="E76" s="20"/>
      <c r="F76" s="20"/>
      <c r="G76" s="20"/>
      <c r="H76" s="20"/>
      <c r="I76" s="20"/>
      <c r="J76" s="20"/>
      <c r="K76" s="20"/>
      <c r="L76" s="20"/>
      <c r="M76" s="20"/>
      <c r="N76" s="20"/>
      <c r="O76" s="20"/>
      <c r="P76" s="20"/>
      <c r="Q76" s="20"/>
      <c r="R76" s="20"/>
      <c r="S76" s="20"/>
      <c r="T76" s="20"/>
      <c r="U76" s="20"/>
      <c r="V76" s="20"/>
      <c r="W76" s="11"/>
      <c r="X76" s="11"/>
    </row>
    <row r="77" spans="1:24" ht="15.75" x14ac:dyDescent="0.25">
      <c r="A77" s="20"/>
      <c r="B77" s="20"/>
      <c r="C77" s="20"/>
      <c r="D77" s="20"/>
      <c r="E77" s="20"/>
      <c r="F77" s="20"/>
      <c r="G77" s="20"/>
      <c r="H77" s="20"/>
      <c r="I77" s="20"/>
      <c r="J77" s="20"/>
      <c r="K77" s="20"/>
      <c r="L77" s="20"/>
      <c r="M77" s="20"/>
      <c r="N77" s="20"/>
      <c r="O77" s="20"/>
      <c r="P77" s="20"/>
      <c r="Q77" s="20"/>
      <c r="R77" s="20"/>
      <c r="S77" s="20"/>
      <c r="T77" s="20"/>
      <c r="U77" s="20"/>
      <c r="V77" s="20"/>
      <c r="W77" s="11"/>
      <c r="X77" s="11"/>
    </row>
    <row r="78" spans="1:24" ht="15.75" x14ac:dyDescent="0.25">
      <c r="A78" s="20"/>
      <c r="B78" s="20"/>
      <c r="C78" s="20"/>
      <c r="D78" s="20"/>
      <c r="E78" s="20"/>
      <c r="F78" s="20"/>
      <c r="G78" s="20"/>
      <c r="H78" s="20"/>
      <c r="I78" s="20"/>
      <c r="J78" s="20"/>
      <c r="K78" s="20"/>
      <c r="L78" s="20"/>
      <c r="M78" s="20"/>
      <c r="N78" s="20"/>
      <c r="O78" s="20"/>
      <c r="P78" s="20"/>
      <c r="Q78" s="20"/>
      <c r="R78" s="20"/>
      <c r="S78" s="20"/>
      <c r="T78" s="20"/>
      <c r="U78" s="20"/>
      <c r="V78" s="20"/>
      <c r="W78" s="11"/>
      <c r="X78" s="11"/>
    </row>
    <row r="79" spans="1:24" ht="15.75" x14ac:dyDescent="0.25">
      <c r="A79" s="20"/>
      <c r="B79" s="20"/>
      <c r="C79" s="20"/>
      <c r="D79" s="20"/>
      <c r="E79" s="20"/>
      <c r="F79" s="20"/>
      <c r="G79" s="20"/>
      <c r="H79" s="20"/>
      <c r="I79" s="20"/>
      <c r="J79" s="20"/>
      <c r="K79" s="20"/>
      <c r="L79" s="20"/>
      <c r="M79" s="20"/>
      <c r="N79" s="20"/>
      <c r="O79" s="20"/>
      <c r="P79" s="20"/>
      <c r="Q79" s="20"/>
      <c r="R79" s="20"/>
      <c r="S79" s="20"/>
      <c r="T79" s="20"/>
      <c r="U79" s="20"/>
      <c r="V79" s="20"/>
      <c r="W79" s="11"/>
      <c r="X79" s="11"/>
    </row>
    <row r="80" spans="1:24" ht="15.75" x14ac:dyDescent="0.25">
      <c r="A80" s="20"/>
      <c r="B80" s="20"/>
      <c r="C80" s="20"/>
      <c r="D80" s="20"/>
      <c r="E80" s="20"/>
      <c r="F80" s="20"/>
      <c r="G80" s="20"/>
      <c r="H80" s="20"/>
      <c r="I80" s="20"/>
      <c r="J80" s="20"/>
      <c r="K80" s="20"/>
      <c r="L80" s="20"/>
      <c r="M80" s="20"/>
      <c r="N80" s="20"/>
      <c r="O80" s="20"/>
      <c r="P80" s="20"/>
      <c r="Q80" s="20"/>
      <c r="R80" s="20"/>
      <c r="S80" s="20"/>
      <c r="T80" s="20"/>
      <c r="U80" s="20"/>
      <c r="V80" s="20"/>
      <c r="W80" s="11"/>
      <c r="X80" s="11"/>
    </row>
    <row r="81" spans="1:24" ht="15.7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row>
    <row r="82" spans="1:24" ht="15.7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row>
    <row r="83" spans="1:24" ht="15.7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row>
    <row r="84" spans="1:24" ht="15.7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row>
    <row r="85" spans="1:24" ht="15.7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row>
    <row r="86" spans="1:24" ht="15.7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row>
    <row r="87" spans="1:24" ht="15.7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row>
    <row r="88" spans="1:24" ht="15.7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row>
    <row r="89" spans="1:24" ht="15.7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row>
    <row r="90" spans="1:24" ht="15.7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row>
    <row r="91" spans="1:24" ht="15.7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row>
    <row r="92" spans="1:24" ht="15.7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row>
    <row r="93" spans="1:24" ht="15.7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row>
    <row r="94" spans="1:24" ht="15.7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row>
    <row r="95" spans="1:24" ht="15.7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row>
    <row r="96" spans="1:24" ht="15.7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row>
  </sheetData>
  <mergeCells count="4">
    <mergeCell ref="A1:F1"/>
    <mergeCell ref="A2:F2"/>
    <mergeCell ref="A3:F3"/>
    <mergeCell ref="A4:F4"/>
  </mergeCells>
  <phoneticPr fontId="0" type="noConversion"/>
  <conditionalFormatting sqref="F35">
    <cfRule type="cellIs" dxfId="90" priority="1" stopIfTrue="1" operator="notEqual">
      <formula>"Yes"</formula>
    </cfRule>
    <cfRule type="cellIs" dxfId="89" priority="2" stopIfTrue="1" operator="notEqual">
      <formula>"yes"</formula>
    </cfRule>
  </conditionalFormatting>
  <pageMargins left="0.75" right="0.75" top="0.75" bottom="0.75" header="0.5" footer="0.5"/>
  <pageSetup scale="97" firstPageNumber="19" orientation="portrait" useFirstPageNumber="1" r:id="rId1"/>
  <headerFooter alignWithMargins="0">
    <oddHeader>&amp;R&amp;12Exhibit 5</oddHeader>
    <oddFooter>&amp;L&amp;12Revised:  July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tint="0.59999389629810485"/>
    <pageSetUpPr fitToPage="1"/>
  </sheetPr>
  <dimension ref="A1:V97"/>
  <sheetViews>
    <sheetView showGridLines="0" showWhiteSpace="0" zoomScaleNormal="100" zoomScaleSheetLayoutView="70" zoomScalePageLayoutView="80" workbookViewId="0">
      <pane xSplit="1" ySplit="9" topLeftCell="G10"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42.7109375" customWidth="1"/>
    <col min="2" max="4" width="16.7109375" customWidth="1"/>
    <col min="5" max="5" width="16.7109375" hidden="1" customWidth="1"/>
    <col min="6" max="6" width="16.7109375" customWidth="1"/>
    <col min="7" max="7" width="3.7109375" customWidth="1"/>
    <col min="8" max="8" width="13.7109375" customWidth="1"/>
    <col min="9" max="9" width="12.7109375" customWidth="1"/>
    <col min="10" max="10" width="3.7109375" customWidth="1"/>
    <col min="11" max="16" width="16.7109375" customWidth="1"/>
  </cols>
  <sheetData>
    <row r="1" spans="1:22" s="11" customFormat="1" ht="16.5" thickBot="1" x14ac:dyDescent="0.3">
      <c r="A1" s="342" t="str">
        <f>'GW Net Position Exh 1'!A1</f>
        <v>Owl Charter, Inc.</v>
      </c>
      <c r="B1" s="342"/>
      <c r="C1" s="342"/>
      <c r="D1" s="342"/>
      <c r="E1" s="342"/>
      <c r="F1" s="342"/>
      <c r="G1" s="20"/>
      <c r="H1" s="20"/>
      <c r="I1" s="20"/>
      <c r="J1" s="20"/>
      <c r="K1" s="20"/>
      <c r="L1" s="20"/>
      <c r="M1" s="20"/>
      <c r="N1" s="20"/>
    </row>
    <row r="2" spans="1:22" s="11" customFormat="1" ht="15.75" x14ac:dyDescent="0.25">
      <c r="A2" s="341" t="s">
        <v>165</v>
      </c>
      <c r="B2" s="341"/>
      <c r="C2" s="341"/>
      <c r="D2" s="341"/>
      <c r="E2" s="341"/>
      <c r="F2" s="341"/>
      <c r="G2" s="20"/>
      <c r="H2" s="20"/>
      <c r="I2" s="20"/>
      <c r="J2" s="20"/>
      <c r="K2" s="20"/>
      <c r="L2" s="20"/>
      <c r="M2" s="20"/>
      <c r="N2" s="366" t="s">
        <v>406</v>
      </c>
      <c r="O2" s="367"/>
      <c r="P2" s="368"/>
    </row>
    <row r="3" spans="1:22" s="11" customFormat="1" ht="16.5" thickBot="1" x14ac:dyDescent="0.3">
      <c r="A3" s="342" t="s">
        <v>19</v>
      </c>
      <c r="B3" s="342"/>
      <c r="C3" s="342"/>
      <c r="D3" s="342"/>
      <c r="E3" s="342"/>
      <c r="F3" s="342"/>
      <c r="G3" s="20"/>
      <c r="H3" s="20"/>
      <c r="I3" s="20"/>
      <c r="J3" s="20"/>
      <c r="K3" s="20"/>
      <c r="L3" s="20"/>
      <c r="M3" s="20"/>
      <c r="N3" s="369"/>
      <c r="O3" s="370"/>
      <c r="P3" s="371"/>
    </row>
    <row r="4" spans="1:22" s="11" customFormat="1" ht="15.75" x14ac:dyDescent="0.25">
      <c r="A4" s="374" t="str">
        <f>+'GW Net Position Exh 1'!A3</f>
        <v>June 30, 2020</v>
      </c>
      <c r="B4" s="342"/>
      <c r="C4" s="342"/>
      <c r="D4" s="342"/>
      <c r="E4" s="342"/>
      <c r="F4" s="342"/>
      <c r="G4" s="20"/>
      <c r="H4" s="20"/>
      <c r="I4" s="20"/>
      <c r="J4" s="20"/>
      <c r="K4" s="20"/>
      <c r="L4" s="20"/>
      <c r="M4" s="20"/>
      <c r="N4" s="20"/>
    </row>
    <row r="5" spans="1:22" s="11" customFormat="1" ht="20.25" x14ac:dyDescent="0.55000000000000004">
      <c r="A5" s="20"/>
      <c r="B5" s="20"/>
      <c r="C5" s="20"/>
      <c r="D5" s="20"/>
      <c r="E5" s="20"/>
      <c r="F5" s="20"/>
      <c r="G5" s="20"/>
      <c r="H5" s="20"/>
      <c r="I5" s="20"/>
      <c r="J5" s="20"/>
      <c r="K5" s="373" t="s">
        <v>282</v>
      </c>
      <c r="L5" s="373"/>
      <c r="M5" s="373"/>
      <c r="N5" s="373"/>
      <c r="O5" s="373"/>
      <c r="P5" s="373"/>
      <c r="Q5" s="123"/>
      <c r="R5" s="123"/>
      <c r="S5" s="123"/>
      <c r="T5" s="123"/>
      <c r="U5" s="123"/>
      <c r="V5" s="123"/>
    </row>
    <row r="6" spans="1:22" s="11" customFormat="1" ht="20.100000000000001" customHeight="1" x14ac:dyDescent="0.35">
      <c r="A6" s="20"/>
      <c r="B6" s="372" t="s">
        <v>354</v>
      </c>
      <c r="C6" s="372"/>
      <c r="D6" s="372"/>
      <c r="E6" s="372"/>
      <c r="F6" s="24"/>
      <c r="G6" s="20"/>
      <c r="H6" s="381" t="s">
        <v>316</v>
      </c>
      <c r="I6" s="285"/>
      <c r="J6" s="20"/>
      <c r="K6" s="338" t="s">
        <v>134</v>
      </c>
      <c r="L6" s="338"/>
      <c r="M6" s="338"/>
      <c r="N6" s="338" t="s">
        <v>407</v>
      </c>
      <c r="O6" s="338"/>
      <c r="P6" s="338"/>
    </row>
    <row r="7" spans="1:22" s="11" customFormat="1" ht="17.25" hidden="1" customHeight="1" x14ac:dyDescent="0.35">
      <c r="A7" s="20"/>
      <c r="B7" s="372" t="s">
        <v>125</v>
      </c>
      <c r="C7" s="372"/>
      <c r="D7" s="372"/>
      <c r="E7" s="24" t="s">
        <v>123</v>
      </c>
      <c r="F7" s="25"/>
      <c r="G7" s="20"/>
      <c r="H7" s="381"/>
      <c r="I7" s="285"/>
      <c r="J7" s="20"/>
      <c r="N7" s="20"/>
    </row>
    <row r="8" spans="1:22" s="11" customFormat="1" ht="17.25" hidden="1" customHeight="1" x14ac:dyDescent="0.35">
      <c r="A8" s="20"/>
      <c r="B8" s="338" t="s">
        <v>134</v>
      </c>
      <c r="C8" s="338"/>
      <c r="D8" s="338"/>
      <c r="E8" s="24"/>
      <c r="F8" s="25"/>
      <c r="G8" s="20"/>
      <c r="H8" s="381"/>
      <c r="I8" s="285"/>
      <c r="J8" s="20"/>
      <c r="K8" s="20"/>
      <c r="L8" s="20"/>
      <c r="M8" s="20"/>
      <c r="N8" s="20"/>
    </row>
    <row r="9" spans="1:22" s="11" customFormat="1" ht="20.100000000000001" customHeight="1" x14ac:dyDescent="0.35">
      <c r="A9" s="20"/>
      <c r="B9" s="27" t="str">
        <f>'Govt Funds Bal Sh Exh 3'!C7</f>
        <v>Owl - Doceo</v>
      </c>
      <c r="C9" s="27" t="str">
        <f>'Govt Funds Bal Sh Exh 3'!D7</f>
        <v>Owl - Erudio</v>
      </c>
      <c r="D9" s="27" t="str">
        <f>'Govt Funds Bal Sh Exh 3'!E7</f>
        <v>Owl - Discite</v>
      </c>
      <c r="E9" s="26" t="s">
        <v>225</v>
      </c>
      <c r="F9" s="26" t="s">
        <v>0</v>
      </c>
      <c r="G9" s="20"/>
      <c r="H9" s="381"/>
      <c r="I9" s="329" t="s">
        <v>391</v>
      </c>
      <c r="J9" s="20"/>
      <c r="K9" s="27" t="str">
        <f>$B$9</f>
        <v>Owl - Doceo</v>
      </c>
      <c r="L9" s="27" t="str">
        <f>$C$9</f>
        <v>Owl - Erudio</v>
      </c>
      <c r="M9" s="27" t="str">
        <f>$D$9</f>
        <v>Owl - Discite</v>
      </c>
      <c r="N9" s="27"/>
      <c r="O9" s="27" t="str">
        <f>$C$9</f>
        <v>Owl - Erudio</v>
      </c>
      <c r="P9" s="27" t="str">
        <f>$D$9</f>
        <v>Owl - Discite</v>
      </c>
    </row>
    <row r="10" spans="1:22" s="11" customFormat="1" ht="15.75" x14ac:dyDescent="0.25">
      <c r="A10" s="28" t="s">
        <v>227</v>
      </c>
      <c r="B10" s="20"/>
      <c r="C10" s="20"/>
      <c r="D10" s="20"/>
      <c r="E10" s="20"/>
      <c r="F10" s="20"/>
      <c r="G10" s="20"/>
      <c r="H10" s="20"/>
      <c r="I10" s="63"/>
      <c r="J10" s="20"/>
      <c r="K10" s="20"/>
      <c r="L10" s="20"/>
      <c r="M10" s="20"/>
      <c r="N10" s="20"/>
    </row>
    <row r="11" spans="1:22" s="10" customFormat="1" ht="15.75" x14ac:dyDescent="0.25">
      <c r="A11" s="30" t="s">
        <v>326</v>
      </c>
      <c r="B11" s="30"/>
      <c r="C11" s="30"/>
      <c r="D11" s="30"/>
      <c r="E11" s="30"/>
      <c r="F11" s="30"/>
      <c r="G11" s="30"/>
      <c r="H11" s="30"/>
      <c r="I11" s="322"/>
      <c r="J11" s="30"/>
      <c r="K11" s="30"/>
      <c r="L11" s="30"/>
      <c r="M11" s="30"/>
      <c r="N11" s="30"/>
    </row>
    <row r="12" spans="1:22" s="11" customFormat="1" ht="15.75" x14ac:dyDescent="0.25">
      <c r="A12" s="36" t="s">
        <v>1</v>
      </c>
      <c r="B12" s="138">
        <f t="shared" ref="B12:D15" si="0">+K12+N12</f>
        <v>1967</v>
      </c>
      <c r="C12" s="138">
        <f t="shared" si="0"/>
        <v>2532</v>
      </c>
      <c r="D12" s="138">
        <f t="shared" si="0"/>
        <v>888</v>
      </c>
      <c r="E12" s="18">
        <v>0</v>
      </c>
      <c r="F12" s="18">
        <f>SUM(B12:E12)</f>
        <v>5387</v>
      </c>
      <c r="H12" s="268" t="str">
        <f>IF(F12-'GW Net Position Exh 1'!C7=0,"Yes",F12-'GW Net Position Exh 1'!C7)</f>
        <v>Yes</v>
      </c>
      <c r="I12" s="322" t="str">
        <f>IF((ABS(B12)+(ABS(C12)+ABS(D12)+ABS(E12)+ABS(F12))=0),"Hide Row?"," ")</f>
        <v xml:space="preserve"> </v>
      </c>
      <c r="J12" s="20"/>
      <c r="K12" s="138">
        <v>1047</v>
      </c>
      <c r="L12" s="138">
        <v>1237</v>
      </c>
      <c r="M12" s="138">
        <v>888</v>
      </c>
      <c r="N12" s="138">
        <f>100+820</f>
        <v>920</v>
      </c>
      <c r="O12" s="138">
        <f>1395-100</f>
        <v>1295</v>
      </c>
      <c r="P12" s="138">
        <v>0</v>
      </c>
      <c r="R12" s="20"/>
    </row>
    <row r="13" spans="1:22" s="11" customFormat="1" ht="15.75" x14ac:dyDescent="0.25">
      <c r="A13" s="36" t="s">
        <v>46</v>
      </c>
      <c r="B13" s="139">
        <f t="shared" si="0"/>
        <v>3933</v>
      </c>
      <c r="C13" s="139">
        <f t="shared" si="0"/>
        <v>4782</v>
      </c>
      <c r="D13" s="139">
        <f t="shared" si="0"/>
        <v>3117</v>
      </c>
      <c r="E13" s="32">
        <v>0</v>
      </c>
      <c r="F13" s="32">
        <f>SUM(B13:E13)</f>
        <v>11832</v>
      </c>
      <c r="G13" s="20"/>
      <c r="H13" s="268" t="str">
        <f>IF(F13-'GW Net Position Exh 1'!C8=0,"Yes",F13-'GW Net Position Exh 1'!C8)</f>
        <v>Yes</v>
      </c>
      <c r="I13" s="322" t="str">
        <f t="shared" ref="I13:I37" si="1">IF((ABS(B13)+(ABS(C13)+ABS(D13)+ABS(E13)+ABS(F13))=0),"Hide Row?"," ")</f>
        <v xml:space="preserve"> </v>
      </c>
      <c r="J13" s="20"/>
      <c r="K13" s="139">
        <v>3674</v>
      </c>
      <c r="L13" s="139">
        <v>4341</v>
      </c>
      <c r="M13" s="139">
        <v>3117</v>
      </c>
      <c r="N13" s="139">
        <v>259</v>
      </c>
      <c r="O13" s="139">
        <v>441</v>
      </c>
      <c r="P13" s="32">
        <v>0</v>
      </c>
      <c r="R13" s="20"/>
    </row>
    <row r="14" spans="1:22" s="11" customFormat="1" ht="15.75" x14ac:dyDescent="0.25">
      <c r="A14" s="36" t="s">
        <v>358</v>
      </c>
      <c r="B14" s="139">
        <f t="shared" si="0"/>
        <v>1763</v>
      </c>
      <c r="C14" s="139">
        <f t="shared" si="0"/>
        <v>2793</v>
      </c>
      <c r="D14" s="139">
        <f t="shared" si="0"/>
        <v>784</v>
      </c>
      <c r="E14" s="32">
        <v>0</v>
      </c>
      <c r="F14" s="32">
        <f>SUM(B14:E14)</f>
        <v>5340</v>
      </c>
      <c r="G14" s="20"/>
      <c r="H14" s="268" t="str">
        <f>IF(F14-'GW Net Position Exh 1'!C9=0,"Yes",F14-'GW Net Position Exh 1'!C9)</f>
        <v>Yes</v>
      </c>
      <c r="I14" s="322" t="str">
        <f t="shared" si="1"/>
        <v xml:space="preserve"> </v>
      </c>
      <c r="J14" s="20"/>
      <c r="K14" s="139">
        <f>922+1</f>
        <v>923</v>
      </c>
      <c r="L14" s="139">
        <f>1094-1</f>
        <v>1093</v>
      </c>
      <c r="M14" s="139">
        <v>784</v>
      </c>
      <c r="N14" s="139">
        <f>940-100</f>
        <v>840</v>
      </c>
      <c r="O14" s="139">
        <f>1600+100</f>
        <v>1700</v>
      </c>
      <c r="P14" s="32">
        <v>0</v>
      </c>
      <c r="R14" s="20"/>
    </row>
    <row r="15" spans="1:22" s="11" customFormat="1" ht="17.25" x14ac:dyDescent="0.35">
      <c r="A15" s="36" t="s">
        <v>359</v>
      </c>
      <c r="B15" s="140">
        <f t="shared" si="0"/>
        <v>542</v>
      </c>
      <c r="C15" s="140">
        <f t="shared" si="0"/>
        <v>679</v>
      </c>
      <c r="D15" s="140">
        <f t="shared" si="0"/>
        <v>398</v>
      </c>
      <c r="E15" s="35">
        <v>0</v>
      </c>
      <c r="F15" s="35">
        <f>SUM(B15:E15)</f>
        <v>1619</v>
      </c>
      <c r="G15" s="20"/>
      <c r="H15" s="268" t="str">
        <f>IF(F15-'GW Net Position Exh 1'!C11=0,"Yes",F15-'GW Net Position Exh 1'!C11)</f>
        <v>Yes</v>
      </c>
      <c r="I15" s="322" t="str">
        <f t="shared" si="1"/>
        <v xml:space="preserve"> </v>
      </c>
      <c r="J15" s="20"/>
      <c r="K15" s="140">
        <v>468</v>
      </c>
      <c r="L15" s="140">
        <v>553</v>
      </c>
      <c r="M15" s="140">
        <v>398</v>
      </c>
      <c r="N15" s="140">
        <v>74</v>
      </c>
      <c r="O15" s="140">
        <v>126</v>
      </c>
      <c r="P15" s="35">
        <v>0</v>
      </c>
      <c r="R15" s="20"/>
    </row>
    <row r="16" spans="1:22" s="11" customFormat="1" ht="17.25" x14ac:dyDescent="0.35">
      <c r="A16" s="73" t="s">
        <v>21</v>
      </c>
      <c r="B16" s="34">
        <f>SUM(B12:B15)</f>
        <v>8205</v>
      </c>
      <c r="C16" s="34">
        <f>SUM(C12:C15)</f>
        <v>10786</v>
      </c>
      <c r="D16" s="34">
        <f>SUM(D12:D15)</f>
        <v>5187</v>
      </c>
      <c r="E16" s="34">
        <f>SUM(E12:E15)</f>
        <v>0</v>
      </c>
      <c r="F16" s="34">
        <f>SUM(F12:F15)</f>
        <v>24178</v>
      </c>
      <c r="G16" s="20"/>
      <c r="H16" s="20"/>
      <c r="I16" s="322" t="str">
        <f t="shared" si="1"/>
        <v xml:space="preserve"> </v>
      </c>
      <c r="J16" s="20"/>
      <c r="K16" s="34">
        <f t="shared" ref="K16:P16" si="2">SUM(K12:K15)</f>
        <v>6112</v>
      </c>
      <c r="L16" s="34">
        <f t="shared" si="2"/>
        <v>7224</v>
      </c>
      <c r="M16" s="34">
        <f t="shared" si="2"/>
        <v>5187</v>
      </c>
      <c r="N16" s="34">
        <f t="shared" si="2"/>
        <v>2093</v>
      </c>
      <c r="O16" s="34">
        <f t="shared" si="2"/>
        <v>3562</v>
      </c>
      <c r="P16" s="34">
        <f t="shared" si="2"/>
        <v>0</v>
      </c>
      <c r="R16" s="20"/>
    </row>
    <row r="17" spans="1:18" s="11" customFormat="1" ht="20.100000000000001" customHeight="1" x14ac:dyDescent="0.25">
      <c r="A17" s="39" t="s">
        <v>327</v>
      </c>
      <c r="B17" s="71"/>
      <c r="C17" s="71"/>
      <c r="D17" s="71"/>
      <c r="E17" s="71"/>
      <c r="F17" s="71"/>
      <c r="G17" s="20"/>
      <c r="H17" s="20"/>
      <c r="I17" s="322"/>
      <c r="J17" s="20"/>
      <c r="K17" s="71"/>
      <c r="L17" s="71"/>
      <c r="M17" s="71"/>
      <c r="N17" s="71"/>
      <c r="O17" s="71"/>
      <c r="P17" s="71"/>
    </row>
    <row r="18" spans="1:18" s="11" customFormat="1" ht="15.75" x14ac:dyDescent="0.25">
      <c r="A18" s="70" t="s">
        <v>199</v>
      </c>
      <c r="B18" s="71"/>
      <c r="C18" s="71"/>
      <c r="D18" s="71"/>
      <c r="E18" s="71"/>
      <c r="F18" s="71"/>
      <c r="G18" s="20"/>
      <c r="H18" s="20"/>
      <c r="I18" s="322"/>
      <c r="J18" s="20"/>
      <c r="K18" s="71"/>
      <c r="L18" s="71"/>
      <c r="M18" s="71"/>
      <c r="N18" s="71"/>
      <c r="O18" s="71"/>
      <c r="P18" s="71"/>
    </row>
    <row r="19" spans="1:18" s="11" customFormat="1" ht="15.75" x14ac:dyDescent="0.25">
      <c r="A19" s="73" t="s">
        <v>200</v>
      </c>
      <c r="B19" s="139">
        <f t="shared" ref="B19:D21" si="3">+K19+N19</f>
        <v>6829</v>
      </c>
      <c r="C19" s="139">
        <f t="shared" si="3"/>
        <v>8045</v>
      </c>
      <c r="D19" s="139">
        <f t="shared" si="3"/>
        <v>5471</v>
      </c>
      <c r="E19" s="32">
        <v>0</v>
      </c>
      <c r="F19" s="32">
        <f>SUM(B19:E19)</f>
        <v>20345</v>
      </c>
      <c r="G19" s="20"/>
      <c r="H19" s="20"/>
      <c r="I19" s="322" t="str">
        <f t="shared" si="1"/>
        <v xml:space="preserve"> </v>
      </c>
      <c r="J19" s="20"/>
      <c r="K19" s="139">
        <v>6453</v>
      </c>
      <c r="L19" s="139">
        <v>7621</v>
      </c>
      <c r="M19" s="139">
        <v>5471</v>
      </c>
      <c r="N19" s="139">
        <v>376</v>
      </c>
      <c r="O19" s="139">
        <v>424</v>
      </c>
      <c r="P19" s="32">
        <v>0</v>
      </c>
      <c r="R19" s="20"/>
    </row>
    <row r="20" spans="1:18" s="11" customFormat="1" ht="15.75" x14ac:dyDescent="0.25">
      <c r="A20" s="73" t="s">
        <v>150</v>
      </c>
      <c r="B20" s="139">
        <f t="shared" si="3"/>
        <v>1154</v>
      </c>
      <c r="C20" s="139">
        <f t="shared" si="3"/>
        <v>1364</v>
      </c>
      <c r="D20" s="139">
        <f t="shared" si="3"/>
        <v>980</v>
      </c>
      <c r="E20" s="32">
        <v>0</v>
      </c>
      <c r="F20" s="32">
        <f>SUM(B20:E20)</f>
        <v>3498</v>
      </c>
      <c r="G20" s="20"/>
      <c r="H20" s="20"/>
      <c r="I20" s="322" t="str">
        <f t="shared" si="1"/>
        <v xml:space="preserve"> </v>
      </c>
      <c r="J20" s="20"/>
      <c r="K20" s="139">
        <v>1154</v>
      </c>
      <c r="L20" s="139">
        <v>1364</v>
      </c>
      <c r="M20" s="139">
        <v>980</v>
      </c>
      <c r="N20" s="139">
        <v>0</v>
      </c>
      <c r="O20" s="139">
        <v>0</v>
      </c>
      <c r="P20" s="32">
        <v>0</v>
      </c>
      <c r="R20" s="20"/>
    </row>
    <row r="21" spans="1:18" s="11" customFormat="1" ht="17.25" x14ac:dyDescent="0.35">
      <c r="A21" s="73" t="s">
        <v>201</v>
      </c>
      <c r="B21" s="140">
        <f t="shared" si="3"/>
        <v>3228</v>
      </c>
      <c r="C21" s="140">
        <f t="shared" si="3"/>
        <v>3810</v>
      </c>
      <c r="D21" s="140">
        <f t="shared" si="3"/>
        <v>2660</v>
      </c>
      <c r="E21" s="35">
        <v>0</v>
      </c>
      <c r="F21" s="35">
        <f>SUM(B21:E21)</f>
        <v>9698</v>
      </c>
      <c r="G21" s="20"/>
      <c r="H21" s="20"/>
      <c r="I21" s="322" t="str">
        <f t="shared" si="1"/>
        <v xml:space="preserve"> </v>
      </c>
      <c r="J21" s="20"/>
      <c r="K21" s="140">
        <v>3134</v>
      </c>
      <c r="L21" s="140">
        <v>3704</v>
      </c>
      <c r="M21" s="140">
        <v>2660</v>
      </c>
      <c r="N21" s="140">
        <v>94</v>
      </c>
      <c r="O21" s="140">
        <v>106</v>
      </c>
      <c r="P21" s="35">
        <v>0</v>
      </c>
      <c r="R21" s="20"/>
    </row>
    <row r="22" spans="1:18" s="11" customFormat="1" ht="17.25" x14ac:dyDescent="0.35">
      <c r="A22" s="100" t="s">
        <v>22</v>
      </c>
      <c r="B22" s="34">
        <f>SUM(B19:B21)</f>
        <v>11211</v>
      </c>
      <c r="C22" s="34">
        <f>SUM(C19:C21)</f>
        <v>13219</v>
      </c>
      <c r="D22" s="34">
        <f>SUM(D19:D21)</f>
        <v>9111</v>
      </c>
      <c r="E22" s="34">
        <f>SUM(E19:E21)</f>
        <v>0</v>
      </c>
      <c r="F22" s="34">
        <f>SUM(F19:F21)</f>
        <v>33541</v>
      </c>
      <c r="G22" s="20"/>
      <c r="H22" s="268" t="str">
        <f>IF(F22-'GW Net Position Exh 1'!C16=0,"Yes",F22-'GW Net Position Exh 1'!C16)</f>
        <v>Yes</v>
      </c>
      <c r="I22" s="322" t="str">
        <f t="shared" si="1"/>
        <v xml:space="preserve"> </v>
      </c>
      <c r="J22" s="20"/>
      <c r="K22" s="34">
        <f t="shared" ref="K22:P22" si="4">SUM(K19:K21)</f>
        <v>10741</v>
      </c>
      <c r="L22" s="34">
        <f t="shared" si="4"/>
        <v>12689</v>
      </c>
      <c r="M22" s="34">
        <f t="shared" si="4"/>
        <v>9111</v>
      </c>
      <c r="N22" s="34">
        <f t="shared" si="4"/>
        <v>470</v>
      </c>
      <c r="O22" s="34">
        <f t="shared" si="4"/>
        <v>530</v>
      </c>
      <c r="P22" s="34">
        <f t="shared" si="4"/>
        <v>0</v>
      </c>
      <c r="R22" s="20"/>
    </row>
    <row r="23" spans="1:18" s="11" customFormat="1" ht="17.25" x14ac:dyDescent="0.35">
      <c r="A23" s="69" t="s">
        <v>3</v>
      </c>
      <c r="B23" s="101">
        <f>+B22+B16</f>
        <v>19416</v>
      </c>
      <c r="C23" s="101">
        <f>+C22+C16</f>
        <v>24005</v>
      </c>
      <c r="D23" s="101">
        <f>+D22+D16</f>
        <v>14298</v>
      </c>
      <c r="E23" s="101">
        <f>+E22+E16</f>
        <v>0</v>
      </c>
      <c r="F23" s="101">
        <f>+F22+F16</f>
        <v>57719</v>
      </c>
      <c r="G23" s="20"/>
      <c r="H23" s="268" t="str">
        <f>IF(F23-'GW Net Position Exh 1'!C18=0,"Yes",F23-'GW Net Position Exh 1'!C18)</f>
        <v>Yes</v>
      </c>
      <c r="I23" s="322" t="str">
        <f t="shared" si="1"/>
        <v xml:space="preserve"> </v>
      </c>
      <c r="J23" s="20"/>
      <c r="K23" s="101">
        <f t="shared" ref="K23:P23" si="5">+K22+K16</f>
        <v>16853</v>
      </c>
      <c r="L23" s="101">
        <f t="shared" si="5"/>
        <v>19913</v>
      </c>
      <c r="M23" s="101">
        <f t="shared" si="5"/>
        <v>14298</v>
      </c>
      <c r="N23" s="101">
        <f t="shared" si="5"/>
        <v>2563</v>
      </c>
      <c r="O23" s="101">
        <f t="shared" si="5"/>
        <v>4092</v>
      </c>
      <c r="P23" s="101">
        <f t="shared" si="5"/>
        <v>0</v>
      </c>
      <c r="R23" s="20"/>
    </row>
    <row r="24" spans="1:18" s="11" customFormat="1" ht="21.95" customHeight="1" x14ac:dyDescent="0.25">
      <c r="A24" s="28" t="s">
        <v>228</v>
      </c>
      <c r="B24" s="33"/>
      <c r="C24" s="33"/>
      <c r="D24" s="33"/>
      <c r="E24" s="33"/>
      <c r="F24" s="33"/>
      <c r="G24" s="20"/>
      <c r="H24" s="20"/>
      <c r="I24" s="322"/>
      <c r="J24" s="20"/>
      <c r="K24" s="33"/>
      <c r="L24" s="33"/>
      <c r="M24" s="33"/>
      <c r="N24" s="33"/>
      <c r="O24" s="33"/>
      <c r="P24" s="33"/>
    </row>
    <row r="25" spans="1:18" s="11" customFormat="1" ht="15.75" x14ac:dyDescent="0.25">
      <c r="A25" s="20" t="s">
        <v>328</v>
      </c>
      <c r="B25" s="33"/>
      <c r="C25" s="33"/>
      <c r="D25" s="33"/>
      <c r="E25" s="33"/>
      <c r="F25" s="33"/>
      <c r="G25" s="20"/>
      <c r="H25" s="20"/>
      <c r="I25" s="322"/>
      <c r="J25" s="20"/>
      <c r="K25" s="33"/>
      <c r="L25" s="33"/>
      <c r="M25" s="33"/>
      <c r="N25" s="33"/>
      <c r="O25" s="33"/>
      <c r="P25" s="33"/>
    </row>
    <row r="26" spans="1:18" s="11" customFormat="1" ht="17.25" customHeight="1" x14ac:dyDescent="0.25">
      <c r="A26" s="36" t="s">
        <v>89</v>
      </c>
      <c r="B26" s="138">
        <f>+K26+N26</f>
        <v>2046</v>
      </c>
      <c r="C26" s="138">
        <f>+L26+O26</f>
        <v>2557</v>
      </c>
      <c r="D26" s="138">
        <f>+M26+P26</f>
        <v>1510</v>
      </c>
      <c r="E26" s="18">
        <v>0</v>
      </c>
      <c r="F26" s="18">
        <f>SUM(B26:E26)</f>
        <v>6113</v>
      </c>
      <c r="G26" s="20"/>
      <c r="H26" s="268"/>
      <c r="I26" s="322" t="str">
        <f t="shared" si="1"/>
        <v xml:space="preserve"> </v>
      </c>
      <c r="J26" s="20"/>
      <c r="K26" s="138">
        <v>1779</v>
      </c>
      <c r="L26" s="138">
        <v>2103</v>
      </c>
      <c r="M26" s="138">
        <v>1510</v>
      </c>
      <c r="N26" s="138">
        <v>267</v>
      </c>
      <c r="O26" s="138">
        <v>454</v>
      </c>
      <c r="P26" s="18">
        <v>0</v>
      </c>
      <c r="R26" s="20"/>
    </row>
    <row r="27" spans="1:18" s="11" customFormat="1" ht="17.25" hidden="1" customHeight="1" x14ac:dyDescent="0.25">
      <c r="A27" s="70" t="s">
        <v>9</v>
      </c>
      <c r="B27" s="71">
        <v>0</v>
      </c>
      <c r="C27" s="71">
        <v>0</v>
      </c>
      <c r="D27" s="71">
        <v>0</v>
      </c>
      <c r="E27" s="71">
        <v>0</v>
      </c>
      <c r="F27" s="71">
        <f>+B27+E27</f>
        <v>0</v>
      </c>
      <c r="G27" s="20"/>
      <c r="H27" s="20"/>
      <c r="I27" s="322" t="str">
        <f>IF((ABS(B27)+(ABS(C27)+ABS(D27)+ABS(E27)+ABS(F27))=0),"Hide Row?"," ")</f>
        <v>Hide Row?</v>
      </c>
      <c r="J27" s="20"/>
      <c r="K27" s="71">
        <v>0</v>
      </c>
      <c r="L27" s="71">
        <v>0</v>
      </c>
      <c r="M27" s="71">
        <v>0</v>
      </c>
      <c r="N27" s="71">
        <v>0</v>
      </c>
      <c r="O27" s="71">
        <v>0</v>
      </c>
      <c r="P27" s="71">
        <v>0</v>
      </c>
      <c r="R27" s="20"/>
    </row>
    <row r="28" spans="1:18" s="11" customFormat="1" ht="17.25" x14ac:dyDescent="0.35">
      <c r="A28" s="40" t="s">
        <v>379</v>
      </c>
      <c r="B28" s="140">
        <f>+K28+N28</f>
        <v>128</v>
      </c>
      <c r="C28" s="140">
        <f>+L28+O28</f>
        <v>151</v>
      </c>
      <c r="D28" s="140">
        <f>+M28+P28</f>
        <v>108</v>
      </c>
      <c r="E28" s="35">
        <v>0</v>
      </c>
      <c r="F28" s="35">
        <f>SUM(B28:E28)</f>
        <v>387</v>
      </c>
      <c r="G28" s="20"/>
      <c r="H28" s="20"/>
      <c r="I28" s="322" t="str">
        <f>IF((ABS(B28)+(ABS(C28)+ABS(D28)+ABS(E28)+ABS(F28))=0),"Hide Row?"," ")</f>
        <v xml:space="preserve"> </v>
      </c>
      <c r="J28" s="20"/>
      <c r="K28" s="140">
        <v>128</v>
      </c>
      <c r="L28" s="140">
        <v>151</v>
      </c>
      <c r="M28" s="140">
        <v>108</v>
      </c>
      <c r="N28" s="140">
        <v>0</v>
      </c>
      <c r="O28" s="140">
        <v>0</v>
      </c>
      <c r="P28" s="35">
        <v>0</v>
      </c>
      <c r="R28" s="20"/>
    </row>
    <row r="29" spans="1:18" s="11" customFormat="1" ht="17.25" x14ac:dyDescent="0.35">
      <c r="A29" s="73" t="s">
        <v>24</v>
      </c>
      <c r="B29" s="34">
        <f>SUM(B26:B28)</f>
        <v>2174</v>
      </c>
      <c r="C29" s="34">
        <f>SUM(C26:C28)</f>
        <v>2708</v>
      </c>
      <c r="D29" s="34">
        <f>SUM(D26:D28)</f>
        <v>1618</v>
      </c>
      <c r="E29" s="34">
        <f>SUM(E26:E28)</f>
        <v>0</v>
      </c>
      <c r="F29" s="34">
        <f>SUM(F26:F28)</f>
        <v>6500</v>
      </c>
      <c r="G29" s="20"/>
      <c r="H29" s="268" t="str">
        <f>IF(F29-SUM('GW Net Position Exh 1'!C28)=0,"Yes",F29-SUM('GW Net Position Exh 1'!C28))</f>
        <v>Yes</v>
      </c>
      <c r="I29" s="322" t="str">
        <f t="shared" si="1"/>
        <v xml:space="preserve"> </v>
      </c>
      <c r="J29" s="20"/>
      <c r="K29" s="34">
        <f t="shared" ref="K29:P29" si="6">SUM(K26:K28)</f>
        <v>1907</v>
      </c>
      <c r="L29" s="34">
        <f t="shared" si="6"/>
        <v>2254</v>
      </c>
      <c r="M29" s="34">
        <f t="shared" si="6"/>
        <v>1618</v>
      </c>
      <c r="N29" s="34">
        <f t="shared" si="6"/>
        <v>267</v>
      </c>
      <c r="O29" s="34">
        <f t="shared" si="6"/>
        <v>454</v>
      </c>
      <c r="P29" s="34">
        <f t="shared" si="6"/>
        <v>0</v>
      </c>
      <c r="R29" s="20"/>
    </row>
    <row r="30" spans="1:18" s="10" customFormat="1" ht="20.100000000000001" customHeight="1" x14ac:dyDescent="0.25">
      <c r="A30" s="30" t="s">
        <v>329</v>
      </c>
      <c r="B30" s="46"/>
      <c r="C30" s="46"/>
      <c r="D30" s="46"/>
      <c r="E30" s="46"/>
      <c r="F30" s="46"/>
      <c r="G30" s="20"/>
      <c r="H30" s="20"/>
      <c r="I30" s="322"/>
      <c r="J30" s="30"/>
      <c r="K30" s="46"/>
      <c r="L30" s="46"/>
      <c r="M30" s="46"/>
      <c r="N30" s="46"/>
      <c r="O30" s="46"/>
      <c r="P30" s="46"/>
    </row>
    <row r="31" spans="1:18" s="11" customFormat="1" ht="17.25" x14ac:dyDescent="0.35">
      <c r="A31" s="40" t="s">
        <v>77</v>
      </c>
      <c r="B31" s="140">
        <f>+K31+N31</f>
        <v>414</v>
      </c>
      <c r="C31" s="140">
        <f>+L31+O31</f>
        <v>490</v>
      </c>
      <c r="D31" s="140">
        <f>+M31+P31</f>
        <v>352</v>
      </c>
      <c r="E31" s="35">
        <v>0</v>
      </c>
      <c r="F31" s="35">
        <f>SUM(B31:E31)</f>
        <v>1256</v>
      </c>
      <c r="G31" s="20"/>
      <c r="H31" s="20"/>
      <c r="I31" s="322" t="str">
        <f t="shared" si="1"/>
        <v xml:space="preserve"> </v>
      </c>
      <c r="J31" s="20"/>
      <c r="K31" s="140">
        <v>414</v>
      </c>
      <c r="L31" s="140">
        <v>490</v>
      </c>
      <c r="M31" s="140">
        <v>352</v>
      </c>
      <c r="N31" s="140">
        <v>0</v>
      </c>
      <c r="O31" s="140">
        <v>0</v>
      </c>
      <c r="P31" s="35">
        <v>0</v>
      </c>
      <c r="R31" s="20"/>
    </row>
    <row r="32" spans="1:18" s="11" customFormat="1" ht="17.25" x14ac:dyDescent="0.35">
      <c r="A32" s="73" t="s">
        <v>147</v>
      </c>
      <c r="B32" s="34">
        <f>B31</f>
        <v>414</v>
      </c>
      <c r="C32" s="34">
        <f>C31</f>
        <v>490</v>
      </c>
      <c r="D32" s="34">
        <f>D31</f>
        <v>352</v>
      </c>
      <c r="E32" s="34">
        <f>E31</f>
        <v>0</v>
      </c>
      <c r="F32" s="34">
        <f>F31</f>
        <v>1256</v>
      </c>
      <c r="G32" s="20"/>
      <c r="H32" s="268" t="str">
        <f>IF(F32-SUM('GW Net Position Exh 1'!C30)=0,"Yes",F32-SUM('GW Net Position Exh 1'!C30))</f>
        <v>Yes</v>
      </c>
      <c r="I32" s="322" t="str">
        <f t="shared" si="1"/>
        <v xml:space="preserve"> </v>
      </c>
      <c r="J32" s="20"/>
      <c r="K32" s="34">
        <f t="shared" ref="K32:P32" si="7">K31</f>
        <v>414</v>
      </c>
      <c r="L32" s="34">
        <f t="shared" si="7"/>
        <v>490</v>
      </c>
      <c r="M32" s="34">
        <f t="shared" si="7"/>
        <v>352</v>
      </c>
      <c r="N32" s="34">
        <f t="shared" si="7"/>
        <v>0</v>
      </c>
      <c r="O32" s="34">
        <f t="shared" si="7"/>
        <v>0</v>
      </c>
      <c r="P32" s="34">
        <f t="shared" si="7"/>
        <v>0</v>
      </c>
      <c r="R32" s="20"/>
    </row>
    <row r="33" spans="1:18" s="11" customFormat="1" ht="17.25" x14ac:dyDescent="0.35">
      <c r="A33" s="103" t="s">
        <v>4</v>
      </c>
      <c r="B33" s="34">
        <f>+B32+B29</f>
        <v>2588</v>
      </c>
      <c r="C33" s="34">
        <f>+C32+C29</f>
        <v>3198</v>
      </c>
      <c r="D33" s="34">
        <f>+D32+D29</f>
        <v>1970</v>
      </c>
      <c r="E33" s="34">
        <f>+E32+E29</f>
        <v>0</v>
      </c>
      <c r="F33" s="34">
        <f>+F32+F29</f>
        <v>7756</v>
      </c>
      <c r="G33" s="20"/>
      <c r="H33" s="268" t="str">
        <f>IF(F33-'GW Net Position Exh 1'!C31=0,"Yes",F33-'GW Net Position Exh 1'!C31)</f>
        <v>Yes</v>
      </c>
      <c r="I33" s="322" t="str">
        <f t="shared" si="1"/>
        <v xml:space="preserve"> </v>
      </c>
      <c r="J33" s="20"/>
      <c r="K33" s="34">
        <f t="shared" ref="K33:P33" si="8">+K32+K29</f>
        <v>2321</v>
      </c>
      <c r="L33" s="34">
        <f t="shared" si="8"/>
        <v>2744</v>
      </c>
      <c r="M33" s="34">
        <f t="shared" si="8"/>
        <v>1970</v>
      </c>
      <c r="N33" s="34">
        <f t="shared" si="8"/>
        <v>267</v>
      </c>
      <c r="O33" s="34">
        <f t="shared" si="8"/>
        <v>454</v>
      </c>
      <c r="P33" s="34">
        <f t="shared" si="8"/>
        <v>0</v>
      </c>
      <c r="R33" s="20"/>
    </row>
    <row r="34" spans="1:18" s="11" customFormat="1" ht="21.95" customHeight="1" x14ac:dyDescent="0.25">
      <c r="A34" s="42" t="s">
        <v>232</v>
      </c>
      <c r="B34" s="33"/>
      <c r="C34" s="33"/>
      <c r="D34" s="33"/>
      <c r="E34" s="33"/>
      <c r="F34" s="33"/>
      <c r="G34" s="20"/>
      <c r="H34" s="20"/>
      <c r="I34" s="322"/>
      <c r="J34" s="20"/>
      <c r="K34" s="33"/>
      <c r="L34" s="33"/>
      <c r="M34" s="33"/>
      <c r="N34" s="33"/>
      <c r="O34" s="33"/>
      <c r="P34" s="33"/>
    </row>
    <row r="35" spans="1:18" s="11" customFormat="1" ht="15.75" customHeight="1" x14ac:dyDescent="0.25">
      <c r="A35" s="48" t="s">
        <v>166</v>
      </c>
      <c r="B35" s="139">
        <f t="shared" ref="B35:D36" si="9">+K35+N35</f>
        <v>11211</v>
      </c>
      <c r="C35" s="139">
        <f t="shared" si="9"/>
        <v>13219</v>
      </c>
      <c r="D35" s="139">
        <f t="shared" si="9"/>
        <v>9111</v>
      </c>
      <c r="E35" s="32">
        <v>0</v>
      </c>
      <c r="F35" s="32">
        <f>SUM(B35:E35)</f>
        <v>33541</v>
      </c>
      <c r="G35" s="20"/>
      <c r="H35" s="268" t="str">
        <f>IF(F35-'GW Net Position Exh 1'!C36=0,"Yes",F35-'GW Net Position Exh 1'!C36)</f>
        <v>Yes</v>
      </c>
      <c r="I35" s="322" t="str">
        <f t="shared" si="1"/>
        <v xml:space="preserve"> </v>
      </c>
      <c r="J35" s="20"/>
      <c r="K35" s="139">
        <f t="shared" ref="K35:P35" si="10">K22</f>
        <v>10741</v>
      </c>
      <c r="L35" s="139">
        <f t="shared" si="10"/>
        <v>12689</v>
      </c>
      <c r="M35" s="139">
        <f t="shared" si="10"/>
        <v>9111</v>
      </c>
      <c r="N35" s="139">
        <f t="shared" si="10"/>
        <v>470</v>
      </c>
      <c r="O35" s="139">
        <f t="shared" si="10"/>
        <v>530</v>
      </c>
      <c r="P35" s="32">
        <f t="shared" si="10"/>
        <v>0</v>
      </c>
      <c r="R35" s="20"/>
    </row>
    <row r="36" spans="1:18" s="11" customFormat="1" ht="17.25" x14ac:dyDescent="0.35">
      <c r="A36" s="70" t="s">
        <v>163</v>
      </c>
      <c r="B36" s="140">
        <f t="shared" si="9"/>
        <v>5617</v>
      </c>
      <c r="C36" s="140">
        <f t="shared" si="9"/>
        <v>7588</v>
      </c>
      <c r="D36" s="140">
        <f>+M36+P36</f>
        <v>3217</v>
      </c>
      <c r="E36" s="35">
        <v>0</v>
      </c>
      <c r="F36" s="35">
        <f>SUM(B36:E36)</f>
        <v>16422</v>
      </c>
      <c r="G36" s="20"/>
      <c r="H36" s="268" t="str">
        <f>IF(F36-'GW Net Position Exh 1'!C37=0,"Yes",F36-'GW Net Position Exh 1'!C37)</f>
        <v>Yes</v>
      </c>
      <c r="I36" s="322" t="str">
        <f t="shared" si="1"/>
        <v xml:space="preserve"> </v>
      </c>
      <c r="J36" s="20"/>
      <c r="K36" s="140">
        <v>3791</v>
      </c>
      <c r="L36" s="140">
        <v>4480</v>
      </c>
      <c r="M36" s="140">
        <v>3217</v>
      </c>
      <c r="N36" s="140">
        <v>1826</v>
      </c>
      <c r="O36" s="140">
        <v>3108</v>
      </c>
      <c r="P36" s="35">
        <v>0</v>
      </c>
      <c r="R36" s="20"/>
    </row>
    <row r="37" spans="1:18" s="11" customFormat="1" ht="20.100000000000001" customHeight="1" x14ac:dyDescent="0.35">
      <c r="A37" s="64" t="s">
        <v>167</v>
      </c>
      <c r="B37" s="37">
        <f>SUM(B35:B36)</f>
        <v>16828</v>
      </c>
      <c r="C37" s="37">
        <f>SUM(C35:C36)</f>
        <v>20807</v>
      </c>
      <c r="D37" s="37">
        <f>SUM(D35:D36)</f>
        <v>12328</v>
      </c>
      <c r="E37" s="37">
        <f>SUM(E35:E36)</f>
        <v>0</v>
      </c>
      <c r="F37" s="37">
        <f>SUM(F35:F36)</f>
        <v>49963</v>
      </c>
      <c r="G37" s="20"/>
      <c r="H37" s="268" t="str">
        <f>IF(F37-'GW Net Position Exh 1'!C38=0,"Yes",F37-'GW Net Position Exh 1'!C38)</f>
        <v>Yes</v>
      </c>
      <c r="I37" s="322" t="str">
        <f t="shared" si="1"/>
        <v xml:space="preserve"> </v>
      </c>
      <c r="J37" s="20"/>
      <c r="K37" s="37">
        <f t="shared" ref="K37:P37" si="11">SUM(K35:K36)</f>
        <v>14532</v>
      </c>
      <c r="L37" s="37">
        <f t="shared" si="11"/>
        <v>17169</v>
      </c>
      <c r="M37" s="37">
        <f t="shared" si="11"/>
        <v>12328</v>
      </c>
      <c r="N37" s="37">
        <f t="shared" si="11"/>
        <v>2296</v>
      </c>
      <c r="O37" s="37">
        <f t="shared" si="11"/>
        <v>3638</v>
      </c>
      <c r="P37" s="37">
        <f t="shared" si="11"/>
        <v>0</v>
      </c>
      <c r="R37" s="20"/>
    </row>
    <row r="38" spans="1:18" s="11" customFormat="1" ht="15.75" x14ac:dyDescent="0.25">
      <c r="A38" s="39"/>
      <c r="B38" s="47"/>
      <c r="C38" s="47"/>
      <c r="D38" s="47"/>
      <c r="E38" s="47"/>
      <c r="F38" s="47"/>
      <c r="G38" s="20"/>
      <c r="H38" s="20"/>
      <c r="I38" s="322"/>
      <c r="J38" s="20"/>
      <c r="K38" s="20"/>
      <c r="L38" s="20"/>
      <c r="M38" s="20"/>
      <c r="N38" s="20"/>
      <c r="O38" s="20"/>
      <c r="P38" s="20"/>
    </row>
    <row r="39" spans="1:18" s="11" customFormat="1" ht="15.75" x14ac:dyDescent="0.25">
      <c r="A39" s="20"/>
      <c r="B39" s="20"/>
      <c r="C39" s="20"/>
      <c r="D39" s="20"/>
      <c r="E39" s="20"/>
      <c r="F39" s="20"/>
      <c r="G39" s="20"/>
      <c r="H39" s="20"/>
      <c r="I39" s="322"/>
      <c r="J39" s="20"/>
      <c r="K39" s="20"/>
      <c r="L39" s="20"/>
      <c r="M39" s="20"/>
      <c r="N39" s="20"/>
    </row>
    <row r="40" spans="1:18" s="11" customFormat="1" ht="15.75" x14ac:dyDescent="0.25">
      <c r="A40" s="20"/>
      <c r="B40" s="20"/>
      <c r="C40" s="20"/>
      <c r="D40" s="20"/>
      <c r="E40" s="20"/>
      <c r="F40" s="20"/>
      <c r="G40" s="20"/>
      <c r="H40" s="20"/>
      <c r="I40" s="30"/>
      <c r="J40" s="20"/>
      <c r="K40" s="20"/>
      <c r="L40" s="20"/>
      <c r="M40" s="20"/>
      <c r="N40" s="20"/>
    </row>
    <row r="41" spans="1:18" s="11" customFormat="1" ht="15.75" x14ac:dyDescent="0.25">
      <c r="A41" s="78" t="s">
        <v>180</v>
      </c>
      <c r="B41" s="20"/>
      <c r="C41" s="20"/>
      <c r="D41" s="20"/>
      <c r="E41" s="20"/>
      <c r="F41" s="20"/>
      <c r="G41" s="20"/>
      <c r="H41" s="20"/>
      <c r="I41" s="20"/>
      <c r="J41" s="20"/>
      <c r="K41" s="20"/>
      <c r="L41" s="20"/>
      <c r="M41" s="20"/>
      <c r="N41" s="20"/>
    </row>
    <row r="42" spans="1:18" s="11" customFormat="1" ht="15.75" x14ac:dyDescent="0.25">
      <c r="A42" s="20"/>
      <c r="B42" s="20"/>
      <c r="C42" s="20"/>
      <c r="D42" s="20"/>
      <c r="E42" s="20"/>
      <c r="F42" s="20"/>
      <c r="G42" s="20"/>
      <c r="H42" s="20"/>
      <c r="I42" s="20"/>
      <c r="J42" s="20"/>
      <c r="K42" s="20"/>
      <c r="L42" s="20"/>
      <c r="M42" s="20"/>
      <c r="N42" s="20"/>
    </row>
    <row r="43" spans="1:18" s="11" customFormat="1" ht="15.75" x14ac:dyDescent="0.25">
      <c r="A43" s="20"/>
      <c r="B43" s="20"/>
      <c r="C43" s="20"/>
      <c r="D43" s="20"/>
      <c r="E43" s="20"/>
      <c r="F43" s="20"/>
      <c r="G43" s="20"/>
      <c r="H43" s="20"/>
      <c r="I43" s="20"/>
      <c r="J43" s="20"/>
      <c r="K43" s="20"/>
      <c r="L43" s="20"/>
      <c r="M43" s="20"/>
      <c r="N43" s="20"/>
    </row>
    <row r="44" spans="1:18" s="11" customFormat="1" ht="15.75" x14ac:dyDescent="0.25">
      <c r="A44" s="20"/>
      <c r="B44" s="20"/>
      <c r="C44" s="20"/>
      <c r="D44" s="20"/>
      <c r="E44" s="20"/>
      <c r="F44" s="20"/>
      <c r="G44" s="20"/>
      <c r="H44" s="20"/>
      <c r="I44" s="20"/>
      <c r="J44" s="20"/>
      <c r="K44" s="20"/>
      <c r="L44" s="20"/>
      <c r="M44" s="20"/>
      <c r="N44" s="20"/>
    </row>
    <row r="45" spans="1:18" s="11" customFormat="1" ht="15.75" x14ac:dyDescent="0.25">
      <c r="A45" s="20"/>
      <c r="B45" s="20"/>
      <c r="C45" s="20"/>
      <c r="D45" s="20"/>
      <c r="E45" s="20"/>
      <c r="F45" s="20"/>
      <c r="G45" s="20"/>
      <c r="H45" s="20"/>
      <c r="I45" s="20"/>
      <c r="J45" s="20"/>
      <c r="K45" s="20"/>
      <c r="L45" s="20"/>
      <c r="M45" s="20"/>
      <c r="N45" s="20"/>
    </row>
    <row r="46" spans="1:18" s="11" customFormat="1" ht="15.75" x14ac:dyDescent="0.25">
      <c r="A46" s="20"/>
      <c r="B46" s="20"/>
      <c r="C46" s="20"/>
      <c r="D46" s="20"/>
      <c r="E46" s="20"/>
      <c r="F46" s="20"/>
      <c r="G46" s="20"/>
      <c r="H46" s="20"/>
      <c r="I46" s="20"/>
      <c r="J46" s="20"/>
      <c r="K46" s="20"/>
      <c r="L46" s="20"/>
      <c r="M46" s="20"/>
      <c r="N46" s="20"/>
    </row>
    <row r="47" spans="1:18" s="11" customFormat="1" ht="35.1" customHeight="1" x14ac:dyDescent="0.25">
      <c r="A47" s="104" t="s">
        <v>186</v>
      </c>
      <c r="B47" s="134" t="str">
        <f>IF(B23-(B33+B37)=0,"Yes",B23-(B33+B37))</f>
        <v>Yes</v>
      </c>
      <c r="C47" s="134" t="str">
        <f>IF(C23-(C33+C37)=0,"Yes",C23-(C33+C37))</f>
        <v>Yes</v>
      </c>
      <c r="D47" s="134" t="str">
        <f>IF(D23-(D33+D37)=0,"Yes",D23-(D33+D37))</f>
        <v>Yes</v>
      </c>
      <c r="E47" s="134" t="str">
        <f>IF(E23-(E33+E37)=0,"Yes",E23-(E33+E37))</f>
        <v>Yes</v>
      </c>
      <c r="F47" s="134" t="str">
        <f>IF(F23-(F33+F37)=0,"Yes",F23-(F33+F37))</f>
        <v>Yes</v>
      </c>
      <c r="G47" s="20"/>
      <c r="H47" s="20"/>
      <c r="I47" s="20"/>
      <c r="J47" s="20"/>
      <c r="K47" s="68" t="str">
        <f t="shared" ref="K47:Q47" si="12">IF(K23-(K33+K37)=0,"Yes",K23-(K33+K37))</f>
        <v>Yes</v>
      </c>
      <c r="L47" s="68" t="str">
        <f t="shared" si="12"/>
        <v>Yes</v>
      </c>
      <c r="M47" s="68" t="str">
        <f t="shared" si="12"/>
        <v>Yes</v>
      </c>
      <c r="N47" s="68" t="str">
        <f t="shared" si="12"/>
        <v>Yes</v>
      </c>
      <c r="O47" s="68" t="str">
        <f t="shared" si="12"/>
        <v>Yes</v>
      </c>
      <c r="P47" s="68" t="str">
        <f t="shared" si="12"/>
        <v>Yes</v>
      </c>
      <c r="Q47" s="68" t="str">
        <f t="shared" si="12"/>
        <v>Yes</v>
      </c>
    </row>
    <row r="48" spans="1:18" s="11" customFormat="1" ht="35.1" customHeight="1" x14ac:dyDescent="0.25">
      <c r="A48" s="240" t="s">
        <v>207</v>
      </c>
      <c r="B48" s="29"/>
      <c r="C48" s="29"/>
      <c r="D48" s="29"/>
      <c r="E48" s="29"/>
      <c r="F48" s="134" t="str">
        <f>IF(F37-'GW Net Position Exh 1'!C38=0,"Yes",F37-'GW Net Position Exh 1'!C38)</f>
        <v>Yes</v>
      </c>
      <c r="G48" s="20"/>
      <c r="H48" s="20"/>
      <c r="I48" s="20"/>
      <c r="J48" s="20"/>
    </row>
    <row r="49" spans="1:17" s="11" customFormat="1" ht="30.75" x14ac:dyDescent="0.25">
      <c r="A49" s="70" t="s">
        <v>384</v>
      </c>
      <c r="B49" s="315" t="str">
        <f>IF(B22-B35=0,"Yes",B22-B35)</f>
        <v>Yes</v>
      </c>
      <c r="C49" s="134" t="str">
        <f>IF(C22-C35=0,"Yes",C22-C35)</f>
        <v>Yes</v>
      </c>
      <c r="D49" s="134" t="str">
        <f>IF(D22-D35=0,"Yes",D22-D35)</f>
        <v>Yes</v>
      </c>
      <c r="E49" s="134"/>
      <c r="F49" s="134" t="str">
        <f>IF(F22-F35=0,"Yes",F22-F35)</f>
        <v>Yes</v>
      </c>
      <c r="G49" s="20"/>
      <c r="H49" s="20"/>
      <c r="I49" s="20"/>
      <c r="J49" s="20"/>
      <c r="K49" s="134" t="str">
        <f t="shared" ref="K49:Q49" si="13">IF(K22-K35=0,"Yes",K22-K35)</f>
        <v>Yes</v>
      </c>
      <c r="L49" s="134" t="str">
        <f t="shared" si="13"/>
        <v>Yes</v>
      </c>
      <c r="M49" s="134" t="str">
        <f t="shared" si="13"/>
        <v>Yes</v>
      </c>
      <c r="N49" s="134" t="str">
        <f t="shared" si="13"/>
        <v>Yes</v>
      </c>
      <c r="O49" s="134" t="str">
        <f t="shared" si="13"/>
        <v>Yes</v>
      </c>
      <c r="P49" s="134" t="str">
        <f t="shared" si="13"/>
        <v>Yes</v>
      </c>
      <c r="Q49" s="134" t="str">
        <f t="shared" si="13"/>
        <v>Yes</v>
      </c>
    </row>
    <row r="50" spans="1:17" s="11" customFormat="1" ht="15.75" x14ac:dyDescent="0.25">
      <c r="A50" s="70"/>
      <c r="B50" s="134"/>
      <c r="C50" s="134"/>
      <c r="D50" s="134"/>
      <c r="E50" s="134"/>
      <c r="F50" s="134"/>
      <c r="G50" s="20"/>
      <c r="H50" s="20"/>
      <c r="I50" s="20"/>
      <c r="J50" s="20"/>
    </row>
    <row r="51" spans="1:17" s="11" customFormat="1" ht="18" x14ac:dyDescent="0.4">
      <c r="A51" s="80"/>
      <c r="B51" s="81"/>
      <c r="C51" s="81"/>
      <c r="D51" s="81"/>
      <c r="E51" s="20"/>
      <c r="F51" s="20"/>
      <c r="G51" s="20"/>
      <c r="H51" s="20"/>
      <c r="I51" s="20"/>
      <c r="J51" s="20"/>
      <c r="K51" s="380" t="s">
        <v>372</v>
      </c>
      <c r="L51" s="380"/>
      <c r="M51" s="380"/>
      <c r="N51" s="380" t="s">
        <v>409</v>
      </c>
      <c r="O51" s="380"/>
      <c r="P51" s="380"/>
    </row>
    <row r="52" spans="1:17" s="11" customFormat="1" ht="17.25" x14ac:dyDescent="0.35">
      <c r="A52" s="20"/>
      <c r="B52" s="20"/>
      <c r="C52" s="20"/>
      <c r="D52" s="20"/>
      <c r="E52" s="20"/>
      <c r="F52" s="20"/>
      <c r="G52" s="20"/>
      <c r="H52" s="20"/>
      <c r="I52" s="20"/>
      <c r="J52" s="20"/>
      <c r="K52" s="379" t="s">
        <v>167</v>
      </c>
      <c r="L52" s="379"/>
      <c r="M52" s="99">
        <f>SUM(K37:M37)</f>
        <v>44029</v>
      </c>
      <c r="N52" s="379" t="s">
        <v>410</v>
      </c>
      <c r="O52" s="379"/>
      <c r="P52" s="99">
        <f>SUM(N37:P37)</f>
        <v>5934</v>
      </c>
      <c r="Q52" s="286" t="str">
        <f>IF(M52+P52-F37=0,"Yes",M52+P52-F37)</f>
        <v>Yes</v>
      </c>
    </row>
    <row r="53" spans="1:17" s="11" customFormat="1" ht="15.75" x14ac:dyDescent="0.25">
      <c r="A53" s="20"/>
      <c r="B53" s="20"/>
      <c r="C53" s="20"/>
      <c r="D53" s="20"/>
      <c r="E53" s="20"/>
      <c r="F53" s="20"/>
      <c r="G53" s="20"/>
      <c r="H53" s="20"/>
      <c r="I53" s="20"/>
      <c r="J53" s="20"/>
      <c r="K53" s="20"/>
      <c r="L53" s="20"/>
      <c r="M53" s="20"/>
      <c r="N53" s="20"/>
    </row>
    <row r="54" spans="1:17" s="11" customFormat="1" ht="17.25" x14ac:dyDescent="0.35">
      <c r="A54" s="20"/>
      <c r="B54" s="20"/>
      <c r="C54" s="20"/>
      <c r="D54" s="20"/>
      <c r="E54" s="20"/>
      <c r="F54" s="20"/>
      <c r="G54" s="20"/>
      <c r="H54" s="20"/>
      <c r="I54" s="20"/>
      <c r="J54" s="20"/>
      <c r="K54" s="379" t="s">
        <v>371</v>
      </c>
      <c r="L54" s="379"/>
      <c r="M54" s="99">
        <f>SUM(K36:M36)</f>
        <v>11488</v>
      </c>
      <c r="N54" s="379" t="s">
        <v>371</v>
      </c>
      <c r="O54" s="379"/>
      <c r="P54" s="99">
        <f>SUM(N36:P36)</f>
        <v>4934</v>
      </c>
    </row>
    <row r="55" spans="1:17" s="11" customFormat="1" ht="15.75" x14ac:dyDescent="0.25">
      <c r="A55" s="20"/>
      <c r="B55" s="20"/>
      <c r="C55" s="20"/>
      <c r="D55" s="20"/>
      <c r="E55" s="20"/>
      <c r="F55" s="20"/>
      <c r="G55" s="20"/>
      <c r="H55" s="20"/>
      <c r="I55" s="20"/>
      <c r="J55" s="20"/>
      <c r="K55" s="20"/>
      <c r="L55" s="20"/>
      <c r="M55" s="20"/>
      <c r="N55" s="20"/>
    </row>
    <row r="56" spans="1:17" s="11" customFormat="1" ht="15.75" x14ac:dyDescent="0.25">
      <c r="A56" s="20"/>
      <c r="B56" s="20"/>
      <c r="C56" s="20"/>
      <c r="D56" s="20"/>
      <c r="E56" s="20"/>
      <c r="F56" s="20"/>
      <c r="G56" s="20"/>
      <c r="H56" s="20"/>
      <c r="I56" s="20"/>
      <c r="J56" s="20"/>
      <c r="K56" s="20"/>
      <c r="L56" s="20"/>
      <c r="M56" s="20"/>
      <c r="N56" s="20"/>
    </row>
    <row r="57" spans="1:17" s="11" customFormat="1" ht="15.75" x14ac:dyDescent="0.25">
      <c r="A57" s="20"/>
      <c r="B57" s="20"/>
      <c r="C57" s="20"/>
      <c r="D57" s="20"/>
      <c r="E57" s="20"/>
      <c r="F57" s="20"/>
      <c r="G57" s="20"/>
      <c r="H57" s="20"/>
      <c r="I57" s="20"/>
      <c r="J57" s="20"/>
      <c r="K57" s="20"/>
      <c r="L57" s="20"/>
      <c r="M57" s="20"/>
      <c r="N57" s="20"/>
    </row>
    <row r="58" spans="1:17" s="11" customFormat="1" ht="15.75" x14ac:dyDescent="0.25">
      <c r="A58" s="20"/>
      <c r="B58" s="20"/>
      <c r="C58" s="20"/>
      <c r="D58" s="20"/>
      <c r="E58" s="20"/>
      <c r="F58" s="20"/>
      <c r="G58" s="20"/>
      <c r="H58" s="20"/>
      <c r="I58" s="20"/>
      <c r="J58" s="20"/>
      <c r="K58" s="20"/>
      <c r="L58" s="20"/>
      <c r="M58" s="20"/>
      <c r="N58" s="20"/>
    </row>
    <row r="59" spans="1:17" s="11" customFormat="1" ht="15.75" x14ac:dyDescent="0.25">
      <c r="A59" s="20"/>
      <c r="B59" s="20"/>
      <c r="C59" s="20"/>
      <c r="D59" s="20"/>
      <c r="E59" s="20"/>
      <c r="F59" s="20"/>
      <c r="G59" s="20"/>
      <c r="H59" s="20"/>
      <c r="I59" s="20"/>
      <c r="J59" s="20"/>
      <c r="K59" s="20"/>
      <c r="L59" s="20"/>
      <c r="M59" s="20"/>
      <c r="N59" s="20"/>
    </row>
    <row r="60" spans="1:17" s="11" customFormat="1" ht="15.75" x14ac:dyDescent="0.25">
      <c r="A60" s="20"/>
      <c r="B60" s="20"/>
      <c r="C60" s="20"/>
      <c r="D60" s="20"/>
      <c r="E60" s="20"/>
      <c r="F60" s="20"/>
      <c r="G60" s="20"/>
      <c r="H60" s="20"/>
      <c r="I60" s="20"/>
      <c r="J60" s="20"/>
      <c r="K60" s="20"/>
      <c r="L60" s="20"/>
      <c r="M60" s="20"/>
      <c r="N60" s="20"/>
    </row>
    <row r="61" spans="1:17" s="11" customFormat="1" ht="15.75" x14ac:dyDescent="0.25">
      <c r="A61" s="20"/>
      <c r="B61" s="20"/>
      <c r="C61" s="20"/>
      <c r="D61" s="20"/>
      <c r="E61" s="20"/>
      <c r="F61" s="20"/>
      <c r="G61" s="20"/>
      <c r="H61" s="20"/>
      <c r="I61" s="20"/>
      <c r="J61" s="20"/>
      <c r="K61" s="20"/>
      <c r="L61" s="20"/>
      <c r="M61" s="20"/>
      <c r="N61" s="20"/>
    </row>
    <row r="62" spans="1:17" s="11" customFormat="1" ht="15.75" x14ac:dyDescent="0.25">
      <c r="A62" s="20"/>
      <c r="B62" s="20"/>
      <c r="C62" s="20"/>
      <c r="D62" s="20"/>
      <c r="E62" s="20"/>
      <c r="F62" s="20"/>
      <c r="G62" s="20"/>
      <c r="H62" s="20"/>
      <c r="I62" s="20"/>
      <c r="J62" s="20"/>
      <c r="K62" s="20"/>
      <c r="L62" s="20"/>
      <c r="M62" s="20"/>
      <c r="N62" s="20"/>
    </row>
    <row r="63" spans="1:17" s="11" customFormat="1" ht="15.75" x14ac:dyDescent="0.25">
      <c r="A63" s="20"/>
      <c r="B63" s="20"/>
      <c r="C63" s="20"/>
      <c r="D63" s="20"/>
      <c r="E63" s="20"/>
      <c r="F63" s="20"/>
      <c r="G63" s="20"/>
      <c r="H63" s="20"/>
      <c r="I63" s="20"/>
      <c r="J63" s="20"/>
      <c r="K63" s="20"/>
      <c r="L63" s="20"/>
      <c r="M63" s="20"/>
      <c r="N63" s="20"/>
    </row>
    <row r="64" spans="1:17" s="11" customFormat="1" ht="15.75" x14ac:dyDescent="0.25">
      <c r="A64" s="20"/>
      <c r="B64" s="20"/>
      <c r="C64" s="20"/>
      <c r="D64" s="20"/>
      <c r="E64" s="20"/>
      <c r="F64" s="20"/>
      <c r="G64" s="20"/>
      <c r="H64" s="20"/>
      <c r="I64" s="20"/>
      <c r="J64" s="20"/>
      <c r="K64" s="20"/>
      <c r="L64" s="20"/>
      <c r="M64" s="20"/>
      <c r="N64" s="20"/>
    </row>
    <row r="65" spans="1:14" s="11" customFormat="1" ht="15.75" x14ac:dyDescent="0.25">
      <c r="A65" s="20"/>
      <c r="B65" s="20"/>
      <c r="C65" s="20"/>
      <c r="D65" s="20"/>
      <c r="E65" s="20"/>
      <c r="F65" s="20"/>
      <c r="G65" s="20"/>
      <c r="H65" s="20"/>
      <c r="I65" s="20"/>
      <c r="J65" s="20"/>
      <c r="K65" s="20"/>
      <c r="L65" s="20"/>
      <c r="M65" s="20"/>
      <c r="N65" s="20"/>
    </row>
    <row r="66" spans="1:14" s="11" customFormat="1" ht="15.75" x14ac:dyDescent="0.25">
      <c r="A66" s="20"/>
      <c r="B66" s="20"/>
      <c r="C66" s="20"/>
      <c r="D66" s="20"/>
      <c r="E66" s="20"/>
      <c r="F66" s="20"/>
      <c r="G66" s="20"/>
      <c r="H66" s="20"/>
      <c r="I66" s="20"/>
      <c r="J66" s="20"/>
      <c r="K66" s="20"/>
      <c r="L66" s="20"/>
      <c r="M66" s="20"/>
      <c r="N66" s="20"/>
    </row>
    <row r="67" spans="1:14" s="11" customFormat="1" ht="15.75" x14ac:dyDescent="0.25">
      <c r="A67" s="20"/>
      <c r="B67" s="20"/>
      <c r="C67" s="20"/>
      <c r="D67" s="20"/>
      <c r="E67" s="20"/>
      <c r="F67" s="20"/>
      <c r="G67" s="20"/>
      <c r="H67" s="20"/>
      <c r="I67" s="20"/>
      <c r="J67" s="20"/>
      <c r="K67" s="20"/>
      <c r="L67" s="20"/>
      <c r="M67" s="20"/>
      <c r="N67" s="20"/>
    </row>
    <row r="68" spans="1:14" s="11" customFormat="1" ht="15.75" x14ac:dyDescent="0.25">
      <c r="A68" s="20"/>
      <c r="B68" s="20"/>
      <c r="C68" s="20"/>
      <c r="D68" s="20"/>
      <c r="E68" s="20"/>
      <c r="F68" s="20"/>
      <c r="G68" s="20"/>
      <c r="H68" s="20"/>
      <c r="I68" s="20"/>
      <c r="J68" s="20"/>
      <c r="K68" s="20"/>
      <c r="L68" s="20"/>
      <c r="M68" s="20"/>
      <c r="N68" s="20"/>
    </row>
    <row r="69" spans="1:14" s="11" customFormat="1" ht="15.75" x14ac:dyDescent="0.25">
      <c r="A69" s="20"/>
      <c r="B69" s="20"/>
      <c r="C69" s="20"/>
      <c r="D69" s="20"/>
      <c r="E69" s="20"/>
      <c r="F69" s="20"/>
      <c r="G69" s="20"/>
      <c r="H69" s="20"/>
      <c r="I69" s="20"/>
      <c r="J69" s="20"/>
      <c r="K69" s="20"/>
      <c r="L69" s="20"/>
      <c r="M69" s="20"/>
      <c r="N69" s="20"/>
    </row>
    <row r="70" spans="1:14" s="11" customFormat="1" ht="15.75" x14ac:dyDescent="0.25">
      <c r="A70" s="20"/>
      <c r="B70" s="20"/>
      <c r="C70" s="20"/>
      <c r="D70" s="20"/>
      <c r="E70" s="20"/>
      <c r="F70" s="20"/>
      <c r="G70" s="20"/>
      <c r="H70" s="20"/>
      <c r="I70" s="20"/>
      <c r="J70" s="20"/>
      <c r="K70" s="20"/>
      <c r="L70" s="20"/>
      <c r="M70" s="20"/>
      <c r="N70" s="20"/>
    </row>
    <row r="71" spans="1:14" s="11" customFormat="1" ht="15.75" x14ac:dyDescent="0.25">
      <c r="A71" s="20"/>
      <c r="B71" s="20"/>
      <c r="C71" s="20"/>
      <c r="D71" s="20"/>
      <c r="E71" s="20"/>
      <c r="F71" s="20"/>
      <c r="G71" s="20"/>
      <c r="H71" s="20"/>
      <c r="I71" s="20"/>
      <c r="J71" s="20"/>
      <c r="K71" s="20"/>
      <c r="L71" s="20"/>
      <c r="M71" s="20"/>
      <c r="N71" s="20"/>
    </row>
    <row r="72" spans="1:14" s="11" customFormat="1" ht="15.75" x14ac:dyDescent="0.25">
      <c r="A72" s="20"/>
      <c r="B72" s="20"/>
      <c r="C72" s="20"/>
      <c r="D72" s="20"/>
      <c r="E72" s="20"/>
      <c r="F72" s="20"/>
      <c r="G72" s="20"/>
      <c r="H72" s="20"/>
      <c r="I72" s="20"/>
      <c r="J72" s="20"/>
      <c r="K72" s="20"/>
      <c r="L72" s="20"/>
      <c r="M72" s="20"/>
      <c r="N72" s="20"/>
    </row>
    <row r="73" spans="1:14" s="11" customFormat="1" ht="15.75" x14ac:dyDescent="0.25">
      <c r="A73" s="20"/>
      <c r="B73" s="20"/>
      <c r="C73" s="20"/>
      <c r="D73" s="20"/>
      <c r="E73" s="20"/>
      <c r="F73" s="20"/>
      <c r="G73" s="20"/>
      <c r="H73" s="20"/>
      <c r="I73" s="20"/>
      <c r="J73" s="20"/>
      <c r="K73" s="20"/>
      <c r="L73" s="20"/>
      <c r="M73" s="20"/>
      <c r="N73" s="20"/>
    </row>
    <row r="74" spans="1:14" s="11" customFormat="1" ht="15.75" x14ac:dyDescent="0.25"/>
    <row r="75" spans="1:14" s="11" customFormat="1" ht="15.75" x14ac:dyDescent="0.25"/>
    <row r="76" spans="1:14" s="11" customFormat="1" ht="15.75" x14ac:dyDescent="0.25"/>
    <row r="77" spans="1:14" s="11" customFormat="1" ht="15.75" x14ac:dyDescent="0.25"/>
    <row r="78" spans="1:14" s="11" customFormat="1" ht="15.75" x14ac:dyDescent="0.25"/>
    <row r="79" spans="1:14" s="11" customFormat="1" ht="15.75" x14ac:dyDescent="0.25"/>
    <row r="80" spans="1:14" s="11" customFormat="1" ht="15.75" x14ac:dyDescent="0.25"/>
    <row r="81" s="11" customFormat="1" ht="15.75" x14ac:dyDescent="0.25"/>
    <row r="82" s="11" customFormat="1" ht="15.75" x14ac:dyDescent="0.25"/>
    <row r="83" s="11" customFormat="1" ht="15.75" x14ac:dyDescent="0.25"/>
    <row r="84" s="11" customFormat="1" ht="15.75" x14ac:dyDescent="0.25"/>
    <row r="85" s="11" customFormat="1" ht="15.75" x14ac:dyDescent="0.25"/>
    <row r="86" s="11" customFormat="1" ht="15.75" x14ac:dyDescent="0.25"/>
    <row r="87" s="11" customFormat="1" ht="15.75" x14ac:dyDescent="0.25"/>
    <row r="88" s="11" customFormat="1" ht="15.75" x14ac:dyDescent="0.25"/>
    <row r="89" s="11" customFormat="1" ht="15.75" x14ac:dyDescent="0.25"/>
    <row r="90" s="11" customFormat="1" ht="15.75" x14ac:dyDescent="0.25"/>
    <row r="91" s="11" customFormat="1" ht="15.75" x14ac:dyDescent="0.25"/>
    <row r="92" s="11" customFormat="1" ht="15.75" x14ac:dyDescent="0.25"/>
    <row r="93" s="11" customFormat="1" ht="15.75" x14ac:dyDescent="0.25"/>
    <row r="94" s="11" customFormat="1" ht="15.75" x14ac:dyDescent="0.25"/>
    <row r="95" s="11" customFormat="1" ht="15.75" x14ac:dyDescent="0.25"/>
    <row r="96" s="11" customFormat="1" ht="15.75" x14ac:dyDescent="0.25"/>
    <row r="97" s="11" customFormat="1" ht="15.75" x14ac:dyDescent="0.25"/>
  </sheetData>
  <mergeCells count="18">
    <mergeCell ref="N6:P6"/>
    <mergeCell ref="B7:D7"/>
    <mergeCell ref="H6:H9"/>
    <mergeCell ref="B6:E6"/>
    <mergeCell ref="B8:D8"/>
    <mergeCell ref="K6:M6"/>
    <mergeCell ref="K5:P5"/>
    <mergeCell ref="N2:P3"/>
    <mergeCell ref="A1:F1"/>
    <mergeCell ref="A2:F2"/>
    <mergeCell ref="A3:F3"/>
    <mergeCell ref="A4:F4"/>
    <mergeCell ref="K52:L52"/>
    <mergeCell ref="N52:O52"/>
    <mergeCell ref="K54:L54"/>
    <mergeCell ref="N54:O54"/>
    <mergeCell ref="K51:M51"/>
    <mergeCell ref="N51:P51"/>
  </mergeCells>
  <phoneticPr fontId="0" type="noConversion"/>
  <conditionalFormatting sqref="B47:F47 K47:Q47 F48">
    <cfRule type="cellIs" dxfId="88" priority="5" stopIfTrue="1" operator="notEqual">
      <formula>"Yes"</formula>
    </cfRule>
  </conditionalFormatting>
  <conditionalFormatting sqref="H12:H15 H22:H23 H29 H33 H35:H37">
    <cfRule type="cellIs" dxfId="87" priority="4" stopIfTrue="1" operator="notEqual">
      <formula>"Yes"</formula>
    </cfRule>
  </conditionalFormatting>
  <conditionalFormatting sqref="B49:F49">
    <cfRule type="cellIs" dxfId="86" priority="3" stopIfTrue="1" operator="notEqual">
      <formula>"Yes"</formula>
    </cfRule>
  </conditionalFormatting>
  <conditionalFormatting sqref="K49:Q49">
    <cfRule type="cellIs" dxfId="85" priority="2" stopIfTrue="1" operator="notEqual">
      <formula>"Yes"</formula>
    </cfRule>
  </conditionalFormatting>
  <conditionalFormatting sqref="H32">
    <cfRule type="cellIs" dxfId="84" priority="1" stopIfTrue="1" operator="notEqual">
      <formula>"Yes"</formula>
    </cfRule>
  </conditionalFormatting>
  <pageMargins left="0.75" right="0.75" top="0.75" bottom="0.75" header="0.5" footer="0.5"/>
  <pageSetup scale="83" firstPageNumber="19" orientation="portrait" useFirstPageNumber="1" r:id="rId1"/>
  <headerFooter alignWithMargins="0">
    <oddHeader>&amp;R&amp;12Exhibit 6</oddHeader>
    <oddFooter>&amp;L&amp;12Revised:  July 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pageSetUpPr fitToPage="1"/>
  </sheetPr>
  <dimension ref="A1:W100"/>
  <sheetViews>
    <sheetView showGridLines="0" zoomScaleNormal="100" zoomScaleSheetLayoutView="70" workbookViewId="0">
      <pane xSplit="1" ySplit="9" topLeftCell="H10"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43.7109375" customWidth="1"/>
    <col min="2" max="4" width="16.7109375" customWidth="1"/>
    <col min="5" max="5" width="16.7109375" hidden="1" customWidth="1"/>
    <col min="6" max="6" width="16.7109375" customWidth="1"/>
    <col min="9" max="9" width="9.7109375" bestFit="1" customWidth="1"/>
    <col min="10" max="15" width="14.7109375" customWidth="1"/>
    <col min="17" max="17" width="9.7109375" bestFit="1" customWidth="1"/>
    <col min="18" max="19" width="17.7109375" customWidth="1"/>
    <col min="20" max="20" width="12.7109375" customWidth="1"/>
  </cols>
  <sheetData>
    <row r="1" spans="1:23" ht="15.75" customHeight="1" thickBot="1" x14ac:dyDescent="0.3">
      <c r="A1" s="342" t="str">
        <f>'GW Net Position Exh 1'!A1</f>
        <v>Owl Charter, Inc.</v>
      </c>
      <c r="B1" s="342"/>
      <c r="C1" s="342"/>
      <c r="D1" s="342"/>
      <c r="E1" s="342"/>
      <c r="F1" s="342"/>
      <c r="G1" s="20"/>
      <c r="H1" s="20"/>
      <c r="I1" s="20"/>
      <c r="J1" s="20"/>
      <c r="K1" s="20"/>
      <c r="L1" s="20"/>
      <c r="M1" s="20"/>
      <c r="N1" s="20"/>
      <c r="O1" s="20"/>
      <c r="P1" s="20"/>
      <c r="Q1" s="20"/>
      <c r="R1" s="20"/>
      <c r="S1" s="20"/>
      <c r="T1" s="20"/>
      <c r="U1" s="20"/>
      <c r="V1" s="20"/>
      <c r="W1" s="11"/>
    </row>
    <row r="2" spans="1:23" ht="15.75" x14ac:dyDescent="0.25">
      <c r="A2" s="341" t="s">
        <v>220</v>
      </c>
      <c r="B2" s="341"/>
      <c r="C2" s="341"/>
      <c r="D2" s="341"/>
      <c r="E2" s="341"/>
      <c r="F2" s="341"/>
      <c r="G2" s="20"/>
      <c r="H2" s="20"/>
      <c r="I2" s="20"/>
      <c r="J2" s="20"/>
      <c r="K2" s="20"/>
      <c r="L2" s="20"/>
      <c r="M2" s="366" t="s">
        <v>399</v>
      </c>
      <c r="N2" s="367"/>
      <c r="O2" s="368"/>
      <c r="P2" s="20"/>
      <c r="Q2" s="20"/>
      <c r="R2" s="20"/>
      <c r="S2" s="20"/>
      <c r="T2" s="20"/>
      <c r="U2" s="20"/>
      <c r="V2" s="20"/>
      <c r="W2" s="11"/>
    </row>
    <row r="3" spans="1:23" ht="16.5" thickBot="1" x14ac:dyDescent="0.3">
      <c r="A3" s="342" t="s">
        <v>19</v>
      </c>
      <c r="B3" s="342"/>
      <c r="C3" s="342"/>
      <c r="D3" s="342"/>
      <c r="E3" s="342"/>
      <c r="F3" s="342"/>
      <c r="G3" s="20"/>
      <c r="H3" s="20"/>
      <c r="I3" s="20"/>
      <c r="J3" s="20"/>
      <c r="K3" s="20"/>
      <c r="L3" s="20"/>
      <c r="M3" s="369"/>
      <c r="N3" s="370"/>
      <c r="O3" s="371"/>
      <c r="P3" s="20"/>
      <c r="Q3" s="20"/>
      <c r="R3" s="20"/>
      <c r="S3" s="20"/>
      <c r="T3" s="20"/>
      <c r="U3" s="20"/>
      <c r="V3" s="20"/>
      <c r="W3" s="11"/>
    </row>
    <row r="4" spans="1:23" ht="15.75" x14ac:dyDescent="0.25">
      <c r="A4" s="342" t="str">
        <f>+'GW Stmt Activities Exh 2'!A3</f>
        <v>For the Year Ended June 30, 2020</v>
      </c>
      <c r="B4" s="342"/>
      <c r="C4" s="342"/>
      <c r="D4" s="342"/>
      <c r="E4" s="342"/>
      <c r="F4" s="342"/>
      <c r="G4" s="20"/>
      <c r="H4" s="20"/>
      <c r="I4" s="20"/>
      <c r="J4" s="20"/>
      <c r="K4" s="20"/>
      <c r="L4" s="20"/>
      <c r="M4" s="20"/>
      <c r="N4" s="20"/>
      <c r="O4" s="20"/>
      <c r="P4" s="20"/>
      <c r="Q4" s="20"/>
      <c r="R4" s="20"/>
      <c r="S4" s="20"/>
      <c r="T4" s="20"/>
      <c r="U4" s="20"/>
      <c r="V4" s="20"/>
      <c r="W4" s="11"/>
    </row>
    <row r="5" spans="1:23" ht="20.25" x14ac:dyDescent="0.55000000000000004">
      <c r="A5" s="20"/>
      <c r="B5" s="20"/>
      <c r="C5" s="20"/>
      <c r="D5" s="20"/>
      <c r="E5" s="20"/>
      <c r="F5" s="20"/>
      <c r="G5" s="20"/>
      <c r="H5" s="20"/>
      <c r="I5" s="20"/>
      <c r="J5" s="373" t="s">
        <v>282</v>
      </c>
      <c r="K5" s="373"/>
      <c r="L5" s="373"/>
      <c r="M5" s="373"/>
      <c r="N5" s="373"/>
      <c r="O5" s="373"/>
      <c r="P5" s="20"/>
      <c r="R5" s="382" t="s">
        <v>319</v>
      </c>
      <c r="S5" s="382"/>
      <c r="T5" s="20"/>
      <c r="U5" s="20"/>
      <c r="V5" s="20"/>
      <c r="W5" s="11"/>
    </row>
    <row r="6" spans="1:23" ht="17.25" customHeight="1" x14ac:dyDescent="0.35">
      <c r="A6" s="20"/>
      <c r="B6" s="372" t="s">
        <v>354</v>
      </c>
      <c r="C6" s="372"/>
      <c r="D6" s="372"/>
      <c r="E6" s="372"/>
      <c r="F6" s="66"/>
      <c r="G6" s="20"/>
      <c r="H6" s="285"/>
      <c r="I6" s="20"/>
      <c r="J6" s="338" t="s">
        <v>318</v>
      </c>
      <c r="K6" s="338"/>
      <c r="L6" s="338"/>
      <c r="M6" s="338" t="s">
        <v>411</v>
      </c>
      <c r="N6" s="338"/>
      <c r="O6" s="338"/>
      <c r="P6" s="20"/>
      <c r="Q6" s="20"/>
      <c r="R6" s="381" t="s">
        <v>318</v>
      </c>
      <c r="S6" s="381" t="s">
        <v>411</v>
      </c>
      <c r="T6" s="20" t="s">
        <v>320</v>
      </c>
      <c r="U6" s="20"/>
      <c r="V6" s="20"/>
      <c r="W6" s="11"/>
    </row>
    <row r="7" spans="1:23" ht="18" hidden="1" customHeight="1" x14ac:dyDescent="0.35">
      <c r="A7" s="20"/>
      <c r="B7" s="372" t="s">
        <v>125</v>
      </c>
      <c r="C7" s="372"/>
      <c r="D7" s="372"/>
      <c r="E7" s="24" t="s">
        <v>123</v>
      </c>
      <c r="F7" s="25"/>
      <c r="G7" s="20"/>
      <c r="H7" s="285"/>
      <c r="I7" s="20"/>
      <c r="J7" s="11"/>
      <c r="K7" s="11"/>
      <c r="L7" s="11"/>
      <c r="M7" s="20"/>
      <c r="N7" s="11"/>
      <c r="O7" s="11"/>
      <c r="P7" s="20"/>
      <c r="Q7" s="20"/>
      <c r="R7" s="381"/>
      <c r="S7" s="381"/>
      <c r="T7" s="20"/>
      <c r="U7" s="20"/>
      <c r="V7" s="20"/>
      <c r="W7" s="11"/>
    </row>
    <row r="8" spans="1:23" ht="18" hidden="1" customHeight="1" x14ac:dyDescent="0.35">
      <c r="A8" s="20"/>
      <c r="B8" s="338" t="s">
        <v>284</v>
      </c>
      <c r="C8" s="338"/>
      <c r="D8" s="338"/>
      <c r="E8" s="24"/>
      <c r="F8" s="25"/>
      <c r="G8" s="20"/>
      <c r="H8" s="285"/>
      <c r="I8" s="20"/>
      <c r="J8" s="20"/>
      <c r="K8" s="20"/>
      <c r="L8" s="20"/>
      <c r="M8" s="20"/>
      <c r="N8" s="11"/>
      <c r="O8" s="11"/>
      <c r="P8" s="20"/>
      <c r="Q8" s="20"/>
      <c r="R8" s="381"/>
      <c r="S8" s="381"/>
      <c r="T8" s="20"/>
      <c r="U8" s="20"/>
      <c r="V8" s="20"/>
      <c r="W8" s="11"/>
    </row>
    <row r="9" spans="1:23" ht="20.100000000000001" customHeight="1" x14ac:dyDescent="0.35">
      <c r="A9" s="20"/>
      <c r="B9" s="27" t="str">
        <f>'Govt Funds Bal Sh Exh 3'!C7</f>
        <v>Owl - Doceo</v>
      </c>
      <c r="C9" s="27" t="str">
        <f>'Govt Funds Bal Sh Exh 3'!D7</f>
        <v>Owl - Erudio</v>
      </c>
      <c r="D9" s="27" t="str">
        <f>'Govt Funds Bal Sh Exh 3'!E7</f>
        <v>Owl - Discite</v>
      </c>
      <c r="E9" s="26" t="s">
        <v>225</v>
      </c>
      <c r="F9" s="26" t="s">
        <v>0</v>
      </c>
      <c r="G9" s="20"/>
      <c r="H9" s="285"/>
      <c r="I9" s="20"/>
      <c r="J9" s="27" t="str">
        <f>$B$9</f>
        <v>Owl - Doceo</v>
      </c>
      <c r="K9" s="27" t="str">
        <f>$C$9</f>
        <v>Owl - Erudio</v>
      </c>
      <c r="L9" s="27" t="str">
        <f>$D$9</f>
        <v>Owl - Discite</v>
      </c>
      <c r="M9" s="27" t="str">
        <f>$B$9</f>
        <v>Owl - Doceo</v>
      </c>
      <c r="N9" s="27" t="str">
        <f>$C$9</f>
        <v>Owl - Erudio</v>
      </c>
      <c r="O9" s="27" t="str">
        <f>$D$9</f>
        <v>Owl - Discite</v>
      </c>
      <c r="P9" s="20"/>
      <c r="R9" s="381"/>
      <c r="S9" s="381"/>
      <c r="T9" s="201" t="s">
        <v>321</v>
      </c>
      <c r="U9" s="20"/>
      <c r="V9" s="20"/>
      <c r="W9" s="11"/>
    </row>
    <row r="10" spans="1:23" ht="15.75" customHeight="1" x14ac:dyDescent="0.25">
      <c r="A10" s="28" t="s">
        <v>259</v>
      </c>
      <c r="B10" s="20"/>
      <c r="C10" s="20"/>
      <c r="D10" s="20"/>
      <c r="E10" s="20"/>
      <c r="F10" s="20"/>
      <c r="G10" s="20"/>
      <c r="H10" s="20"/>
      <c r="I10" s="20"/>
      <c r="J10" s="20"/>
      <c r="K10" s="20"/>
      <c r="L10" s="20"/>
      <c r="M10" s="20"/>
      <c r="N10" s="20"/>
      <c r="O10" s="20"/>
      <c r="P10" s="20"/>
      <c r="Q10" s="20"/>
      <c r="R10" s="20"/>
      <c r="S10" s="20"/>
      <c r="T10" s="20"/>
      <c r="U10" s="20"/>
      <c r="V10" s="20"/>
      <c r="W10" s="11"/>
    </row>
    <row r="11" spans="1:23" s="7" customFormat="1" ht="15.75" customHeight="1" x14ac:dyDescent="0.25">
      <c r="A11" s="40" t="s">
        <v>102</v>
      </c>
      <c r="B11" s="18">
        <f t="shared" ref="B11:D12" si="0">+J11+M11</f>
        <v>16574</v>
      </c>
      <c r="C11" s="18">
        <f t="shared" si="0"/>
        <v>19587</v>
      </c>
      <c r="D11" s="18">
        <f t="shared" si="0"/>
        <v>14062</v>
      </c>
      <c r="E11" s="18">
        <v>0</v>
      </c>
      <c r="F11" s="18">
        <f>SUM(B11:E11)</f>
        <v>50223</v>
      </c>
      <c r="G11" s="30"/>
      <c r="H11" s="30"/>
      <c r="I11" s="30"/>
      <c r="J11" s="89">
        <v>16574</v>
      </c>
      <c r="K11" s="89">
        <v>19587</v>
      </c>
      <c r="L11" s="89">
        <v>14062</v>
      </c>
      <c r="M11" s="89">
        <v>0</v>
      </c>
      <c r="N11" s="89">
        <v>0</v>
      </c>
      <c r="O11" s="89">
        <v>0</v>
      </c>
      <c r="P11" s="30"/>
      <c r="Q11" s="30"/>
      <c r="R11" s="29">
        <f>SUM(J11:L11)</f>
        <v>50223</v>
      </c>
      <c r="S11" s="89">
        <f>SUM(M11:O11)</f>
        <v>0</v>
      </c>
      <c r="T11" s="271" t="str">
        <f>IF(F11-R11-S11=0,"Yes",F11-R11-S11)</f>
        <v>Yes</v>
      </c>
      <c r="U11" s="30"/>
      <c r="V11" s="30"/>
      <c r="W11" s="10"/>
    </row>
    <row r="12" spans="1:23" ht="17.25" x14ac:dyDescent="0.35">
      <c r="A12" s="36" t="s">
        <v>412</v>
      </c>
      <c r="B12" s="35">
        <f t="shared" si="0"/>
        <v>7194</v>
      </c>
      <c r="C12" s="35">
        <f t="shared" si="0"/>
        <v>11252</v>
      </c>
      <c r="D12" s="35">
        <f t="shared" si="0"/>
        <v>0</v>
      </c>
      <c r="E12" s="35">
        <v>0</v>
      </c>
      <c r="F12" s="35">
        <f>SUM(B12:E12)</f>
        <v>18446</v>
      </c>
      <c r="G12" s="20"/>
      <c r="H12" s="20"/>
      <c r="I12" s="20"/>
      <c r="J12" s="143">
        <v>0</v>
      </c>
      <c r="K12" s="143">
        <v>0</v>
      </c>
      <c r="L12" s="143">
        <v>0</v>
      </c>
      <c r="M12" s="143">
        <v>7194</v>
      </c>
      <c r="N12" s="143">
        <v>11252</v>
      </c>
      <c r="O12" s="143">
        <v>0</v>
      </c>
      <c r="P12" s="20"/>
      <c r="Q12" s="20"/>
      <c r="R12" s="98">
        <f>SUM(J18:L18)</f>
        <v>0</v>
      </c>
      <c r="S12" s="143">
        <f>SUM(M12:O12)</f>
        <v>18446</v>
      </c>
      <c r="T12" s="271" t="str">
        <f>IF(F12-R12-S12=0,"Yes",F12-R12-S12)</f>
        <v>Yes</v>
      </c>
      <c r="U12" s="20"/>
      <c r="V12" s="20"/>
      <c r="W12" s="11"/>
    </row>
    <row r="13" spans="1:23" ht="18" customHeight="1" x14ac:dyDescent="0.25">
      <c r="A13" s="73" t="s">
        <v>25</v>
      </c>
      <c r="B13" s="71">
        <f>SUM(B11:B12)</f>
        <v>23768</v>
      </c>
      <c r="C13" s="71">
        <f>SUM(C11:C12)</f>
        <v>30839</v>
      </c>
      <c r="D13" s="71">
        <f>SUM(D11:D12)</f>
        <v>14062</v>
      </c>
      <c r="E13" s="71">
        <f>SUM(E11:E12)</f>
        <v>0</v>
      </c>
      <c r="F13" s="71">
        <f>SUM(F11:F12)</f>
        <v>68669</v>
      </c>
      <c r="G13" s="20"/>
      <c r="H13" s="20"/>
      <c r="I13" s="20"/>
      <c r="J13" s="71">
        <f t="shared" ref="J13:O13" si="1">SUM(J11:J12)</f>
        <v>16574</v>
      </c>
      <c r="K13" s="71">
        <f t="shared" si="1"/>
        <v>19587</v>
      </c>
      <c r="L13" s="71">
        <f t="shared" si="1"/>
        <v>14062</v>
      </c>
      <c r="M13" s="71">
        <f t="shared" si="1"/>
        <v>7194</v>
      </c>
      <c r="N13" s="71">
        <f t="shared" si="1"/>
        <v>11252</v>
      </c>
      <c r="O13" s="71">
        <f t="shared" si="1"/>
        <v>0</v>
      </c>
      <c r="P13" s="20"/>
      <c r="Q13" s="20"/>
      <c r="R13" s="71">
        <f>SUM(R11:R12)</f>
        <v>50223</v>
      </c>
      <c r="S13" s="71">
        <f>SUM(S11:S12)</f>
        <v>18446</v>
      </c>
      <c r="T13" s="271" t="str">
        <f>IF(F13-R13-S13=0,"Yes",F13-R13-S13)</f>
        <v>Yes</v>
      </c>
      <c r="U13" s="20"/>
      <c r="V13" s="20"/>
      <c r="W13" s="11"/>
    </row>
    <row r="14" spans="1:23" ht="5.0999999999999996" customHeight="1" x14ac:dyDescent="0.25">
      <c r="A14" s="36"/>
      <c r="B14" s="71"/>
      <c r="C14" s="71"/>
      <c r="D14" s="71"/>
      <c r="E14" s="71"/>
      <c r="F14" s="71"/>
      <c r="G14" s="20"/>
      <c r="H14" s="20"/>
      <c r="I14" s="20"/>
      <c r="J14" s="20"/>
      <c r="K14" s="20"/>
      <c r="L14" s="20"/>
      <c r="M14" s="20"/>
      <c r="N14" s="20"/>
      <c r="O14" s="20"/>
      <c r="P14" s="20"/>
      <c r="Q14" s="20"/>
      <c r="R14" s="20"/>
      <c r="S14" s="20"/>
      <c r="T14" s="20"/>
      <c r="U14" s="20"/>
      <c r="V14" s="20"/>
      <c r="W14" s="11"/>
    </row>
    <row r="15" spans="1:23" ht="15.75" x14ac:dyDescent="0.25">
      <c r="A15" s="28" t="s">
        <v>260</v>
      </c>
      <c r="B15" s="33"/>
      <c r="C15" s="33"/>
      <c r="D15" s="33"/>
      <c r="E15" s="33"/>
      <c r="F15" s="33"/>
      <c r="G15" s="20"/>
      <c r="H15" s="20"/>
      <c r="I15" s="20"/>
      <c r="J15" s="20"/>
      <c r="K15" s="20"/>
      <c r="L15" s="20"/>
      <c r="M15" s="20"/>
      <c r="N15" s="20"/>
      <c r="O15" s="20"/>
      <c r="P15" s="20"/>
      <c r="Q15" s="20"/>
      <c r="R15" s="20"/>
      <c r="S15" s="20"/>
      <c r="T15" s="20"/>
      <c r="U15" s="20"/>
      <c r="V15" s="20"/>
      <c r="W15" s="11"/>
    </row>
    <row r="16" spans="1:23" ht="15.75" x14ac:dyDescent="0.25">
      <c r="A16" s="36" t="s">
        <v>330</v>
      </c>
      <c r="B16" s="33"/>
      <c r="C16" s="33"/>
      <c r="D16" s="33"/>
      <c r="E16" s="33"/>
      <c r="F16" s="33"/>
      <c r="G16" s="20"/>
      <c r="H16" s="20"/>
      <c r="I16" s="20"/>
      <c r="J16" s="20"/>
      <c r="K16" s="20"/>
      <c r="L16" s="20"/>
      <c r="M16" s="20"/>
      <c r="N16" s="20"/>
      <c r="O16" s="20"/>
      <c r="P16" s="20"/>
      <c r="Q16" s="20"/>
      <c r="R16" s="20"/>
      <c r="S16" s="20"/>
      <c r="T16" s="20"/>
      <c r="U16" s="20"/>
      <c r="V16" s="20"/>
      <c r="W16" s="11"/>
    </row>
    <row r="17" spans="1:23" ht="15.75" x14ac:dyDescent="0.25">
      <c r="A17" s="73" t="s">
        <v>103</v>
      </c>
      <c r="B17" s="32">
        <f>+J17+M17</f>
        <v>15147</v>
      </c>
      <c r="C17" s="32">
        <f>+K17+N17</f>
        <v>17901</v>
      </c>
      <c r="D17" s="32">
        <f>+L17+O17</f>
        <v>12851</v>
      </c>
      <c r="E17" s="32">
        <v>0</v>
      </c>
      <c r="F17" s="32">
        <f>SUM(B17:E17)</f>
        <v>45899</v>
      </c>
      <c r="G17" s="20"/>
      <c r="H17" s="20"/>
      <c r="I17" s="20"/>
      <c r="J17" s="90">
        <v>15147</v>
      </c>
      <c r="K17" s="90">
        <v>17901</v>
      </c>
      <c r="L17" s="90">
        <v>12851</v>
      </c>
      <c r="M17" s="90">
        <v>0</v>
      </c>
      <c r="N17" s="90">
        <v>0</v>
      </c>
      <c r="O17" s="90">
        <v>0</v>
      </c>
      <c r="P17" s="20"/>
      <c r="Q17" s="20"/>
      <c r="R17" s="47">
        <f>SUM(J17:L17)</f>
        <v>45899</v>
      </c>
      <c r="S17" s="90">
        <f>SUM(M17:O17)</f>
        <v>0</v>
      </c>
      <c r="T17" s="271" t="str">
        <f t="shared" ref="T17:T26" si="2">IF(F17-R17-S17=0,"Yes",F17-R17-S17)</f>
        <v>Yes</v>
      </c>
      <c r="U17" s="20"/>
      <c r="V17" s="20"/>
      <c r="W17" s="11"/>
    </row>
    <row r="18" spans="1:23" ht="15.75" hidden="1" x14ac:dyDescent="0.25">
      <c r="A18" s="73" t="s">
        <v>104</v>
      </c>
      <c r="B18" s="32">
        <f t="shared" ref="B18:B23" si="3">+J18+M18</f>
        <v>0</v>
      </c>
      <c r="C18" s="32">
        <f t="shared" ref="C18:C24" si="4">+K18+N18</f>
        <v>0</v>
      </c>
      <c r="D18" s="32">
        <f t="shared" ref="D18:D24" si="5">+L18+O18</f>
        <v>0</v>
      </c>
      <c r="E18" s="32">
        <v>0</v>
      </c>
      <c r="F18" s="32">
        <f t="shared" ref="F18:F23" si="6">SUM(B18:E18)</f>
        <v>0</v>
      </c>
      <c r="G18" s="20"/>
      <c r="H18" s="20"/>
      <c r="I18" s="20"/>
      <c r="J18" s="90">
        <v>0</v>
      </c>
      <c r="K18" s="90">
        <v>0</v>
      </c>
      <c r="L18" s="90">
        <v>0</v>
      </c>
      <c r="M18" s="90">
        <v>0</v>
      </c>
      <c r="N18" s="90">
        <v>0</v>
      </c>
      <c r="O18" s="90">
        <v>0</v>
      </c>
      <c r="P18" s="20"/>
      <c r="Q18" s="20"/>
      <c r="R18" s="47">
        <f t="shared" ref="R18:R24" si="7">SUM(J18:L18)</f>
        <v>0</v>
      </c>
      <c r="S18" s="90">
        <f t="shared" ref="S18:S24" si="8">SUM(M18:O18)</f>
        <v>0</v>
      </c>
      <c r="T18" s="271" t="str">
        <f t="shared" si="2"/>
        <v>Yes</v>
      </c>
      <c r="U18" s="20"/>
      <c r="V18" s="20"/>
      <c r="W18" s="11"/>
    </row>
    <row r="19" spans="1:23" ht="15.75" x14ac:dyDescent="0.25">
      <c r="A19" s="36" t="s">
        <v>105</v>
      </c>
      <c r="B19" s="32">
        <f t="shared" si="3"/>
        <v>8325</v>
      </c>
      <c r="C19" s="32">
        <f t="shared" si="4"/>
        <v>11940</v>
      </c>
      <c r="D19" s="32">
        <f t="shared" si="5"/>
        <v>3321</v>
      </c>
      <c r="E19" s="32">
        <v>0</v>
      </c>
      <c r="F19" s="32">
        <f t="shared" si="6"/>
        <v>23586</v>
      </c>
      <c r="G19" s="20"/>
      <c r="H19" s="20"/>
      <c r="I19" s="20"/>
      <c r="J19" s="90">
        <v>3913</v>
      </c>
      <c r="K19" s="90">
        <v>4625</v>
      </c>
      <c r="L19" s="90">
        <v>3321</v>
      </c>
      <c r="M19" s="90">
        <f>4574-162</f>
        <v>4412</v>
      </c>
      <c r="N19" s="90">
        <f>7153+162</f>
        <v>7315</v>
      </c>
      <c r="O19" s="90">
        <v>0</v>
      </c>
      <c r="P19" s="20"/>
      <c r="Q19" s="20"/>
      <c r="R19" s="47">
        <f t="shared" si="7"/>
        <v>11859</v>
      </c>
      <c r="S19" s="90">
        <f t="shared" si="8"/>
        <v>11727</v>
      </c>
      <c r="T19" s="271" t="str">
        <f t="shared" si="2"/>
        <v>Yes</v>
      </c>
      <c r="U19" s="20"/>
      <c r="V19" s="20"/>
      <c r="W19" s="11"/>
    </row>
    <row r="20" spans="1:23" ht="15.75" x14ac:dyDescent="0.25">
      <c r="A20" s="36" t="s">
        <v>106</v>
      </c>
      <c r="B20" s="32">
        <f t="shared" si="3"/>
        <v>93</v>
      </c>
      <c r="C20" s="32">
        <f t="shared" si="4"/>
        <v>132</v>
      </c>
      <c r="D20" s="32">
        <f t="shared" si="5"/>
        <v>32</v>
      </c>
      <c r="E20" s="32">
        <v>0</v>
      </c>
      <c r="F20" s="32">
        <f t="shared" si="6"/>
        <v>257</v>
      </c>
      <c r="G20" s="20"/>
      <c r="H20" s="20"/>
      <c r="I20" s="20"/>
      <c r="J20" s="90">
        <v>37</v>
      </c>
      <c r="K20" s="90">
        <v>44</v>
      </c>
      <c r="L20" s="90">
        <v>32</v>
      </c>
      <c r="M20" s="90">
        <v>56</v>
      </c>
      <c r="N20" s="90">
        <v>88</v>
      </c>
      <c r="O20" s="90">
        <v>0</v>
      </c>
      <c r="P20" s="20"/>
      <c r="Q20" s="20"/>
      <c r="R20" s="47">
        <f t="shared" si="7"/>
        <v>113</v>
      </c>
      <c r="S20" s="90">
        <f t="shared" si="8"/>
        <v>144</v>
      </c>
      <c r="T20" s="271" t="str">
        <f t="shared" si="2"/>
        <v>Yes</v>
      </c>
      <c r="U20" s="20"/>
      <c r="V20" s="20"/>
      <c r="W20" s="11"/>
    </row>
    <row r="21" spans="1:23" ht="15.75" x14ac:dyDescent="0.25">
      <c r="A21" s="36" t="s">
        <v>107</v>
      </c>
      <c r="B21" s="32">
        <f t="shared" si="3"/>
        <v>252</v>
      </c>
      <c r="C21" s="32">
        <f t="shared" si="4"/>
        <v>375</v>
      </c>
      <c r="D21" s="32">
        <f t="shared" si="5"/>
        <v>43</v>
      </c>
      <c r="E21" s="32">
        <v>0</v>
      </c>
      <c r="F21" s="32">
        <f t="shared" si="6"/>
        <v>670</v>
      </c>
      <c r="G21" s="20"/>
      <c r="H21" s="20"/>
      <c r="I21" s="20"/>
      <c r="J21" s="90">
        <v>50</v>
      </c>
      <c r="K21" s="90">
        <v>60</v>
      </c>
      <c r="L21" s="90">
        <v>43</v>
      </c>
      <c r="M21" s="90">
        <v>202</v>
      </c>
      <c r="N21" s="90">
        <v>315</v>
      </c>
      <c r="O21" s="90">
        <v>0</v>
      </c>
      <c r="P21" s="20"/>
      <c r="Q21" s="20"/>
      <c r="R21" s="47">
        <f t="shared" si="7"/>
        <v>153</v>
      </c>
      <c r="S21" s="90">
        <f t="shared" si="8"/>
        <v>517</v>
      </c>
      <c r="T21" s="271" t="str">
        <f t="shared" si="2"/>
        <v>Yes</v>
      </c>
      <c r="U21" s="20"/>
      <c r="V21" s="20"/>
      <c r="W21" s="11"/>
    </row>
    <row r="22" spans="1:23" ht="15.75" x14ac:dyDescent="0.25">
      <c r="A22" s="36" t="s">
        <v>26</v>
      </c>
      <c r="B22" s="32">
        <f>+J22+M22</f>
        <v>678</v>
      </c>
      <c r="C22" s="32">
        <f t="shared" si="4"/>
        <v>782</v>
      </c>
      <c r="D22" s="32">
        <f t="shared" si="5"/>
        <v>266</v>
      </c>
      <c r="E22" s="32">
        <v>0</v>
      </c>
      <c r="F22" s="32">
        <f t="shared" si="6"/>
        <v>1726</v>
      </c>
      <c r="G22" s="20"/>
      <c r="H22" s="20"/>
      <c r="I22" s="20"/>
      <c r="J22" s="90">
        <v>315</v>
      </c>
      <c r="K22" s="90">
        <v>372</v>
      </c>
      <c r="L22" s="90">
        <v>266</v>
      </c>
      <c r="M22" s="90">
        <v>363</v>
      </c>
      <c r="N22" s="90">
        <v>410</v>
      </c>
      <c r="O22" s="90">
        <v>0</v>
      </c>
      <c r="P22" s="47"/>
      <c r="Q22" s="20"/>
      <c r="R22" s="47">
        <f t="shared" si="7"/>
        <v>953</v>
      </c>
      <c r="S22" s="90">
        <f t="shared" si="8"/>
        <v>773</v>
      </c>
      <c r="T22" s="271" t="str">
        <f t="shared" si="2"/>
        <v>Yes</v>
      </c>
      <c r="U22" s="20"/>
      <c r="V22" s="20"/>
      <c r="W22" s="11"/>
    </row>
    <row r="23" spans="1:23" ht="15.75" x14ac:dyDescent="0.25">
      <c r="A23" s="36" t="s">
        <v>50</v>
      </c>
      <c r="B23" s="32">
        <f t="shared" si="3"/>
        <v>5036</v>
      </c>
      <c r="C23" s="32">
        <f t="shared" si="4"/>
        <v>6115</v>
      </c>
      <c r="D23" s="32">
        <f t="shared" si="5"/>
        <v>3912</v>
      </c>
      <c r="E23" s="32">
        <v>0</v>
      </c>
      <c r="F23" s="32">
        <f t="shared" si="6"/>
        <v>15063</v>
      </c>
      <c r="G23" s="20"/>
      <c r="H23" s="20"/>
      <c r="I23" s="20"/>
      <c r="J23" s="90">
        <v>4610</v>
      </c>
      <c r="K23" s="90">
        <v>5448</v>
      </c>
      <c r="L23" s="90">
        <v>3912</v>
      </c>
      <c r="M23" s="90">
        <v>426</v>
      </c>
      <c r="N23" s="90">
        <v>667</v>
      </c>
      <c r="O23" s="90">
        <v>0</v>
      </c>
      <c r="P23" s="20"/>
      <c r="Q23" s="20"/>
      <c r="R23" s="47">
        <f t="shared" si="7"/>
        <v>13970</v>
      </c>
      <c r="S23" s="90">
        <f t="shared" si="8"/>
        <v>1093</v>
      </c>
      <c r="T23" s="271" t="str">
        <f t="shared" si="2"/>
        <v>Yes</v>
      </c>
      <c r="U23" s="20"/>
      <c r="V23" s="20"/>
      <c r="W23" s="11"/>
    </row>
    <row r="24" spans="1:23" ht="17.25" x14ac:dyDescent="0.35">
      <c r="A24" s="36" t="s">
        <v>91</v>
      </c>
      <c r="B24" s="35">
        <f>+J24+M24</f>
        <v>27</v>
      </c>
      <c r="C24" s="35">
        <f t="shared" si="4"/>
        <v>32</v>
      </c>
      <c r="D24" s="35">
        <f t="shared" si="5"/>
        <v>23</v>
      </c>
      <c r="E24" s="35">
        <v>0</v>
      </c>
      <c r="F24" s="35">
        <f>SUM(B24:E24)</f>
        <v>82</v>
      </c>
      <c r="G24" s="20"/>
      <c r="H24" s="20"/>
      <c r="I24" s="20"/>
      <c r="J24" s="143">
        <v>27</v>
      </c>
      <c r="K24" s="143">
        <v>32</v>
      </c>
      <c r="L24" s="143">
        <v>23</v>
      </c>
      <c r="M24" s="143">
        <v>0</v>
      </c>
      <c r="N24" s="143">
        <v>0</v>
      </c>
      <c r="O24" s="143">
        <v>0</v>
      </c>
      <c r="P24" s="20"/>
      <c r="Q24" s="20"/>
      <c r="R24" s="98">
        <f t="shared" si="7"/>
        <v>82</v>
      </c>
      <c r="S24" s="143">
        <f t="shared" si="8"/>
        <v>0</v>
      </c>
      <c r="T24" s="271" t="str">
        <f t="shared" si="2"/>
        <v>Yes</v>
      </c>
      <c r="U24" s="20"/>
      <c r="V24" s="20"/>
      <c r="W24" s="11"/>
    </row>
    <row r="25" spans="1:23" ht="17.25" x14ac:dyDescent="0.35">
      <c r="A25" s="73" t="s">
        <v>61</v>
      </c>
      <c r="B25" s="34">
        <f>SUM(B17:B24)</f>
        <v>29558</v>
      </c>
      <c r="C25" s="34">
        <f>SUM(C17:C24)</f>
        <v>37277</v>
      </c>
      <c r="D25" s="34">
        <f>SUM(D17:D24)</f>
        <v>20448</v>
      </c>
      <c r="E25" s="34">
        <f>SUM(E17:E24)</f>
        <v>0</v>
      </c>
      <c r="F25" s="34">
        <f>SUM(F17:F24)</f>
        <v>87283</v>
      </c>
      <c r="G25" s="20"/>
      <c r="H25" s="20"/>
      <c r="I25" s="47">
        <f>SUM(J34:L34)</f>
        <v>23545</v>
      </c>
      <c r="J25" s="34">
        <f t="shared" ref="J25:O25" si="9">SUM(J17:J24)</f>
        <v>24099</v>
      </c>
      <c r="K25" s="34">
        <f t="shared" si="9"/>
        <v>28482</v>
      </c>
      <c r="L25" s="34">
        <f t="shared" si="9"/>
        <v>20448</v>
      </c>
      <c r="M25" s="34">
        <f>SUM(M17:M24)</f>
        <v>5459</v>
      </c>
      <c r="N25" s="34">
        <f t="shared" si="9"/>
        <v>8795</v>
      </c>
      <c r="O25" s="34">
        <f t="shared" si="9"/>
        <v>0</v>
      </c>
      <c r="P25" s="20"/>
      <c r="Q25" s="20"/>
      <c r="R25" s="34">
        <f>SUM(R17:R24)</f>
        <v>73029</v>
      </c>
      <c r="S25" s="34">
        <f>SUM(S17:S24)</f>
        <v>14254</v>
      </c>
      <c r="T25" s="271" t="str">
        <f t="shared" si="2"/>
        <v>Yes</v>
      </c>
      <c r="U25" s="20"/>
      <c r="V25" s="20"/>
      <c r="W25" s="11"/>
    </row>
    <row r="26" spans="1:23" ht="17.25" x14ac:dyDescent="0.35">
      <c r="A26" s="103" t="s">
        <v>27</v>
      </c>
      <c r="B26" s="34">
        <f>+B13-B25</f>
        <v>-5790</v>
      </c>
      <c r="C26" s="34">
        <f>+C13-C25</f>
        <v>-6438</v>
      </c>
      <c r="D26" s="34">
        <f>+D13-D25</f>
        <v>-6386</v>
      </c>
      <c r="E26" s="34">
        <f>+E13-E25</f>
        <v>0</v>
      </c>
      <c r="F26" s="34">
        <f>+F13-F25</f>
        <v>-18614</v>
      </c>
      <c r="G26" s="20"/>
      <c r="H26" s="20"/>
      <c r="I26" s="20"/>
      <c r="J26" s="34">
        <f t="shared" ref="J26:O26" si="10">+J13-J25</f>
        <v>-7525</v>
      </c>
      <c r="K26" s="34">
        <f t="shared" si="10"/>
        <v>-8895</v>
      </c>
      <c r="L26" s="34">
        <f t="shared" si="10"/>
        <v>-6386</v>
      </c>
      <c r="M26" s="34">
        <f>+M13-M25</f>
        <v>1735</v>
      </c>
      <c r="N26" s="34">
        <f t="shared" si="10"/>
        <v>2457</v>
      </c>
      <c r="O26" s="34">
        <f t="shared" si="10"/>
        <v>0</v>
      </c>
      <c r="P26" s="20"/>
      <c r="Q26" s="20"/>
      <c r="R26" s="34">
        <f>+R13-R25</f>
        <v>-22806</v>
      </c>
      <c r="S26" s="34">
        <f>+S13-S25</f>
        <v>4192</v>
      </c>
      <c r="T26" s="271" t="str">
        <f t="shared" si="2"/>
        <v>Yes</v>
      </c>
      <c r="U26" s="20"/>
      <c r="V26" s="20"/>
      <c r="W26" s="11"/>
    </row>
    <row r="27" spans="1:23" ht="5.0999999999999996" customHeight="1" x14ac:dyDescent="0.25">
      <c r="A27" s="20"/>
      <c r="B27" s="33"/>
      <c r="C27" s="33"/>
      <c r="D27" s="33"/>
      <c r="E27" s="33"/>
      <c r="F27" s="33"/>
      <c r="G27" s="20"/>
      <c r="H27" s="20"/>
      <c r="I27" s="20"/>
      <c r="J27" s="20"/>
      <c r="K27" s="20"/>
      <c r="L27" s="20"/>
      <c r="M27" s="20"/>
      <c r="N27" s="20"/>
      <c r="O27" s="20"/>
      <c r="P27" s="20"/>
      <c r="Q27" s="20"/>
      <c r="R27" s="20"/>
      <c r="S27" s="20"/>
      <c r="T27" s="20"/>
      <c r="U27" s="20"/>
      <c r="V27" s="20"/>
      <c r="W27" s="11"/>
    </row>
    <row r="28" spans="1:23" ht="15.75" x14ac:dyDescent="0.25">
      <c r="A28" s="28" t="s">
        <v>261</v>
      </c>
      <c r="B28" s="33"/>
      <c r="C28" s="33"/>
      <c r="D28" s="33"/>
      <c r="E28" s="33"/>
      <c r="F28" s="33"/>
      <c r="G28" s="20"/>
      <c r="H28" s="20"/>
      <c r="I28" s="20"/>
      <c r="J28" s="20"/>
      <c r="K28" s="20"/>
      <c r="L28" s="20"/>
      <c r="M28" s="20"/>
      <c r="N28" s="20"/>
      <c r="O28" s="20"/>
      <c r="P28" s="20"/>
      <c r="Q28" s="20"/>
      <c r="R28" s="20"/>
      <c r="S28" s="20"/>
      <c r="T28" s="20"/>
      <c r="U28" s="20"/>
      <c r="V28" s="20"/>
      <c r="W28" s="11"/>
    </row>
    <row r="29" spans="1:23" ht="20.100000000000001" customHeight="1" x14ac:dyDescent="0.35">
      <c r="A29" s="70" t="s">
        <v>108</v>
      </c>
      <c r="B29" s="35">
        <f>+J29+M29</f>
        <v>15296</v>
      </c>
      <c r="C29" s="35">
        <f>+K29+N29</f>
        <v>18077</v>
      </c>
      <c r="D29" s="35">
        <f>+L29+O29</f>
        <v>12978</v>
      </c>
      <c r="E29" s="35">
        <v>0</v>
      </c>
      <c r="F29" s="35">
        <f>SUM(B29:E29)</f>
        <v>46351</v>
      </c>
      <c r="G29" s="20"/>
      <c r="H29" s="20"/>
      <c r="I29" s="20"/>
      <c r="J29" s="143">
        <v>15296</v>
      </c>
      <c r="K29" s="143">
        <v>18077</v>
      </c>
      <c r="L29" s="143">
        <v>12978</v>
      </c>
      <c r="M29" s="143">
        <v>0</v>
      </c>
      <c r="N29" s="143">
        <v>0</v>
      </c>
      <c r="O29" s="143">
        <v>0</v>
      </c>
      <c r="P29" s="20"/>
      <c r="Q29" s="20"/>
      <c r="R29" s="98">
        <f>SUM(J29:L29)</f>
        <v>46351</v>
      </c>
      <c r="S29" s="143">
        <f>SUM(M29:O29)</f>
        <v>0</v>
      </c>
      <c r="T29" s="271" t="str">
        <f t="shared" ref="T29:T36" si="11">IF(F29-R29-S29=0,"Yes",F29-R29-S29)</f>
        <v>Yes</v>
      </c>
      <c r="U29" s="20"/>
      <c r="V29" s="20"/>
      <c r="W29" s="11"/>
    </row>
    <row r="30" spans="1:23" ht="21.95" customHeight="1" x14ac:dyDescent="0.35">
      <c r="A30" s="69" t="s">
        <v>28</v>
      </c>
      <c r="B30" s="34">
        <f>SUM(B29:B29)</f>
        <v>15296</v>
      </c>
      <c r="C30" s="34">
        <f>SUM(C29:C29)</f>
        <v>18077</v>
      </c>
      <c r="D30" s="34">
        <f>SUM(D29:D29)</f>
        <v>12978</v>
      </c>
      <c r="E30" s="34">
        <f>SUM(E29:E29)</f>
        <v>0</v>
      </c>
      <c r="F30" s="34">
        <f>SUM(F29:F29)</f>
        <v>46351</v>
      </c>
      <c r="G30" s="20"/>
      <c r="H30" s="20"/>
      <c r="I30" s="20"/>
      <c r="J30" s="34">
        <f t="shared" ref="J30:O30" si="12">SUM(J29:J29)</f>
        <v>15296</v>
      </c>
      <c r="K30" s="34">
        <f t="shared" si="12"/>
        <v>18077</v>
      </c>
      <c r="L30" s="34">
        <f t="shared" si="12"/>
        <v>12978</v>
      </c>
      <c r="M30" s="34">
        <f t="shared" si="12"/>
        <v>0</v>
      </c>
      <c r="N30" s="34">
        <f t="shared" si="12"/>
        <v>0</v>
      </c>
      <c r="O30" s="34">
        <f t="shared" si="12"/>
        <v>0</v>
      </c>
      <c r="P30" s="20"/>
      <c r="Q30" s="20"/>
      <c r="R30" s="34">
        <f>SUM(R29:R29)</f>
        <v>46351</v>
      </c>
      <c r="S30" s="34">
        <f>SUM(S29:S29)</f>
        <v>0</v>
      </c>
      <c r="T30" s="271" t="str">
        <f t="shared" si="11"/>
        <v>Yes</v>
      </c>
      <c r="U30" s="20"/>
      <c r="V30" s="20"/>
      <c r="W30" s="11"/>
    </row>
    <row r="31" spans="1:23" ht="30.75" customHeight="1" x14ac:dyDescent="0.25">
      <c r="A31" s="175" t="s">
        <v>29</v>
      </c>
      <c r="B31" s="76">
        <f>+B26+B30</f>
        <v>9506</v>
      </c>
      <c r="C31" s="76">
        <f>+C26+C30</f>
        <v>11639</v>
      </c>
      <c r="D31" s="76">
        <f>+D26+D30</f>
        <v>6592</v>
      </c>
      <c r="E31" s="76">
        <f>+E26+E30</f>
        <v>0</v>
      </c>
      <c r="F31" s="76">
        <f>+F26+F30</f>
        <v>27737</v>
      </c>
      <c r="G31" s="20"/>
      <c r="H31" s="20"/>
      <c r="I31" s="20"/>
      <c r="J31" s="76">
        <f t="shared" ref="J31:O31" si="13">+J26+J30</f>
        <v>7771</v>
      </c>
      <c r="K31" s="76">
        <f t="shared" si="13"/>
        <v>9182</v>
      </c>
      <c r="L31" s="76">
        <f t="shared" si="13"/>
        <v>6592</v>
      </c>
      <c r="M31" s="76">
        <f>+M26+M30</f>
        <v>1735</v>
      </c>
      <c r="N31" s="76">
        <f t="shared" si="13"/>
        <v>2457</v>
      </c>
      <c r="O31" s="76">
        <f t="shared" si="13"/>
        <v>0</v>
      </c>
      <c r="P31" s="20"/>
      <c r="Q31" s="20"/>
      <c r="R31" s="76">
        <f>+R26+R30</f>
        <v>23545</v>
      </c>
      <c r="S31" s="76">
        <f>+S26+S30</f>
        <v>4192</v>
      </c>
      <c r="T31" s="271" t="str">
        <f t="shared" si="11"/>
        <v>Yes</v>
      </c>
      <c r="U31" s="20"/>
      <c r="V31" s="20"/>
      <c r="W31" s="11"/>
    </row>
    <row r="32" spans="1:23" s="7" customFormat="1" ht="20.100000000000001" customHeight="1" x14ac:dyDescent="0.35">
      <c r="A32" s="54" t="s">
        <v>135</v>
      </c>
      <c r="B32" s="35">
        <f>+J32+M32</f>
        <v>364</v>
      </c>
      <c r="C32" s="35">
        <f>+K32+N32</f>
        <v>570</v>
      </c>
      <c r="D32" s="35">
        <f>+L32+O32</f>
        <v>0</v>
      </c>
      <c r="E32" s="35">
        <v>0</v>
      </c>
      <c r="F32" s="35">
        <f>SUM(B32:E32)</f>
        <v>934</v>
      </c>
      <c r="G32" s="30"/>
      <c r="H32" s="30"/>
      <c r="I32" s="30"/>
      <c r="J32" s="143">
        <v>0</v>
      </c>
      <c r="K32" s="143">
        <v>0</v>
      </c>
      <c r="L32" s="143">
        <v>0</v>
      </c>
      <c r="M32" s="143">
        <v>364</v>
      </c>
      <c r="N32" s="143">
        <v>570</v>
      </c>
      <c r="O32" s="143">
        <v>0</v>
      </c>
      <c r="P32" s="30"/>
      <c r="Q32" s="30"/>
      <c r="R32" s="98">
        <f>SUM(J32:L32)</f>
        <v>0</v>
      </c>
      <c r="S32" s="143">
        <f>SUM(M32:O32)</f>
        <v>934</v>
      </c>
      <c r="T32" s="271" t="str">
        <f t="shared" si="11"/>
        <v>Yes</v>
      </c>
      <c r="U32" s="30"/>
      <c r="V32" s="30"/>
      <c r="W32" s="10"/>
    </row>
    <row r="33" spans="1:23" ht="15" hidden="1" customHeight="1" x14ac:dyDescent="0.35">
      <c r="A33" s="108" t="s">
        <v>83</v>
      </c>
      <c r="B33" s="34">
        <v>0</v>
      </c>
      <c r="C33" s="34">
        <v>0</v>
      </c>
      <c r="D33" s="34">
        <v>0</v>
      </c>
      <c r="E33" s="34">
        <v>0</v>
      </c>
      <c r="F33" s="34">
        <f>+B33+E33</f>
        <v>0</v>
      </c>
      <c r="G33" s="20"/>
      <c r="H33" s="20"/>
      <c r="I33" s="20"/>
      <c r="J33" s="20"/>
      <c r="K33" s="20"/>
      <c r="L33" s="20"/>
      <c r="M33" s="20"/>
      <c r="N33" s="20"/>
      <c r="O33" s="20"/>
      <c r="P33" s="20"/>
      <c r="Q33" s="20"/>
      <c r="R33" s="20"/>
      <c r="S33" s="20"/>
      <c r="T33" s="271" t="str">
        <f t="shared" si="11"/>
        <v>Yes</v>
      </c>
      <c r="U33" s="20"/>
      <c r="V33" s="20"/>
      <c r="W33" s="11"/>
    </row>
    <row r="34" spans="1:23" ht="21.95" customHeight="1" x14ac:dyDescent="0.25">
      <c r="A34" s="109" t="s">
        <v>170</v>
      </c>
      <c r="B34" s="110">
        <f>SUM(B31:B33)</f>
        <v>9870</v>
      </c>
      <c r="C34" s="110">
        <f>SUM(C31:C33)</f>
        <v>12209</v>
      </c>
      <c r="D34" s="110">
        <f>SUM(D31:D33)</f>
        <v>6592</v>
      </c>
      <c r="E34" s="110">
        <f>SUM(E31:E33)</f>
        <v>0</v>
      </c>
      <c r="F34" s="32">
        <f>SUM(B34:E34)</f>
        <v>28671</v>
      </c>
      <c r="G34" s="20"/>
      <c r="H34" s="20"/>
      <c r="I34" s="20"/>
      <c r="J34" s="110">
        <f t="shared" ref="J34:O34" si="14">SUM(J31:J33)</f>
        <v>7771</v>
      </c>
      <c r="K34" s="110">
        <f t="shared" si="14"/>
        <v>9182</v>
      </c>
      <c r="L34" s="110">
        <f t="shared" si="14"/>
        <v>6592</v>
      </c>
      <c r="M34" s="110">
        <f t="shared" si="14"/>
        <v>2099</v>
      </c>
      <c r="N34" s="110">
        <f t="shared" si="14"/>
        <v>3027</v>
      </c>
      <c r="O34" s="110">
        <f t="shared" si="14"/>
        <v>0</v>
      </c>
      <c r="P34" s="20"/>
      <c r="Q34" s="29"/>
      <c r="R34" s="110">
        <f>SUM(R31:R33)</f>
        <v>23545</v>
      </c>
      <c r="S34" s="110">
        <f>SUM(S31:S33)</f>
        <v>5126</v>
      </c>
      <c r="T34" s="271" t="str">
        <f t="shared" si="11"/>
        <v>Yes</v>
      </c>
      <c r="U34" s="20"/>
      <c r="V34" s="20"/>
      <c r="W34" s="11"/>
    </row>
    <row r="35" spans="1:23" ht="21.95" customHeight="1" x14ac:dyDescent="0.35">
      <c r="A35" s="56" t="s">
        <v>209</v>
      </c>
      <c r="B35" s="35">
        <f>+J35+M35</f>
        <v>6958</v>
      </c>
      <c r="C35" s="35">
        <f>+K35+N35</f>
        <v>8598</v>
      </c>
      <c r="D35" s="35">
        <f>+L35+O35</f>
        <v>5736</v>
      </c>
      <c r="E35" s="35">
        <v>0</v>
      </c>
      <c r="F35" s="35">
        <f>SUM(B35:E35)</f>
        <v>21292</v>
      </c>
      <c r="G35" s="20"/>
      <c r="H35" s="20"/>
      <c r="I35" s="20"/>
      <c r="J35" s="143">
        <f>6760+1</f>
        <v>6761</v>
      </c>
      <c r="K35" s="143">
        <f>7988-1</f>
        <v>7987</v>
      </c>
      <c r="L35" s="143">
        <v>5736</v>
      </c>
      <c r="M35" s="143">
        <v>197</v>
      </c>
      <c r="N35" s="143">
        <v>611</v>
      </c>
      <c r="O35" s="143">
        <v>0</v>
      </c>
      <c r="P35" s="20"/>
      <c r="Q35" s="20"/>
      <c r="R35" s="98">
        <f>SUM(J35:L35)</f>
        <v>20484</v>
      </c>
      <c r="S35" s="143">
        <f>SUM(M35:O35)</f>
        <v>808</v>
      </c>
      <c r="T35" s="271" t="str">
        <f t="shared" si="11"/>
        <v>Yes</v>
      </c>
      <c r="U35" s="20"/>
      <c r="V35" s="20"/>
      <c r="W35" s="11"/>
    </row>
    <row r="36" spans="1:23" ht="20.100000000000001" customHeight="1" x14ac:dyDescent="0.35">
      <c r="A36" s="30" t="s">
        <v>210</v>
      </c>
      <c r="B36" s="37">
        <f>+B34+B35</f>
        <v>16828</v>
      </c>
      <c r="C36" s="37">
        <f>+C34+C35</f>
        <v>20807</v>
      </c>
      <c r="D36" s="37">
        <f>+D34+D35</f>
        <v>12328</v>
      </c>
      <c r="E36" s="37">
        <f>+E34+E35</f>
        <v>0</v>
      </c>
      <c r="F36" s="37">
        <f>+F34+F35</f>
        <v>49963</v>
      </c>
      <c r="G36" s="20"/>
      <c r="H36" s="20"/>
      <c r="I36" s="20"/>
      <c r="J36" s="37">
        <f t="shared" ref="J36:O36" si="15">+J34+J35</f>
        <v>14532</v>
      </c>
      <c r="K36" s="37">
        <f t="shared" si="15"/>
        <v>17169</v>
      </c>
      <c r="L36" s="37">
        <f t="shared" si="15"/>
        <v>12328</v>
      </c>
      <c r="M36" s="37">
        <f t="shared" si="15"/>
        <v>2296</v>
      </c>
      <c r="N36" s="37">
        <f t="shared" si="15"/>
        <v>3638</v>
      </c>
      <c r="O36" s="37">
        <f t="shared" si="15"/>
        <v>0</v>
      </c>
      <c r="P36" s="20"/>
      <c r="R36" s="37">
        <f>+R34+R35</f>
        <v>44029</v>
      </c>
      <c r="S36" s="37">
        <f>+S34+S35</f>
        <v>5934</v>
      </c>
      <c r="T36" s="271" t="str">
        <f t="shared" si="11"/>
        <v>Yes</v>
      </c>
      <c r="U36" s="20"/>
      <c r="V36" s="20"/>
      <c r="W36" s="11"/>
    </row>
    <row r="37" spans="1:23" ht="15.75" x14ac:dyDescent="0.25">
      <c r="A37" s="20"/>
      <c r="B37" s="20"/>
      <c r="C37" s="20"/>
      <c r="D37" s="20"/>
      <c r="E37" s="20"/>
      <c r="F37" s="20"/>
      <c r="G37" s="20"/>
      <c r="H37" s="20"/>
      <c r="I37" s="20"/>
      <c r="J37" s="20"/>
      <c r="K37" s="20"/>
      <c r="L37" s="20"/>
      <c r="M37" s="20"/>
      <c r="N37" s="20"/>
      <c r="O37" s="20"/>
      <c r="P37" s="20"/>
      <c r="Q37" s="20"/>
      <c r="R37" s="20"/>
      <c r="S37" s="20"/>
      <c r="T37" s="20"/>
      <c r="U37" s="20"/>
      <c r="V37" s="20"/>
      <c r="W37" s="11"/>
    </row>
    <row r="38" spans="1:23" ht="15.75" x14ac:dyDescent="0.25">
      <c r="A38" s="20"/>
      <c r="B38" s="20"/>
      <c r="C38" s="20"/>
      <c r="D38" s="20"/>
      <c r="E38" s="20"/>
      <c r="F38" s="20"/>
      <c r="G38" s="20"/>
      <c r="H38" s="20"/>
      <c r="I38" s="20"/>
      <c r="J38" s="20"/>
      <c r="K38" s="20"/>
      <c r="L38" s="20"/>
      <c r="M38" s="20"/>
      <c r="N38" s="20"/>
      <c r="O38" s="20"/>
      <c r="P38" s="20"/>
      <c r="Q38" s="20"/>
      <c r="R38" s="20"/>
      <c r="S38" s="20"/>
      <c r="T38" s="20"/>
      <c r="U38" s="20"/>
      <c r="V38" s="20"/>
      <c r="W38" s="11"/>
    </row>
    <row r="39" spans="1:23" ht="15.75" x14ac:dyDescent="0.25">
      <c r="A39" s="78" t="s">
        <v>180</v>
      </c>
      <c r="B39" s="20"/>
      <c r="C39" s="20"/>
      <c r="D39" s="20"/>
      <c r="E39" s="20"/>
      <c r="F39" s="20"/>
      <c r="G39" s="20"/>
      <c r="H39" s="20"/>
      <c r="I39" s="20"/>
      <c r="J39" s="20"/>
      <c r="K39" s="20"/>
      <c r="L39" s="20"/>
      <c r="M39" s="20"/>
      <c r="N39" s="20"/>
      <c r="O39" s="20"/>
      <c r="P39" s="20"/>
      <c r="Q39" s="20"/>
      <c r="R39" s="20"/>
      <c r="S39" s="20"/>
      <c r="T39" s="20"/>
      <c r="U39" s="20"/>
      <c r="V39" s="20"/>
      <c r="W39" s="11"/>
    </row>
    <row r="40" spans="1:23" ht="15.75" x14ac:dyDescent="0.25">
      <c r="A40" s="20"/>
      <c r="B40" s="20"/>
      <c r="C40" s="20"/>
      <c r="D40" s="20"/>
      <c r="E40" s="20"/>
      <c r="F40" s="20"/>
      <c r="G40" s="20"/>
      <c r="H40" s="20"/>
      <c r="I40" s="20"/>
      <c r="J40" s="20"/>
      <c r="K40" s="20"/>
      <c r="L40" s="20"/>
      <c r="M40" s="20"/>
      <c r="N40" s="20"/>
      <c r="O40" s="20"/>
      <c r="P40" s="20"/>
      <c r="Q40" s="20"/>
      <c r="R40" s="20"/>
      <c r="S40" s="20"/>
      <c r="T40" s="20"/>
      <c r="U40" s="20"/>
      <c r="V40" s="20"/>
      <c r="W40" s="11"/>
    </row>
    <row r="41" spans="1:23" ht="15.75" x14ac:dyDescent="0.25">
      <c r="A41" s="20"/>
      <c r="B41" s="20"/>
      <c r="C41" s="20"/>
      <c r="D41" s="20"/>
      <c r="E41" s="20"/>
      <c r="F41" s="20"/>
      <c r="G41" s="20"/>
      <c r="H41" s="20"/>
      <c r="I41" s="20"/>
      <c r="J41" s="20"/>
      <c r="K41" s="20"/>
      <c r="L41" s="20"/>
      <c r="M41" s="20"/>
      <c r="N41" s="20"/>
      <c r="O41" s="20"/>
      <c r="P41" s="20"/>
      <c r="Q41" s="20"/>
      <c r="R41" s="20"/>
      <c r="S41" s="20"/>
      <c r="T41" s="20"/>
      <c r="U41" s="20"/>
      <c r="V41" s="20"/>
      <c r="W41" s="11"/>
    </row>
    <row r="42" spans="1:23" ht="15.75" x14ac:dyDescent="0.25">
      <c r="A42" s="20"/>
      <c r="B42" s="20"/>
      <c r="C42" s="20"/>
      <c r="D42" s="20"/>
      <c r="E42" s="20"/>
      <c r="F42" s="20"/>
      <c r="G42" s="20"/>
      <c r="H42" s="20"/>
      <c r="I42" s="20"/>
      <c r="J42" s="20"/>
      <c r="K42" s="20"/>
      <c r="L42" s="20"/>
      <c r="M42" s="20"/>
      <c r="N42" s="20"/>
      <c r="O42" s="20"/>
      <c r="P42" s="20"/>
      <c r="Q42" s="20"/>
      <c r="R42" s="20"/>
      <c r="S42" s="20"/>
      <c r="T42" s="20"/>
      <c r="U42" s="20"/>
      <c r="V42" s="20"/>
      <c r="W42" s="11"/>
    </row>
    <row r="43" spans="1:23" ht="15.75" x14ac:dyDescent="0.25">
      <c r="A43" s="20"/>
      <c r="B43" s="20"/>
      <c r="C43" s="20"/>
      <c r="D43" s="20"/>
      <c r="E43" s="20"/>
      <c r="F43" s="20"/>
      <c r="G43" s="20"/>
      <c r="H43" s="20"/>
      <c r="I43" s="20"/>
      <c r="J43" s="20"/>
      <c r="K43" s="20"/>
      <c r="L43" s="20"/>
      <c r="M43" s="20"/>
      <c r="N43" s="20"/>
      <c r="O43" s="20"/>
      <c r="P43" s="20"/>
      <c r="Q43" s="20"/>
      <c r="R43" s="20"/>
      <c r="S43" s="20"/>
      <c r="T43" s="20"/>
      <c r="U43" s="20"/>
      <c r="V43" s="20"/>
      <c r="W43" s="11"/>
    </row>
    <row r="44" spans="1:23" ht="15.75" x14ac:dyDescent="0.25">
      <c r="A44" s="20"/>
      <c r="B44" s="20"/>
      <c r="C44" s="20"/>
      <c r="D44" s="20"/>
      <c r="E44" s="20"/>
      <c r="F44" s="20"/>
      <c r="G44" s="20"/>
      <c r="H44" s="20"/>
      <c r="I44" s="20"/>
      <c r="J44" s="20"/>
      <c r="K44" s="20"/>
      <c r="L44" s="20"/>
      <c r="M44" s="20"/>
      <c r="N44" s="20"/>
      <c r="O44" s="20"/>
      <c r="P44" s="20"/>
      <c r="Q44" s="20"/>
      <c r="R44" s="20"/>
      <c r="S44" s="20"/>
      <c r="T44" s="20"/>
      <c r="U44" s="20"/>
      <c r="V44" s="20"/>
      <c r="W44" s="11"/>
    </row>
    <row r="45" spans="1:23" ht="15.75" x14ac:dyDescent="0.25">
      <c r="A45" s="20"/>
      <c r="B45" s="20"/>
      <c r="C45" s="20"/>
      <c r="D45" s="20"/>
      <c r="E45" s="20"/>
      <c r="F45" s="20"/>
      <c r="G45" s="20"/>
      <c r="H45" s="20"/>
      <c r="I45" s="20"/>
      <c r="J45" s="20"/>
      <c r="K45" s="20"/>
      <c r="L45" s="20"/>
      <c r="M45" s="20"/>
      <c r="N45" s="20"/>
      <c r="O45" s="20"/>
      <c r="P45" s="20"/>
      <c r="Q45" s="20"/>
      <c r="R45" s="20"/>
      <c r="S45" s="20"/>
      <c r="T45" s="20"/>
      <c r="U45" s="20"/>
      <c r="V45" s="20"/>
      <c r="W45" s="11"/>
    </row>
    <row r="46" spans="1:23" ht="15.75" x14ac:dyDescent="0.25">
      <c r="A46" s="20"/>
      <c r="B46" s="20"/>
      <c r="C46" s="20"/>
      <c r="D46" s="20"/>
      <c r="E46" s="20"/>
      <c r="F46" s="20"/>
      <c r="G46" s="20"/>
      <c r="H46" s="20"/>
      <c r="I46" s="20"/>
      <c r="J46" s="20"/>
      <c r="K46" s="20"/>
      <c r="L46" s="20"/>
      <c r="M46" s="20"/>
      <c r="N46" s="20"/>
      <c r="O46" s="20"/>
      <c r="P46" s="20"/>
      <c r="Q46" s="20"/>
      <c r="R46" s="20"/>
      <c r="S46" s="20"/>
      <c r="T46" s="20"/>
      <c r="U46" s="20"/>
      <c r="V46" s="20"/>
      <c r="W46" s="11"/>
    </row>
    <row r="47" spans="1:23" ht="54.95" customHeight="1" x14ac:dyDescent="0.25">
      <c r="A47" s="240" t="s">
        <v>208</v>
      </c>
      <c r="B47" s="68" t="str">
        <f>IF(B36-'Enterprise Net Position Exh 6'!B37=0,"Yes",B36-'Enterprise Net Position Exh 6'!B37)</f>
        <v>Yes</v>
      </c>
      <c r="C47" s="68" t="str">
        <f>IF(C36-'Enterprise Net Position Exh 6'!C37=0,"Yes",C36-'Enterprise Net Position Exh 6'!C37)</f>
        <v>Yes</v>
      </c>
      <c r="D47" s="68" t="str">
        <f>IF(D36-'Enterprise Net Position Exh 6'!D37=0,"Yes",D36-'Enterprise Net Position Exh 6'!D37)</f>
        <v>Yes</v>
      </c>
      <c r="E47" s="68" t="str">
        <f>IF(E36-'Enterprise Net Position Exh 6'!E37=0,"Yes",E36-'Enterprise Net Position Exh 6'!E37)</f>
        <v>Yes</v>
      </c>
      <c r="F47" s="68" t="str">
        <f>IF(F36-'Enterprise Net Position Exh 6'!F37=0,"Yes",F36-'Enterprise Net Position Exh 6'!F37)</f>
        <v>Yes</v>
      </c>
      <c r="G47" s="20"/>
      <c r="H47" s="20"/>
      <c r="I47" s="20"/>
      <c r="J47" s="68" t="str">
        <f>IF(J36-'Enterprise Net Position Exh 6'!K37=0,"Yes",J36-'Enterprise Net Position Exh 6'!K37)</f>
        <v>Yes</v>
      </c>
      <c r="K47" s="68" t="str">
        <f>IF(K36-'Enterprise Net Position Exh 6'!L37=0,"Yes",K36-'Enterprise Net Position Exh 6'!L37)</f>
        <v>Yes</v>
      </c>
      <c r="L47" s="68" t="str">
        <f>IF(L36-'Enterprise Net Position Exh 6'!M37=0,"Yes",L36-'Enterprise Net Position Exh 6'!M37)</f>
        <v>Yes</v>
      </c>
      <c r="M47" s="68" t="str">
        <f>IF(M36-'Enterprise Net Position Exh 6'!N37=0,"Yes",M36-'Enterprise Net Position Exh 6'!N37)</f>
        <v>Yes</v>
      </c>
      <c r="N47" s="68" t="str">
        <f>IF(N36-'Enterprise Net Position Exh 6'!O37=0,"Yes",N36-'Enterprise Net Position Exh 6'!O37)</f>
        <v>Yes</v>
      </c>
      <c r="O47" s="68" t="str">
        <f>IF(O36-'Enterprise Net Position Exh 6'!P37=0,"Yes",O36-'Enterprise Net Position Exh 6'!P37)</f>
        <v>Yes</v>
      </c>
      <c r="P47" s="20"/>
      <c r="Q47" s="20"/>
      <c r="R47" s="20"/>
      <c r="S47" s="20"/>
      <c r="T47" s="20"/>
      <c r="U47" s="20"/>
      <c r="V47" s="20"/>
      <c r="W47" s="11"/>
    </row>
    <row r="48" spans="1:23" ht="35.25" customHeight="1" x14ac:dyDescent="0.25">
      <c r="A48" s="240" t="s">
        <v>285</v>
      </c>
      <c r="B48" s="20"/>
      <c r="C48" s="20"/>
      <c r="D48" s="20"/>
      <c r="E48" s="20"/>
      <c r="F48" s="269" t="str">
        <f>IF(F34-'GW Stmt Activities Exh 2'!H27=0,"Yes",F34-'GW Stmt Activities Exh 2'!H27)</f>
        <v>Yes</v>
      </c>
      <c r="G48" s="20"/>
      <c r="H48" s="20"/>
      <c r="I48" s="20"/>
      <c r="J48" s="20"/>
      <c r="K48" s="269" t="str">
        <f>IF(SUM(J34:L34)-'GW Stmt Activities Exh 2'!H14=0,"Yes",SUM(J34:L34)-'GW Stmt Activities Exh 2'!H14)</f>
        <v>Yes</v>
      </c>
      <c r="L48" s="20"/>
      <c r="M48" s="20"/>
      <c r="N48" s="269" t="str">
        <f>IF(SUM(M34:O34)-'GW Stmt Activities Exh 2'!H15=0,"Yes",SUM(M34:O34)-'GW Stmt Activities Exh 2'!H15)</f>
        <v>Yes</v>
      </c>
      <c r="O48" s="20"/>
      <c r="P48" s="20"/>
      <c r="Q48" s="20"/>
      <c r="R48" s="20"/>
      <c r="S48" s="20"/>
      <c r="T48" s="20"/>
      <c r="U48" s="20"/>
      <c r="V48" s="20"/>
      <c r="W48" s="11"/>
    </row>
    <row r="49" spans="1:23" ht="15.75" x14ac:dyDescent="0.25">
      <c r="A49" s="20"/>
      <c r="B49" s="20"/>
      <c r="C49" s="20"/>
      <c r="D49" s="20"/>
      <c r="E49" s="20"/>
      <c r="F49" s="20"/>
      <c r="G49" s="20"/>
      <c r="H49" s="20"/>
      <c r="I49" s="20"/>
      <c r="J49" s="20"/>
      <c r="K49" s="20"/>
      <c r="L49" s="20"/>
      <c r="M49" s="20"/>
      <c r="N49" s="20"/>
      <c r="O49" s="20"/>
      <c r="P49" s="20"/>
      <c r="Q49" s="20"/>
      <c r="R49" s="20"/>
      <c r="S49" s="20"/>
      <c r="T49" s="20"/>
      <c r="U49" s="20"/>
      <c r="V49" s="20"/>
      <c r="W49" s="11"/>
    </row>
    <row r="50" spans="1:23" ht="15.75" x14ac:dyDescent="0.25">
      <c r="A50" s="20"/>
      <c r="B50" s="20"/>
      <c r="C50" s="20"/>
      <c r="D50" s="20"/>
      <c r="E50" s="20"/>
      <c r="F50" s="20"/>
      <c r="G50" s="20"/>
      <c r="H50" s="20"/>
      <c r="I50" s="20"/>
      <c r="J50" s="20"/>
      <c r="K50" s="20"/>
      <c r="L50" s="20"/>
      <c r="M50" s="20"/>
      <c r="N50" s="20"/>
      <c r="O50" s="20"/>
      <c r="P50" s="20"/>
      <c r="Q50" s="20"/>
      <c r="R50" s="20"/>
      <c r="S50" s="20"/>
      <c r="T50" s="20"/>
      <c r="U50" s="20"/>
      <c r="V50" s="20"/>
      <c r="W50" s="11"/>
    </row>
    <row r="51" spans="1:23" ht="15.75" x14ac:dyDescent="0.25">
      <c r="A51" s="20"/>
      <c r="B51" s="20"/>
      <c r="C51" s="20"/>
      <c r="D51" s="20"/>
      <c r="E51" s="20"/>
      <c r="F51" s="20"/>
      <c r="G51" s="20"/>
      <c r="H51" s="20"/>
      <c r="I51" s="20"/>
      <c r="J51" s="20"/>
      <c r="K51" s="20"/>
      <c r="L51" s="20"/>
      <c r="M51" s="20"/>
      <c r="N51" s="20"/>
      <c r="O51" s="20"/>
      <c r="P51" s="20"/>
      <c r="Q51" s="20"/>
      <c r="R51" s="20"/>
      <c r="S51" s="20"/>
      <c r="T51" s="20"/>
      <c r="U51" s="20"/>
      <c r="V51" s="20"/>
      <c r="W51" s="11"/>
    </row>
    <row r="52" spans="1:23" ht="15.75" x14ac:dyDescent="0.25">
      <c r="A52" s="20"/>
      <c r="B52" s="20"/>
      <c r="C52" s="20"/>
      <c r="D52" s="20"/>
      <c r="E52" s="20"/>
      <c r="F52" s="20"/>
      <c r="G52" s="20"/>
      <c r="H52" s="20"/>
      <c r="I52" s="20"/>
      <c r="J52" s="20"/>
      <c r="K52" s="20"/>
      <c r="L52" s="20"/>
      <c r="M52" s="20"/>
      <c r="N52" s="20"/>
      <c r="O52" s="20"/>
      <c r="P52" s="20"/>
      <c r="Q52" s="20"/>
      <c r="R52" s="20"/>
      <c r="S52" s="20"/>
      <c r="T52" s="20"/>
      <c r="U52" s="20"/>
      <c r="V52" s="20"/>
      <c r="W52" s="11"/>
    </row>
    <row r="53" spans="1:23" ht="18" x14ac:dyDescent="0.4">
      <c r="A53" s="20"/>
      <c r="B53" s="20"/>
      <c r="C53" s="20"/>
      <c r="D53" s="20"/>
      <c r="E53" s="20"/>
      <c r="F53" s="20"/>
      <c r="G53" s="20"/>
      <c r="H53" s="20"/>
      <c r="I53" s="20"/>
      <c r="J53" s="380" t="s">
        <v>372</v>
      </c>
      <c r="K53" s="380"/>
      <c r="L53" s="380"/>
      <c r="M53" s="380" t="s">
        <v>409</v>
      </c>
      <c r="N53" s="380"/>
      <c r="O53" s="380"/>
      <c r="P53" s="11"/>
      <c r="Q53" s="20"/>
      <c r="R53" s="20"/>
      <c r="S53" s="20"/>
      <c r="T53" s="20"/>
      <c r="U53" s="20"/>
      <c r="V53" s="20"/>
      <c r="W53" s="11"/>
    </row>
    <row r="54" spans="1:23" ht="17.25" x14ac:dyDescent="0.35">
      <c r="A54" s="80"/>
      <c r="B54" s="81"/>
      <c r="C54" s="81"/>
      <c r="D54" s="81"/>
      <c r="E54" s="20"/>
      <c r="F54" s="20"/>
      <c r="G54" s="20"/>
      <c r="H54" s="20"/>
      <c r="I54" s="20"/>
      <c r="J54" s="379" t="s">
        <v>170</v>
      </c>
      <c r="K54" s="379"/>
      <c r="L54" s="99">
        <f>SUM(J34:L34)</f>
        <v>23545</v>
      </c>
      <c r="M54" s="379" t="s">
        <v>170</v>
      </c>
      <c r="N54" s="379"/>
      <c r="O54" s="99">
        <f>SUM(M34:O34)</f>
        <v>5126</v>
      </c>
      <c r="P54" s="286" t="str">
        <f>IF(L54+O54-F34=0,"Yes",L54+O54-F34)</f>
        <v>Yes</v>
      </c>
      <c r="Q54" s="20"/>
      <c r="R54" s="20"/>
      <c r="S54" s="20"/>
      <c r="T54" s="20"/>
      <c r="U54" s="20"/>
      <c r="V54" s="20"/>
      <c r="W54" s="11"/>
    </row>
    <row r="55" spans="1:23" ht="15.75" x14ac:dyDescent="0.25">
      <c r="A55" s="20"/>
      <c r="B55" s="20"/>
      <c r="C55" s="20"/>
      <c r="D55" s="20"/>
      <c r="E55" s="20"/>
      <c r="F55" s="20"/>
      <c r="G55" s="20"/>
      <c r="H55" s="20"/>
      <c r="I55" s="20"/>
      <c r="J55" s="20"/>
      <c r="K55" s="20"/>
      <c r="L55" s="20"/>
      <c r="M55" s="20"/>
      <c r="N55" s="20"/>
      <c r="O55" s="20"/>
      <c r="P55" s="20"/>
      <c r="Q55" s="20"/>
      <c r="R55" s="20"/>
      <c r="S55" s="20"/>
      <c r="T55" s="20"/>
      <c r="U55" s="20"/>
      <c r="V55" s="20"/>
      <c r="W55" s="11"/>
    </row>
    <row r="56" spans="1:23" ht="17.25" x14ac:dyDescent="0.35">
      <c r="A56" s="20"/>
      <c r="B56" s="20"/>
      <c r="C56" s="20"/>
      <c r="D56" s="20"/>
      <c r="E56" s="20"/>
      <c r="F56" s="20"/>
      <c r="G56" s="20"/>
      <c r="H56" s="20"/>
      <c r="I56" s="20"/>
      <c r="J56" s="379" t="s">
        <v>257</v>
      </c>
      <c r="K56" s="379"/>
      <c r="L56" s="99">
        <f>SUM(J13:L13)</f>
        <v>50223</v>
      </c>
      <c r="M56" s="379" t="s">
        <v>257</v>
      </c>
      <c r="N56" s="379"/>
      <c r="O56" s="99">
        <f>SUM(M13:O13)</f>
        <v>18446</v>
      </c>
      <c r="P56" s="286" t="str">
        <f>IF(L56+O56-F13=0,"Yes",L56+O56-F13)</f>
        <v>Yes</v>
      </c>
      <c r="Q56" s="20"/>
      <c r="R56" s="20"/>
      <c r="S56" s="20"/>
      <c r="T56" s="20"/>
      <c r="U56" s="20"/>
      <c r="V56" s="20"/>
      <c r="W56" s="11"/>
    </row>
    <row r="57" spans="1:23" ht="15.75" x14ac:dyDescent="0.25">
      <c r="A57" s="20"/>
      <c r="B57" s="20"/>
      <c r="C57" s="20"/>
      <c r="D57" s="20"/>
      <c r="E57" s="20"/>
      <c r="F57" s="20"/>
      <c r="G57" s="20"/>
      <c r="H57" s="20"/>
      <c r="I57" s="20"/>
      <c r="J57" s="20"/>
      <c r="K57" s="20"/>
      <c r="L57" s="20"/>
      <c r="M57" s="20"/>
      <c r="N57" s="20"/>
      <c r="O57" s="20"/>
      <c r="P57" s="20"/>
      <c r="Q57" s="20"/>
      <c r="R57" s="20"/>
      <c r="S57" s="20"/>
      <c r="T57" s="20"/>
      <c r="U57" s="20"/>
      <c r="V57" s="20"/>
      <c r="W57" s="11"/>
    </row>
    <row r="58" spans="1:23" ht="17.25" x14ac:dyDescent="0.35">
      <c r="A58" s="20"/>
      <c r="B58" s="20"/>
      <c r="C58" s="20"/>
      <c r="D58" s="20"/>
      <c r="E58" s="20"/>
      <c r="F58" s="20"/>
      <c r="G58" s="20"/>
      <c r="H58" s="20"/>
      <c r="I58" s="20"/>
      <c r="J58" s="379" t="s">
        <v>27</v>
      </c>
      <c r="K58" s="379"/>
      <c r="L58" s="99">
        <f>SUM(J26:L26)</f>
        <v>-22806</v>
      </c>
      <c r="M58" s="379" t="s">
        <v>27</v>
      </c>
      <c r="N58" s="379"/>
      <c r="O58" s="99">
        <f>SUM(M26:O26)</f>
        <v>4192</v>
      </c>
      <c r="P58" s="286" t="str">
        <f>IF(L58+O58-F26=0,"Yes",L58+O58-F26)</f>
        <v>Yes</v>
      </c>
      <c r="Q58" s="20"/>
      <c r="R58" s="20"/>
      <c r="S58" s="20"/>
      <c r="T58" s="20"/>
      <c r="U58" s="20"/>
      <c r="V58" s="20"/>
      <c r="W58" s="11"/>
    </row>
    <row r="59" spans="1:23" ht="15.75" x14ac:dyDescent="0.25">
      <c r="A59" s="20"/>
      <c r="B59" s="20"/>
      <c r="C59" s="20"/>
      <c r="D59" s="20"/>
      <c r="E59" s="20"/>
      <c r="F59" s="20"/>
      <c r="G59" s="20"/>
      <c r="H59" s="20"/>
      <c r="I59" s="20"/>
      <c r="J59" s="20"/>
      <c r="K59" s="20"/>
      <c r="L59" s="20"/>
      <c r="M59" s="20"/>
      <c r="N59" s="20"/>
      <c r="O59" s="20"/>
      <c r="P59" s="20"/>
      <c r="Q59" s="20"/>
      <c r="R59" s="20"/>
      <c r="S59" s="20"/>
      <c r="T59" s="20"/>
      <c r="U59" s="20"/>
      <c r="V59" s="20"/>
      <c r="W59" s="11"/>
    </row>
    <row r="60" spans="1:23" ht="15.75" x14ac:dyDescent="0.25">
      <c r="A60" s="20"/>
      <c r="B60" s="20"/>
      <c r="C60" s="20"/>
      <c r="D60" s="20"/>
      <c r="E60" s="20"/>
      <c r="F60" s="20"/>
      <c r="G60" s="20"/>
      <c r="H60" s="20"/>
      <c r="I60" s="20"/>
      <c r="J60" s="20"/>
      <c r="K60" s="20"/>
      <c r="L60" s="20"/>
      <c r="M60" s="20"/>
      <c r="N60" s="20"/>
      <c r="O60" s="20"/>
      <c r="P60" s="20"/>
      <c r="Q60" s="20"/>
      <c r="R60" s="20"/>
      <c r="S60" s="20"/>
      <c r="T60" s="20"/>
      <c r="U60" s="20"/>
      <c r="V60" s="20"/>
      <c r="W60" s="11"/>
    </row>
    <row r="61" spans="1:23" ht="15.75" x14ac:dyDescent="0.25">
      <c r="A61" s="20"/>
      <c r="B61" s="20"/>
      <c r="C61" s="20"/>
      <c r="D61" s="20"/>
      <c r="E61" s="20"/>
      <c r="F61" s="20"/>
      <c r="G61" s="20"/>
      <c r="H61" s="20"/>
      <c r="I61" s="20"/>
      <c r="J61" s="20"/>
      <c r="K61" s="20"/>
      <c r="L61" s="20"/>
      <c r="M61" s="20"/>
      <c r="N61" s="20"/>
      <c r="O61" s="20"/>
      <c r="P61" s="20"/>
      <c r="Q61" s="20"/>
      <c r="R61" s="20"/>
      <c r="S61" s="20"/>
      <c r="T61" s="20"/>
      <c r="U61" s="20"/>
      <c r="V61" s="20"/>
      <c r="W61" s="11"/>
    </row>
    <row r="62" spans="1:23" ht="15.75" x14ac:dyDescent="0.25">
      <c r="A62" s="20"/>
      <c r="B62" s="20"/>
      <c r="C62" s="20"/>
      <c r="D62" s="20"/>
      <c r="E62" s="20"/>
      <c r="F62" s="20"/>
      <c r="G62" s="20"/>
      <c r="H62" s="20"/>
      <c r="I62" s="20"/>
      <c r="J62" s="20"/>
      <c r="K62" s="20"/>
      <c r="L62" s="20"/>
      <c r="M62" s="20"/>
      <c r="N62" s="20"/>
      <c r="O62" s="20"/>
      <c r="P62" s="20"/>
      <c r="Q62" s="20"/>
      <c r="R62" s="20"/>
      <c r="S62" s="20"/>
      <c r="T62" s="20"/>
      <c r="U62" s="20"/>
      <c r="V62" s="20"/>
      <c r="W62" s="11"/>
    </row>
    <row r="63" spans="1:23" ht="15.75" x14ac:dyDescent="0.25">
      <c r="A63" s="20"/>
      <c r="B63" s="20"/>
      <c r="C63" s="20"/>
      <c r="D63" s="20"/>
      <c r="E63" s="20"/>
      <c r="F63" s="20"/>
      <c r="G63" s="20"/>
      <c r="H63" s="20"/>
      <c r="I63" s="20"/>
      <c r="J63" s="20"/>
      <c r="K63" s="20"/>
      <c r="L63" s="20"/>
      <c r="M63" s="20"/>
      <c r="N63" s="20"/>
      <c r="O63" s="20"/>
      <c r="P63" s="20"/>
      <c r="Q63" s="20"/>
      <c r="R63" s="20"/>
      <c r="S63" s="20"/>
      <c r="T63" s="20"/>
      <c r="U63" s="20"/>
      <c r="V63" s="20"/>
      <c r="W63" s="11"/>
    </row>
    <row r="64" spans="1:23" ht="15.75" x14ac:dyDescent="0.25">
      <c r="A64" s="11"/>
      <c r="B64" s="11"/>
      <c r="C64" s="11"/>
      <c r="D64" s="11"/>
      <c r="E64" s="11"/>
      <c r="F64" s="11"/>
      <c r="G64" s="11"/>
      <c r="H64" s="11"/>
      <c r="I64" s="11"/>
      <c r="J64" s="11"/>
      <c r="K64" s="11"/>
      <c r="L64" s="11"/>
      <c r="M64" s="11"/>
      <c r="N64" s="11"/>
      <c r="O64" s="11"/>
      <c r="P64" s="11"/>
      <c r="Q64" s="11"/>
      <c r="R64" s="11"/>
      <c r="S64" s="11"/>
      <c r="T64" s="11"/>
      <c r="U64" s="11"/>
      <c r="V64" s="11"/>
      <c r="W64" s="11"/>
    </row>
    <row r="65" spans="1:23" ht="15.75" x14ac:dyDescent="0.25">
      <c r="A65" s="11"/>
      <c r="B65" s="11"/>
      <c r="C65" s="11"/>
      <c r="D65" s="11"/>
      <c r="E65" s="11"/>
      <c r="F65" s="11"/>
      <c r="G65" s="11"/>
      <c r="H65" s="11"/>
      <c r="I65" s="11"/>
      <c r="J65" s="11"/>
      <c r="K65" s="11"/>
      <c r="L65" s="11"/>
      <c r="M65" s="11"/>
      <c r="N65" s="11"/>
      <c r="O65" s="11"/>
      <c r="P65" s="11"/>
      <c r="Q65" s="11"/>
      <c r="R65" s="11"/>
      <c r="S65" s="11"/>
      <c r="T65" s="11"/>
      <c r="U65" s="11"/>
      <c r="V65" s="11"/>
      <c r="W65" s="11"/>
    </row>
    <row r="66" spans="1:23" ht="15.75" x14ac:dyDescent="0.25">
      <c r="A66" s="11"/>
      <c r="B66" s="11"/>
      <c r="C66" s="11"/>
      <c r="D66" s="11"/>
      <c r="E66" s="11"/>
      <c r="F66" s="11"/>
      <c r="G66" s="11"/>
      <c r="H66" s="11"/>
      <c r="I66" s="11"/>
      <c r="J66" s="11"/>
      <c r="K66" s="11"/>
      <c r="L66" s="11"/>
      <c r="M66" s="11"/>
      <c r="N66" s="11"/>
      <c r="O66" s="11"/>
      <c r="P66" s="11"/>
      <c r="Q66" s="11"/>
      <c r="R66" s="11"/>
      <c r="S66" s="11"/>
      <c r="T66" s="11"/>
      <c r="U66" s="11"/>
      <c r="V66" s="11"/>
      <c r="W66" s="11"/>
    </row>
    <row r="67" spans="1:23" ht="15.75" x14ac:dyDescent="0.25">
      <c r="A67" s="11"/>
      <c r="B67" s="11"/>
      <c r="C67" s="11"/>
      <c r="D67" s="11"/>
      <c r="E67" s="11"/>
      <c r="F67" s="11"/>
      <c r="G67" s="11"/>
      <c r="H67" s="11"/>
      <c r="I67" s="11"/>
      <c r="J67" s="11"/>
      <c r="K67" s="11"/>
      <c r="L67" s="11"/>
      <c r="M67" s="11"/>
      <c r="N67" s="11"/>
      <c r="O67" s="11"/>
      <c r="P67" s="11"/>
      <c r="Q67" s="11"/>
      <c r="R67" s="11"/>
      <c r="S67" s="11"/>
      <c r="T67" s="11"/>
      <c r="U67" s="11"/>
      <c r="V67" s="11"/>
      <c r="W67" s="11"/>
    </row>
    <row r="68" spans="1:23" ht="15.75" x14ac:dyDescent="0.25">
      <c r="A68" s="11"/>
      <c r="B68" s="11"/>
      <c r="C68" s="11"/>
      <c r="D68" s="11"/>
      <c r="E68" s="11"/>
      <c r="F68" s="11"/>
      <c r="G68" s="11"/>
      <c r="H68" s="11"/>
      <c r="I68" s="11"/>
      <c r="J68" s="11"/>
      <c r="K68" s="11"/>
      <c r="L68" s="11"/>
      <c r="M68" s="11"/>
      <c r="N68" s="11"/>
      <c r="O68" s="11"/>
      <c r="P68" s="11"/>
      <c r="Q68" s="11"/>
      <c r="R68" s="11"/>
      <c r="S68" s="11"/>
      <c r="T68" s="11"/>
      <c r="U68" s="11"/>
      <c r="V68" s="11"/>
      <c r="W68" s="11"/>
    </row>
    <row r="69" spans="1:23" ht="15.75" x14ac:dyDescent="0.25">
      <c r="A69" s="11"/>
      <c r="B69" s="11"/>
      <c r="C69" s="11"/>
      <c r="D69" s="11"/>
      <c r="E69" s="11"/>
      <c r="F69" s="11"/>
      <c r="G69" s="11"/>
      <c r="H69" s="11"/>
      <c r="I69" s="11"/>
      <c r="J69" s="11"/>
      <c r="K69" s="11"/>
      <c r="L69" s="11"/>
      <c r="M69" s="11"/>
      <c r="N69" s="11"/>
      <c r="O69" s="11"/>
      <c r="P69" s="11"/>
      <c r="Q69" s="11"/>
      <c r="R69" s="11"/>
      <c r="S69" s="11"/>
      <c r="T69" s="11"/>
      <c r="U69" s="11"/>
      <c r="V69" s="11"/>
      <c r="W69" s="11"/>
    </row>
    <row r="70" spans="1:23" ht="15.75" x14ac:dyDescent="0.25">
      <c r="A70" s="11"/>
      <c r="B70" s="11"/>
      <c r="C70" s="11"/>
      <c r="D70" s="11"/>
      <c r="E70" s="11"/>
      <c r="F70" s="11"/>
      <c r="G70" s="11"/>
      <c r="H70" s="11"/>
      <c r="I70" s="11"/>
      <c r="J70" s="11"/>
      <c r="K70" s="11"/>
      <c r="L70" s="11"/>
      <c r="M70" s="11"/>
      <c r="N70" s="11"/>
      <c r="O70" s="11"/>
      <c r="P70" s="11"/>
      <c r="Q70" s="11"/>
      <c r="R70" s="11"/>
      <c r="S70" s="11"/>
      <c r="T70" s="11"/>
      <c r="U70" s="11"/>
      <c r="V70" s="11"/>
      <c r="W70" s="11"/>
    </row>
    <row r="71" spans="1:23" ht="15.75" x14ac:dyDescent="0.25">
      <c r="A71" s="11"/>
      <c r="B71" s="11"/>
      <c r="C71" s="11"/>
      <c r="D71" s="11"/>
      <c r="E71" s="11"/>
      <c r="F71" s="11"/>
      <c r="G71" s="11"/>
      <c r="H71" s="11"/>
      <c r="I71" s="11"/>
      <c r="J71" s="11"/>
      <c r="K71" s="11"/>
      <c r="L71" s="11"/>
      <c r="M71" s="11"/>
      <c r="N71" s="11"/>
      <c r="O71" s="11"/>
      <c r="P71" s="11"/>
      <c r="Q71" s="11"/>
      <c r="R71" s="11"/>
      <c r="S71" s="11"/>
      <c r="T71" s="11"/>
      <c r="U71" s="11"/>
      <c r="V71" s="11"/>
      <c r="W71" s="11"/>
    </row>
    <row r="72" spans="1:23" ht="15.75" x14ac:dyDescent="0.25">
      <c r="A72" s="11"/>
      <c r="B72" s="11"/>
      <c r="C72" s="11"/>
      <c r="D72" s="11"/>
      <c r="E72" s="11"/>
      <c r="F72" s="11"/>
      <c r="G72" s="11"/>
      <c r="H72" s="11"/>
      <c r="I72" s="11"/>
      <c r="J72" s="11"/>
      <c r="K72" s="11"/>
      <c r="L72" s="11"/>
      <c r="M72" s="11"/>
      <c r="N72" s="11"/>
      <c r="O72" s="11"/>
      <c r="P72" s="11"/>
      <c r="Q72" s="11"/>
      <c r="R72" s="11"/>
      <c r="S72" s="11"/>
      <c r="T72" s="11"/>
      <c r="U72" s="11"/>
      <c r="V72" s="11"/>
      <c r="W72" s="11"/>
    </row>
    <row r="73" spans="1:23" ht="15.75" x14ac:dyDescent="0.25">
      <c r="A73" s="11"/>
      <c r="B73" s="11"/>
      <c r="C73" s="11"/>
      <c r="D73" s="11"/>
      <c r="E73" s="11"/>
      <c r="F73" s="11"/>
      <c r="G73" s="11"/>
      <c r="H73" s="11"/>
      <c r="I73" s="11"/>
      <c r="J73" s="11"/>
      <c r="K73" s="11"/>
      <c r="L73" s="11"/>
      <c r="M73" s="11"/>
      <c r="N73" s="11"/>
      <c r="O73" s="11"/>
      <c r="P73" s="11"/>
      <c r="Q73" s="11"/>
      <c r="R73" s="11"/>
      <c r="S73" s="11"/>
      <c r="T73" s="11"/>
      <c r="U73" s="11"/>
      <c r="V73" s="11"/>
      <c r="W73" s="11"/>
    </row>
    <row r="74" spans="1:23" ht="15.75" x14ac:dyDescent="0.25">
      <c r="A74" s="11"/>
      <c r="B74" s="11"/>
      <c r="C74" s="11"/>
      <c r="D74" s="11"/>
      <c r="E74" s="11"/>
      <c r="F74" s="11"/>
      <c r="G74" s="11"/>
      <c r="H74" s="11"/>
      <c r="I74" s="11"/>
      <c r="J74" s="11"/>
      <c r="K74" s="11"/>
      <c r="L74" s="11"/>
      <c r="M74" s="11"/>
      <c r="N74" s="11"/>
      <c r="O74" s="11"/>
      <c r="P74" s="11"/>
      <c r="Q74" s="11"/>
      <c r="R74" s="11"/>
      <c r="S74" s="11"/>
      <c r="T74" s="11"/>
      <c r="U74" s="11"/>
      <c r="V74" s="11"/>
      <c r="W74" s="11"/>
    </row>
    <row r="75" spans="1:23" ht="15.75" x14ac:dyDescent="0.25">
      <c r="A75" s="11"/>
      <c r="B75" s="11"/>
      <c r="C75" s="11"/>
      <c r="D75" s="11"/>
      <c r="E75" s="11"/>
      <c r="F75" s="11"/>
      <c r="G75" s="11"/>
      <c r="H75" s="11"/>
      <c r="I75" s="11"/>
      <c r="J75" s="11"/>
      <c r="K75" s="11"/>
      <c r="L75" s="11"/>
      <c r="M75" s="11"/>
      <c r="N75" s="11"/>
      <c r="O75" s="11"/>
      <c r="P75" s="11"/>
      <c r="Q75" s="11"/>
      <c r="R75" s="11"/>
      <c r="S75" s="11"/>
      <c r="T75" s="11"/>
      <c r="U75" s="11"/>
      <c r="V75" s="11"/>
      <c r="W75" s="11"/>
    </row>
    <row r="76" spans="1:23" ht="15.75" x14ac:dyDescent="0.25">
      <c r="A76" s="11"/>
      <c r="B76" s="11"/>
      <c r="C76" s="11"/>
      <c r="D76" s="11"/>
      <c r="E76" s="11"/>
      <c r="F76" s="11"/>
      <c r="G76" s="11"/>
      <c r="H76" s="11"/>
      <c r="I76" s="11"/>
      <c r="J76" s="11"/>
      <c r="K76" s="11"/>
      <c r="L76" s="11"/>
      <c r="M76" s="11"/>
      <c r="N76" s="11"/>
      <c r="O76" s="11"/>
      <c r="P76" s="11"/>
      <c r="Q76" s="11"/>
      <c r="R76" s="11"/>
      <c r="S76" s="11"/>
      <c r="T76" s="11"/>
      <c r="U76" s="11"/>
      <c r="V76" s="11"/>
      <c r="W76" s="11"/>
    </row>
    <row r="77" spans="1:23" ht="15.75" x14ac:dyDescent="0.25">
      <c r="A77" s="11"/>
      <c r="B77" s="11"/>
      <c r="C77" s="11"/>
      <c r="D77" s="11"/>
      <c r="E77" s="11"/>
      <c r="F77" s="11"/>
      <c r="G77" s="11"/>
      <c r="H77" s="11"/>
      <c r="I77" s="11"/>
      <c r="J77" s="11"/>
      <c r="K77" s="11"/>
      <c r="L77" s="11"/>
      <c r="M77" s="11"/>
      <c r="N77" s="11"/>
      <c r="O77" s="11"/>
      <c r="P77" s="11"/>
      <c r="Q77" s="11"/>
      <c r="R77" s="11"/>
      <c r="S77" s="11"/>
      <c r="T77" s="11"/>
      <c r="U77" s="11"/>
      <c r="V77" s="11"/>
      <c r="W77" s="11"/>
    </row>
    <row r="78" spans="1:23" ht="15.75" x14ac:dyDescent="0.25">
      <c r="A78" s="11"/>
      <c r="B78" s="11"/>
      <c r="C78" s="11"/>
      <c r="D78" s="11"/>
      <c r="E78" s="11"/>
      <c r="F78" s="11"/>
      <c r="G78" s="11"/>
      <c r="H78" s="11"/>
      <c r="I78" s="11"/>
      <c r="J78" s="11"/>
      <c r="K78" s="11"/>
      <c r="L78" s="11"/>
      <c r="M78" s="11"/>
      <c r="N78" s="11"/>
      <c r="O78" s="11"/>
      <c r="P78" s="11"/>
      <c r="Q78" s="11"/>
      <c r="R78" s="11"/>
      <c r="S78" s="11"/>
      <c r="T78" s="11"/>
      <c r="U78" s="11"/>
      <c r="V78" s="11"/>
      <c r="W78" s="11"/>
    </row>
    <row r="79" spans="1:23" ht="15.75" x14ac:dyDescent="0.25">
      <c r="A79" s="11"/>
      <c r="B79" s="11"/>
      <c r="C79" s="11"/>
      <c r="D79" s="11"/>
      <c r="E79" s="11"/>
      <c r="F79" s="11"/>
      <c r="G79" s="11"/>
      <c r="H79" s="11"/>
      <c r="I79" s="11"/>
      <c r="J79" s="11"/>
      <c r="K79" s="11"/>
      <c r="L79" s="11"/>
      <c r="M79" s="11"/>
      <c r="N79" s="11"/>
      <c r="O79" s="11"/>
      <c r="P79" s="11"/>
      <c r="Q79" s="11"/>
      <c r="R79" s="11"/>
      <c r="S79" s="11"/>
      <c r="T79" s="11"/>
      <c r="U79" s="11"/>
      <c r="V79" s="11"/>
      <c r="W79" s="11"/>
    </row>
    <row r="80" spans="1:23" ht="15.75" x14ac:dyDescent="0.25">
      <c r="A80" s="11"/>
      <c r="B80" s="11"/>
      <c r="C80" s="11"/>
      <c r="D80" s="11"/>
      <c r="E80" s="11"/>
      <c r="F80" s="11"/>
      <c r="G80" s="11"/>
      <c r="H80" s="11"/>
      <c r="I80" s="11"/>
      <c r="J80" s="11"/>
      <c r="K80" s="11"/>
      <c r="L80" s="11"/>
      <c r="M80" s="11"/>
      <c r="N80" s="11"/>
      <c r="O80" s="11"/>
      <c r="P80" s="11"/>
      <c r="Q80" s="11"/>
      <c r="R80" s="11"/>
      <c r="S80" s="11"/>
      <c r="T80" s="11"/>
      <c r="U80" s="11"/>
      <c r="V80" s="11"/>
      <c r="W80" s="11"/>
    </row>
    <row r="81" spans="1:23" ht="15.75" x14ac:dyDescent="0.25">
      <c r="A81" s="11"/>
      <c r="B81" s="11"/>
      <c r="C81" s="11"/>
      <c r="D81" s="11"/>
      <c r="E81" s="11"/>
      <c r="F81" s="11"/>
      <c r="G81" s="11"/>
      <c r="H81" s="11"/>
      <c r="I81" s="11"/>
      <c r="J81" s="11"/>
      <c r="K81" s="11"/>
      <c r="L81" s="11"/>
      <c r="M81" s="11"/>
      <c r="N81" s="11"/>
      <c r="O81" s="11"/>
      <c r="P81" s="11"/>
      <c r="Q81" s="11"/>
      <c r="R81" s="11"/>
      <c r="S81" s="11"/>
      <c r="T81" s="11"/>
      <c r="U81" s="11"/>
      <c r="V81" s="11"/>
      <c r="W81" s="11"/>
    </row>
    <row r="82" spans="1:23" ht="15.75" x14ac:dyDescent="0.25">
      <c r="A82" s="11"/>
      <c r="B82" s="11"/>
      <c r="C82" s="11"/>
      <c r="D82" s="11"/>
      <c r="E82" s="11"/>
      <c r="F82" s="11"/>
      <c r="G82" s="11"/>
      <c r="H82" s="11"/>
      <c r="I82" s="11"/>
      <c r="J82" s="11"/>
      <c r="K82" s="11"/>
      <c r="L82" s="11"/>
      <c r="M82" s="11"/>
      <c r="N82" s="11"/>
      <c r="O82" s="11"/>
      <c r="P82" s="11"/>
      <c r="Q82" s="11"/>
      <c r="R82" s="11"/>
      <c r="S82" s="11"/>
      <c r="T82" s="11"/>
      <c r="U82" s="11"/>
      <c r="V82" s="11"/>
      <c r="W82" s="11"/>
    </row>
    <row r="83" spans="1:23" ht="15.75" x14ac:dyDescent="0.25">
      <c r="A83" s="11"/>
      <c r="B83" s="11"/>
      <c r="C83" s="11"/>
      <c r="D83" s="11"/>
      <c r="E83" s="11"/>
      <c r="F83" s="11"/>
      <c r="G83" s="11"/>
      <c r="H83" s="11"/>
      <c r="I83" s="11"/>
      <c r="J83" s="11"/>
      <c r="K83" s="11"/>
      <c r="L83" s="11"/>
      <c r="M83" s="11"/>
      <c r="N83" s="11"/>
      <c r="O83" s="11"/>
      <c r="P83" s="11"/>
      <c r="Q83" s="11"/>
      <c r="R83" s="11"/>
      <c r="S83" s="11"/>
      <c r="T83" s="11"/>
      <c r="U83" s="11"/>
      <c r="V83" s="11"/>
      <c r="W83" s="11"/>
    </row>
    <row r="84" spans="1:23" ht="15.75" x14ac:dyDescent="0.25">
      <c r="A84" s="11"/>
      <c r="B84" s="11"/>
      <c r="C84" s="11"/>
      <c r="D84" s="11"/>
      <c r="E84" s="11"/>
      <c r="F84" s="11"/>
      <c r="G84" s="11"/>
      <c r="H84" s="11"/>
      <c r="I84" s="11"/>
      <c r="J84" s="11"/>
      <c r="K84" s="11"/>
      <c r="L84" s="11"/>
      <c r="M84" s="11"/>
      <c r="N84" s="11"/>
      <c r="O84" s="11"/>
      <c r="P84" s="11"/>
      <c r="Q84" s="11"/>
      <c r="R84" s="11"/>
      <c r="S84" s="11"/>
      <c r="T84" s="11"/>
      <c r="U84" s="11"/>
      <c r="V84" s="11"/>
      <c r="W84" s="11"/>
    </row>
    <row r="85" spans="1:23" ht="15.75" x14ac:dyDescent="0.25">
      <c r="A85" s="11"/>
      <c r="B85" s="11"/>
      <c r="C85" s="11"/>
      <c r="D85" s="11"/>
      <c r="E85" s="11"/>
      <c r="F85" s="11"/>
      <c r="G85" s="11"/>
      <c r="H85" s="11"/>
      <c r="I85" s="11"/>
      <c r="J85" s="11"/>
      <c r="K85" s="11"/>
      <c r="L85" s="11"/>
      <c r="M85" s="11"/>
      <c r="N85" s="11"/>
      <c r="O85" s="11"/>
      <c r="P85" s="11"/>
      <c r="Q85" s="11"/>
      <c r="R85" s="11"/>
      <c r="S85" s="11"/>
      <c r="T85" s="11"/>
      <c r="U85" s="11"/>
      <c r="V85" s="11"/>
      <c r="W85" s="11"/>
    </row>
    <row r="86" spans="1:23" ht="15.75" x14ac:dyDescent="0.25">
      <c r="A86" s="11"/>
      <c r="B86" s="11"/>
      <c r="C86" s="11"/>
      <c r="D86" s="11"/>
      <c r="E86" s="11"/>
      <c r="F86" s="11"/>
      <c r="G86" s="11"/>
      <c r="H86" s="11"/>
      <c r="I86" s="11"/>
      <c r="J86" s="11"/>
      <c r="K86" s="11"/>
      <c r="L86" s="11"/>
      <c r="M86" s="11"/>
      <c r="N86" s="11"/>
      <c r="O86" s="11"/>
      <c r="P86" s="11"/>
      <c r="Q86" s="11"/>
      <c r="R86" s="11"/>
      <c r="S86" s="11"/>
      <c r="T86" s="11"/>
      <c r="U86" s="11"/>
      <c r="V86" s="11"/>
      <c r="W86" s="11"/>
    </row>
    <row r="87" spans="1:23" ht="15.75" x14ac:dyDescent="0.25">
      <c r="A87" s="11"/>
      <c r="B87" s="11"/>
      <c r="C87" s="11"/>
      <c r="D87" s="11"/>
      <c r="E87" s="11"/>
      <c r="F87" s="11"/>
      <c r="G87" s="11"/>
      <c r="H87" s="11"/>
      <c r="I87" s="11"/>
      <c r="J87" s="11"/>
      <c r="K87" s="11"/>
      <c r="L87" s="11"/>
      <c r="M87" s="11"/>
      <c r="N87" s="11"/>
      <c r="O87" s="11"/>
      <c r="P87" s="11"/>
      <c r="Q87" s="11"/>
      <c r="R87" s="11"/>
      <c r="S87" s="11"/>
      <c r="T87" s="11"/>
      <c r="U87" s="11"/>
      <c r="V87" s="11"/>
      <c r="W87" s="11"/>
    </row>
    <row r="88" spans="1:23" ht="15.75" x14ac:dyDescent="0.25">
      <c r="A88" s="11"/>
      <c r="B88" s="11"/>
      <c r="C88" s="11"/>
      <c r="D88" s="11"/>
      <c r="E88" s="11"/>
      <c r="F88" s="11"/>
      <c r="G88" s="11"/>
      <c r="H88" s="11"/>
      <c r="I88" s="11"/>
      <c r="J88" s="11"/>
      <c r="K88" s="11"/>
      <c r="L88" s="11"/>
      <c r="M88" s="11"/>
      <c r="N88" s="11"/>
      <c r="O88" s="11"/>
      <c r="P88" s="11"/>
      <c r="Q88" s="11"/>
      <c r="R88" s="11"/>
      <c r="S88" s="11"/>
      <c r="T88" s="11"/>
      <c r="U88" s="11"/>
      <c r="V88" s="11"/>
      <c r="W88" s="11"/>
    </row>
    <row r="89" spans="1:23" ht="15.75" x14ac:dyDescent="0.25">
      <c r="A89" s="11"/>
      <c r="B89" s="11"/>
      <c r="C89" s="11"/>
      <c r="D89" s="11"/>
      <c r="E89" s="11"/>
      <c r="F89" s="11"/>
      <c r="G89" s="11"/>
      <c r="H89" s="11"/>
      <c r="I89" s="11"/>
      <c r="J89" s="11"/>
      <c r="K89" s="11"/>
      <c r="L89" s="11"/>
      <c r="M89" s="11"/>
      <c r="N89" s="11"/>
      <c r="O89" s="11"/>
      <c r="P89" s="11"/>
      <c r="Q89" s="11"/>
      <c r="R89" s="11"/>
      <c r="S89" s="11"/>
      <c r="T89" s="11"/>
      <c r="U89" s="11"/>
      <c r="V89" s="11"/>
      <c r="W89" s="11"/>
    </row>
    <row r="90" spans="1:23" ht="15.75" x14ac:dyDescent="0.25">
      <c r="A90" s="11"/>
      <c r="B90" s="11"/>
      <c r="C90" s="11"/>
      <c r="D90" s="11"/>
      <c r="E90" s="11"/>
      <c r="F90" s="11"/>
      <c r="G90" s="11"/>
      <c r="H90" s="11"/>
      <c r="I90" s="11"/>
      <c r="J90" s="11"/>
      <c r="K90" s="11"/>
      <c r="L90" s="11"/>
      <c r="M90" s="11"/>
      <c r="N90" s="11"/>
      <c r="O90" s="11"/>
      <c r="P90" s="11"/>
      <c r="Q90" s="11"/>
      <c r="R90" s="11"/>
      <c r="S90" s="11"/>
      <c r="T90" s="11"/>
      <c r="U90" s="11"/>
      <c r="V90" s="11"/>
      <c r="W90" s="11"/>
    </row>
    <row r="91" spans="1:23" ht="15.75" x14ac:dyDescent="0.25">
      <c r="A91" s="11"/>
      <c r="B91" s="11"/>
      <c r="C91" s="11"/>
      <c r="D91" s="11"/>
      <c r="E91" s="11"/>
      <c r="F91" s="11"/>
      <c r="G91" s="11"/>
      <c r="H91" s="11"/>
      <c r="I91" s="11"/>
      <c r="J91" s="11"/>
      <c r="K91" s="11"/>
      <c r="L91" s="11"/>
      <c r="M91" s="11"/>
      <c r="N91" s="11"/>
      <c r="O91" s="11"/>
      <c r="P91" s="11"/>
      <c r="Q91" s="11"/>
      <c r="R91" s="11"/>
      <c r="S91" s="11"/>
      <c r="T91" s="11"/>
      <c r="U91" s="11"/>
      <c r="V91" s="11"/>
      <c r="W91" s="11"/>
    </row>
    <row r="92" spans="1:23" ht="15.75" x14ac:dyDescent="0.25">
      <c r="A92" s="11"/>
      <c r="B92" s="11"/>
      <c r="C92" s="11"/>
      <c r="D92" s="11"/>
      <c r="E92" s="11"/>
      <c r="F92" s="11"/>
      <c r="G92" s="11"/>
      <c r="H92" s="11"/>
      <c r="I92" s="11"/>
      <c r="J92" s="11"/>
      <c r="K92" s="11"/>
      <c r="L92" s="11"/>
      <c r="M92" s="11"/>
      <c r="N92" s="11"/>
      <c r="O92" s="11"/>
      <c r="P92" s="11"/>
      <c r="Q92" s="11"/>
      <c r="R92" s="11"/>
      <c r="S92" s="11"/>
      <c r="T92" s="11"/>
      <c r="U92" s="11"/>
      <c r="V92" s="11"/>
      <c r="W92" s="11"/>
    </row>
    <row r="93" spans="1:23" ht="15.75" x14ac:dyDescent="0.25">
      <c r="A93" s="11"/>
      <c r="B93" s="11"/>
      <c r="C93" s="11"/>
      <c r="D93" s="11"/>
      <c r="E93" s="11"/>
      <c r="F93" s="11"/>
      <c r="G93" s="11"/>
      <c r="H93" s="11"/>
      <c r="I93" s="11"/>
      <c r="J93" s="11"/>
      <c r="K93" s="11"/>
      <c r="L93" s="11"/>
      <c r="M93" s="11"/>
      <c r="N93" s="11"/>
      <c r="O93" s="11"/>
      <c r="P93" s="11"/>
      <c r="Q93" s="11"/>
      <c r="R93" s="11"/>
      <c r="S93" s="11"/>
      <c r="T93" s="11"/>
      <c r="U93" s="11"/>
      <c r="V93" s="11"/>
      <c r="W93" s="11"/>
    </row>
    <row r="94" spans="1:23" ht="15.75" x14ac:dyDescent="0.25">
      <c r="A94" s="11"/>
      <c r="B94" s="11"/>
      <c r="C94" s="11"/>
      <c r="D94" s="11"/>
      <c r="E94" s="11"/>
      <c r="F94" s="11"/>
      <c r="G94" s="11"/>
      <c r="H94" s="11"/>
      <c r="I94" s="11"/>
      <c r="J94" s="11"/>
      <c r="K94" s="11"/>
      <c r="L94" s="11"/>
      <c r="M94" s="11"/>
      <c r="N94" s="11"/>
      <c r="O94" s="11"/>
      <c r="P94" s="11"/>
      <c r="Q94" s="11"/>
      <c r="R94" s="11"/>
      <c r="S94" s="11"/>
      <c r="T94" s="11"/>
      <c r="U94" s="11"/>
      <c r="V94" s="11"/>
      <c r="W94" s="11"/>
    </row>
    <row r="95" spans="1:23" ht="15.75" x14ac:dyDescent="0.25">
      <c r="A95" s="11"/>
      <c r="B95" s="11"/>
      <c r="C95" s="11"/>
      <c r="D95" s="11"/>
      <c r="E95" s="11"/>
      <c r="F95" s="11"/>
      <c r="G95" s="11"/>
      <c r="H95" s="11"/>
      <c r="I95" s="11"/>
      <c r="J95" s="11"/>
      <c r="K95" s="11"/>
      <c r="L95" s="11"/>
      <c r="M95" s="11"/>
      <c r="N95" s="11"/>
      <c r="O95" s="11"/>
      <c r="P95" s="11"/>
      <c r="Q95" s="11"/>
      <c r="R95" s="11"/>
      <c r="S95" s="11"/>
      <c r="T95" s="11"/>
      <c r="U95" s="11"/>
      <c r="V95" s="11"/>
      <c r="W95" s="11"/>
    </row>
    <row r="96" spans="1:23" ht="15.75" x14ac:dyDescent="0.25">
      <c r="A96" s="11"/>
      <c r="B96" s="11"/>
      <c r="C96" s="11"/>
      <c r="D96" s="11"/>
      <c r="E96" s="11"/>
      <c r="F96" s="11"/>
      <c r="G96" s="11"/>
      <c r="H96" s="11"/>
      <c r="I96" s="11"/>
      <c r="J96" s="11"/>
      <c r="K96" s="11"/>
      <c r="L96" s="11"/>
      <c r="M96" s="11"/>
      <c r="N96" s="11"/>
      <c r="O96" s="11"/>
      <c r="P96" s="11"/>
      <c r="Q96" s="11"/>
      <c r="R96" s="11"/>
      <c r="S96" s="11"/>
      <c r="T96" s="11"/>
      <c r="U96" s="11"/>
      <c r="V96" s="11"/>
      <c r="W96" s="11"/>
    </row>
    <row r="97" spans="1:23" ht="15.75" x14ac:dyDescent="0.25">
      <c r="A97" s="11"/>
      <c r="B97" s="11"/>
      <c r="C97" s="11"/>
      <c r="D97" s="11"/>
      <c r="E97" s="11"/>
      <c r="F97" s="11"/>
      <c r="G97" s="11"/>
      <c r="H97" s="11"/>
      <c r="I97" s="11"/>
      <c r="J97" s="11"/>
      <c r="K97" s="11"/>
      <c r="L97" s="11"/>
      <c r="M97" s="11"/>
      <c r="N97" s="11"/>
      <c r="O97" s="11"/>
      <c r="P97" s="11"/>
      <c r="Q97" s="11"/>
      <c r="R97" s="11"/>
      <c r="S97" s="11"/>
      <c r="T97" s="11"/>
      <c r="U97" s="11"/>
      <c r="V97" s="11"/>
      <c r="W97" s="11"/>
    </row>
    <row r="98" spans="1:23" ht="15.75" x14ac:dyDescent="0.25">
      <c r="A98" s="11"/>
      <c r="B98" s="11"/>
      <c r="C98" s="11"/>
      <c r="D98" s="11"/>
      <c r="E98" s="11"/>
      <c r="F98" s="11"/>
      <c r="G98" s="11"/>
      <c r="H98" s="11"/>
      <c r="I98" s="11"/>
      <c r="J98" s="11"/>
      <c r="K98" s="11"/>
      <c r="L98" s="11"/>
      <c r="M98" s="11"/>
      <c r="N98" s="11"/>
      <c r="O98" s="11"/>
      <c r="P98" s="11"/>
      <c r="Q98" s="11"/>
      <c r="R98" s="11"/>
      <c r="S98" s="11"/>
      <c r="T98" s="11"/>
      <c r="U98" s="11"/>
      <c r="V98" s="11"/>
      <c r="W98" s="11"/>
    </row>
    <row r="99" spans="1:23" ht="15.75" x14ac:dyDescent="0.25">
      <c r="A99" s="11"/>
      <c r="B99" s="11"/>
      <c r="C99" s="11"/>
      <c r="D99" s="11"/>
      <c r="E99" s="11"/>
      <c r="F99" s="11"/>
      <c r="G99" s="11"/>
      <c r="H99" s="11"/>
      <c r="I99" s="11"/>
      <c r="J99" s="11"/>
      <c r="K99" s="11"/>
      <c r="L99" s="11"/>
      <c r="M99" s="11"/>
      <c r="N99" s="11"/>
      <c r="O99" s="11"/>
      <c r="P99" s="11"/>
      <c r="Q99" s="11"/>
      <c r="R99" s="11"/>
      <c r="S99" s="11"/>
      <c r="T99" s="11"/>
      <c r="U99" s="11"/>
      <c r="V99" s="11"/>
      <c r="W99" s="11"/>
    </row>
    <row r="100" spans="1:23" ht="15.75"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sheetData>
  <mergeCells count="22">
    <mergeCell ref="R5:S5"/>
    <mergeCell ref="A1:F1"/>
    <mergeCell ref="A2:F2"/>
    <mergeCell ref="A3:F3"/>
    <mergeCell ref="A4:F4"/>
    <mergeCell ref="B8:D8"/>
    <mergeCell ref="J6:L6"/>
    <mergeCell ref="M6:O6"/>
    <mergeCell ref="R6:R9"/>
    <mergeCell ref="S6:S9"/>
    <mergeCell ref="B7:D7"/>
    <mergeCell ref="B6:E6"/>
    <mergeCell ref="J56:K56"/>
    <mergeCell ref="M56:N56"/>
    <mergeCell ref="J58:K58"/>
    <mergeCell ref="M58:N58"/>
    <mergeCell ref="M2:O3"/>
    <mergeCell ref="J5:O5"/>
    <mergeCell ref="J53:L53"/>
    <mergeCell ref="M53:O53"/>
    <mergeCell ref="J54:K54"/>
    <mergeCell ref="M54:N54"/>
  </mergeCells>
  <phoneticPr fontId="0" type="noConversion"/>
  <conditionalFormatting sqref="B47:F47 F48 J47:O47">
    <cfRule type="cellIs" dxfId="83" priority="3" stopIfTrue="1" operator="notEqual">
      <formula>"Yes"</formula>
    </cfRule>
  </conditionalFormatting>
  <conditionalFormatting sqref="K48">
    <cfRule type="cellIs" dxfId="82" priority="2" stopIfTrue="1" operator="notEqual">
      <formula>"Yes"</formula>
    </cfRule>
  </conditionalFormatting>
  <conditionalFormatting sqref="N48">
    <cfRule type="cellIs" dxfId="81" priority="1" stopIfTrue="1" operator="notEqual">
      <formula>"Yes"</formula>
    </cfRule>
  </conditionalFormatting>
  <pageMargins left="0.75" right="0.75" top="0.75" bottom="0.75" header="0.5" footer="0.5"/>
  <pageSetup scale="82" firstPageNumber="19" orientation="portrait" useFirstPageNumber="1" r:id="rId1"/>
  <headerFooter alignWithMargins="0">
    <oddHeader>&amp;R&amp;12Exhibit 7</oddHeader>
    <oddFooter>&amp;L&amp;12Revised:  July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tint="0.59999389629810485"/>
    <pageSetUpPr fitToPage="1"/>
  </sheetPr>
  <dimension ref="A1:AO140"/>
  <sheetViews>
    <sheetView showGridLines="0" zoomScale="85" zoomScaleNormal="85" zoomScaleSheetLayoutView="70" workbookViewId="0">
      <pane xSplit="1" ySplit="9" topLeftCell="B40"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44.7109375" customWidth="1"/>
    <col min="2" max="4" width="16.7109375" customWidth="1"/>
    <col min="5" max="5" width="16.7109375" hidden="1" customWidth="1"/>
    <col min="6" max="6" width="16.7109375" customWidth="1"/>
    <col min="8" max="8" width="10.7109375" customWidth="1"/>
    <col min="10" max="15" width="16.7109375" customWidth="1"/>
  </cols>
  <sheetData>
    <row r="1" spans="1:41" ht="15.75" customHeight="1" thickBot="1" x14ac:dyDescent="0.3">
      <c r="A1" s="342" t="str">
        <f>'GW Net Position Exh 1'!A1</f>
        <v>Owl Charter, Inc.</v>
      </c>
      <c r="B1" s="342"/>
      <c r="C1" s="342"/>
      <c r="D1" s="342"/>
      <c r="E1" s="342"/>
      <c r="F1" s="342"/>
      <c r="G1" s="20"/>
      <c r="H1" s="20"/>
      <c r="I1" s="20"/>
      <c r="J1" s="20"/>
      <c r="K1" s="20"/>
      <c r="L1" s="20"/>
      <c r="M1" s="20"/>
      <c r="N1" s="20"/>
      <c r="O1" s="20"/>
      <c r="P1" s="20"/>
      <c r="Q1" s="20"/>
      <c r="R1" s="20"/>
      <c r="S1" s="20"/>
      <c r="T1" s="20"/>
      <c r="U1" s="4"/>
      <c r="V1" s="4"/>
      <c r="W1" s="4"/>
      <c r="X1" s="4"/>
      <c r="Y1" s="4"/>
      <c r="Z1" s="4"/>
      <c r="AA1" s="4"/>
      <c r="AB1" s="4"/>
      <c r="AC1" s="4"/>
      <c r="AD1" s="4"/>
      <c r="AE1" s="4"/>
      <c r="AF1" s="4"/>
      <c r="AG1" s="4"/>
      <c r="AH1" s="4"/>
      <c r="AI1" s="4"/>
      <c r="AJ1" s="4"/>
      <c r="AK1" s="4"/>
      <c r="AL1" s="4"/>
      <c r="AM1" s="4"/>
      <c r="AN1" s="4"/>
      <c r="AO1" s="4"/>
    </row>
    <row r="2" spans="1:41" ht="15.75" x14ac:dyDescent="0.25">
      <c r="A2" s="342" t="s">
        <v>54</v>
      </c>
      <c r="B2" s="342"/>
      <c r="C2" s="342"/>
      <c r="D2" s="342"/>
      <c r="E2" s="342"/>
      <c r="F2" s="342"/>
      <c r="G2" s="20"/>
      <c r="H2" s="20"/>
      <c r="I2" s="20"/>
      <c r="J2" s="20"/>
      <c r="K2" s="20"/>
      <c r="L2" s="20"/>
      <c r="M2" s="366" t="s">
        <v>399</v>
      </c>
      <c r="N2" s="367"/>
      <c r="O2" s="368"/>
      <c r="P2" s="20"/>
      <c r="Q2" s="20"/>
      <c r="R2" s="20"/>
      <c r="S2" s="20"/>
      <c r="T2" s="20"/>
      <c r="U2" s="4"/>
      <c r="V2" s="4"/>
      <c r="W2" s="4"/>
      <c r="X2" s="4"/>
      <c r="Y2" s="4"/>
      <c r="Z2" s="4"/>
      <c r="AA2" s="4"/>
      <c r="AB2" s="4"/>
      <c r="AC2" s="4"/>
      <c r="AD2" s="4"/>
      <c r="AE2" s="4"/>
      <c r="AF2" s="4"/>
      <c r="AG2" s="4"/>
      <c r="AH2" s="4"/>
      <c r="AI2" s="4"/>
      <c r="AJ2" s="4"/>
      <c r="AK2" s="4"/>
      <c r="AL2" s="4"/>
      <c r="AM2" s="4"/>
      <c r="AN2" s="4"/>
      <c r="AO2" s="4"/>
    </row>
    <row r="3" spans="1:41" ht="16.5" thickBot="1" x14ac:dyDescent="0.3">
      <c r="A3" s="342" t="s">
        <v>19</v>
      </c>
      <c r="B3" s="342"/>
      <c r="C3" s="342"/>
      <c r="D3" s="342"/>
      <c r="E3" s="342"/>
      <c r="F3" s="342"/>
      <c r="G3" s="20"/>
      <c r="H3" s="20"/>
      <c r="I3" s="20"/>
      <c r="J3" s="20"/>
      <c r="K3" s="20"/>
      <c r="L3" s="20"/>
      <c r="M3" s="369"/>
      <c r="N3" s="370"/>
      <c r="O3" s="371"/>
      <c r="P3" s="20"/>
      <c r="Q3" s="20"/>
      <c r="R3" s="20"/>
      <c r="S3" s="20"/>
      <c r="T3" s="20"/>
      <c r="U3" s="4"/>
      <c r="V3" s="4"/>
      <c r="W3" s="4"/>
      <c r="X3" s="4"/>
      <c r="Y3" s="4"/>
      <c r="Z3" s="4"/>
      <c r="AA3" s="4"/>
      <c r="AB3" s="4"/>
      <c r="AC3" s="4"/>
      <c r="AD3" s="4"/>
      <c r="AE3" s="4"/>
      <c r="AF3" s="4"/>
      <c r="AG3" s="4"/>
      <c r="AH3" s="4"/>
      <c r="AI3" s="4"/>
      <c r="AJ3" s="4"/>
      <c r="AK3" s="4"/>
      <c r="AL3" s="4"/>
      <c r="AM3" s="4"/>
      <c r="AN3" s="4"/>
      <c r="AO3" s="4"/>
    </row>
    <row r="4" spans="1:41" ht="15.75" x14ac:dyDescent="0.25">
      <c r="A4" s="342" t="str">
        <f>+'GW Stmt Activities Exh 2'!A3</f>
        <v>For the Year Ended June 30, 2020</v>
      </c>
      <c r="B4" s="342"/>
      <c r="C4" s="342"/>
      <c r="D4" s="342"/>
      <c r="E4" s="342"/>
      <c r="F4" s="342"/>
      <c r="G4" s="20"/>
      <c r="H4" s="20"/>
      <c r="I4" s="20"/>
      <c r="J4" s="20"/>
      <c r="K4" s="20"/>
      <c r="L4" s="20"/>
      <c r="M4" s="20"/>
      <c r="N4" s="20"/>
      <c r="O4" s="20"/>
      <c r="P4" s="20"/>
      <c r="Q4" s="20"/>
      <c r="R4" s="20"/>
      <c r="S4" s="20"/>
      <c r="T4" s="20"/>
      <c r="U4" s="4"/>
      <c r="V4" s="4"/>
      <c r="W4" s="4"/>
      <c r="X4" s="4"/>
      <c r="Y4" s="4"/>
      <c r="Z4" s="4"/>
      <c r="AA4" s="4"/>
      <c r="AB4" s="4"/>
      <c r="AC4" s="4"/>
      <c r="AD4" s="4"/>
      <c r="AE4" s="4"/>
      <c r="AF4" s="4"/>
      <c r="AG4" s="4"/>
      <c r="AH4" s="4"/>
      <c r="AI4" s="4"/>
      <c r="AJ4" s="4"/>
      <c r="AK4" s="4"/>
      <c r="AL4" s="4"/>
      <c r="AM4" s="4"/>
      <c r="AN4" s="4"/>
      <c r="AO4" s="4"/>
    </row>
    <row r="5" spans="1:41" ht="20.25" x14ac:dyDescent="0.55000000000000004">
      <c r="A5" s="111"/>
      <c r="B5" s="111"/>
      <c r="C5" s="111"/>
      <c r="D5" s="111"/>
      <c r="E5" s="111"/>
      <c r="F5" s="111"/>
      <c r="G5" s="20"/>
      <c r="H5" s="20"/>
      <c r="I5" s="20"/>
      <c r="J5" s="373" t="s">
        <v>282</v>
      </c>
      <c r="K5" s="373"/>
      <c r="L5" s="373"/>
      <c r="M5" s="373"/>
      <c r="N5" s="373"/>
      <c r="O5" s="373"/>
      <c r="P5" s="20"/>
      <c r="Q5" s="20"/>
      <c r="R5" s="20"/>
      <c r="S5" s="20"/>
      <c r="T5" s="20"/>
      <c r="U5" s="4"/>
      <c r="V5" s="4"/>
      <c r="W5" s="4"/>
      <c r="X5" s="4"/>
      <c r="Y5" s="4"/>
      <c r="Z5" s="4"/>
      <c r="AA5" s="4"/>
      <c r="AB5" s="4"/>
      <c r="AC5" s="4"/>
      <c r="AD5" s="4"/>
      <c r="AE5" s="4"/>
      <c r="AF5" s="4"/>
      <c r="AG5" s="4"/>
      <c r="AH5" s="4"/>
      <c r="AI5" s="4"/>
      <c r="AJ5" s="4"/>
      <c r="AK5" s="4"/>
      <c r="AL5" s="4"/>
      <c r="AM5" s="4"/>
      <c r="AN5" s="4"/>
      <c r="AO5" s="4"/>
    </row>
    <row r="6" spans="1:41" ht="17.25" x14ac:dyDescent="0.35">
      <c r="A6" s="20"/>
      <c r="B6" s="372" t="s">
        <v>354</v>
      </c>
      <c r="C6" s="372"/>
      <c r="D6" s="372"/>
      <c r="E6" s="372"/>
      <c r="F6" s="24"/>
      <c r="G6" s="20"/>
      <c r="H6" s="381" t="s">
        <v>296</v>
      </c>
      <c r="I6" s="20"/>
      <c r="J6" s="338" t="s">
        <v>134</v>
      </c>
      <c r="K6" s="338"/>
      <c r="L6" s="338"/>
      <c r="M6" s="338" t="s">
        <v>407</v>
      </c>
      <c r="N6" s="338"/>
      <c r="O6" s="338"/>
      <c r="P6" s="20"/>
      <c r="Q6" s="20"/>
      <c r="R6" s="20"/>
      <c r="S6" s="20"/>
      <c r="T6" s="20"/>
      <c r="U6" s="4"/>
      <c r="V6" s="4"/>
      <c r="W6" s="4"/>
      <c r="X6" s="4"/>
      <c r="Y6" s="4"/>
      <c r="Z6" s="4"/>
      <c r="AA6" s="4"/>
      <c r="AB6" s="4"/>
      <c r="AC6" s="4"/>
      <c r="AD6" s="4"/>
      <c r="AE6" s="4"/>
      <c r="AF6" s="4"/>
      <c r="AG6" s="4"/>
      <c r="AH6" s="4"/>
      <c r="AI6" s="4"/>
      <c r="AJ6" s="4"/>
      <c r="AK6" s="4"/>
      <c r="AL6" s="4"/>
      <c r="AM6" s="4"/>
      <c r="AN6" s="4"/>
      <c r="AO6" s="4"/>
    </row>
    <row r="7" spans="1:41" ht="17.25" hidden="1" customHeight="1" x14ac:dyDescent="0.35">
      <c r="A7" s="20"/>
      <c r="B7" s="372" t="s">
        <v>125</v>
      </c>
      <c r="C7" s="372"/>
      <c r="D7" s="372"/>
      <c r="E7" s="24" t="s">
        <v>123</v>
      </c>
      <c r="F7" s="112"/>
      <c r="G7" s="20"/>
      <c r="H7" s="381"/>
      <c r="I7" s="20"/>
      <c r="J7" s="11"/>
      <c r="K7" s="11"/>
      <c r="L7" s="11"/>
      <c r="M7" s="20"/>
      <c r="N7" s="11"/>
      <c r="O7" s="11"/>
      <c r="P7" s="20"/>
      <c r="Q7" s="20"/>
      <c r="R7" s="20"/>
      <c r="S7" s="20"/>
      <c r="T7" s="20"/>
      <c r="U7" s="4"/>
      <c r="V7" s="4"/>
      <c r="W7" s="4"/>
      <c r="X7" s="4"/>
      <c r="Y7" s="4"/>
      <c r="Z7" s="4"/>
      <c r="AA7" s="4"/>
      <c r="AB7" s="4"/>
      <c r="AC7" s="4"/>
      <c r="AD7" s="4"/>
      <c r="AE7" s="4"/>
      <c r="AF7" s="4"/>
      <c r="AG7" s="4"/>
      <c r="AH7" s="4"/>
      <c r="AI7" s="4"/>
      <c r="AJ7" s="4"/>
      <c r="AK7" s="4"/>
      <c r="AL7" s="4"/>
      <c r="AM7" s="4"/>
      <c r="AN7" s="4"/>
      <c r="AO7" s="4"/>
    </row>
    <row r="8" spans="1:41" ht="17.25" hidden="1" customHeight="1" x14ac:dyDescent="0.35">
      <c r="A8" s="20"/>
      <c r="B8" s="338" t="s">
        <v>284</v>
      </c>
      <c r="C8" s="338"/>
      <c r="D8" s="338"/>
      <c r="E8" s="24"/>
      <c r="F8" s="112"/>
      <c r="G8" s="20"/>
      <c r="H8" s="381"/>
      <c r="I8" s="20"/>
      <c r="J8" s="20"/>
      <c r="K8" s="20"/>
      <c r="L8" s="20"/>
      <c r="M8" s="20"/>
      <c r="N8" s="11"/>
      <c r="O8" s="11"/>
      <c r="P8" s="20"/>
      <c r="Q8" s="20"/>
      <c r="R8" s="20"/>
      <c r="S8" s="20"/>
      <c r="T8" s="20"/>
      <c r="U8" s="4"/>
      <c r="V8" s="4"/>
      <c r="W8" s="4"/>
      <c r="X8" s="4"/>
      <c r="Y8" s="4"/>
      <c r="Z8" s="4"/>
      <c r="AA8" s="4"/>
      <c r="AB8" s="4"/>
      <c r="AC8" s="4"/>
      <c r="AD8" s="4"/>
      <c r="AE8" s="4"/>
      <c r="AF8" s="4"/>
      <c r="AG8" s="4"/>
      <c r="AH8" s="4"/>
      <c r="AI8" s="4"/>
      <c r="AJ8" s="4"/>
      <c r="AK8" s="4"/>
      <c r="AL8" s="4"/>
      <c r="AM8" s="4"/>
      <c r="AN8" s="4"/>
      <c r="AO8" s="4"/>
    </row>
    <row r="9" spans="1:41" ht="20.100000000000001" customHeight="1" x14ac:dyDescent="0.35">
      <c r="A9" s="20"/>
      <c r="B9" s="27" t="str">
        <f>'Govt Funds Bal Sh Exh 3'!C7</f>
        <v>Owl - Doceo</v>
      </c>
      <c r="C9" s="27" t="str">
        <f>'Govt Funds Bal Sh Exh 3'!D7</f>
        <v>Owl - Erudio</v>
      </c>
      <c r="D9" s="27" t="str">
        <f>'Govt Funds Bal Sh Exh 3'!E7</f>
        <v>Owl - Discite</v>
      </c>
      <c r="E9" s="24" t="s">
        <v>225</v>
      </c>
      <c r="F9" s="26" t="s">
        <v>0</v>
      </c>
      <c r="G9" s="20"/>
      <c r="H9" s="381"/>
      <c r="I9" s="20"/>
      <c r="J9" s="27" t="str">
        <f>$B$9</f>
        <v>Owl - Doceo</v>
      </c>
      <c r="K9" s="27" t="str">
        <f>$C$9</f>
        <v>Owl - Erudio</v>
      </c>
      <c r="L9" s="27" t="str">
        <f>$D$9</f>
        <v>Owl - Discite</v>
      </c>
      <c r="M9" s="27" t="str">
        <f>$B$9</f>
        <v>Owl - Doceo</v>
      </c>
      <c r="N9" s="27" t="str">
        <f>$C$9</f>
        <v>Owl - Erudio</v>
      </c>
      <c r="O9" s="27" t="str">
        <f>$D$9</f>
        <v>Owl - Discite</v>
      </c>
      <c r="P9" s="20"/>
      <c r="Q9" s="20"/>
      <c r="R9" s="20"/>
      <c r="S9" s="20"/>
      <c r="T9" s="20"/>
      <c r="U9" s="4"/>
      <c r="V9" s="4"/>
      <c r="W9" s="4"/>
      <c r="X9" s="4"/>
      <c r="Y9" s="4"/>
      <c r="Z9" s="4"/>
      <c r="AA9" s="4"/>
      <c r="AB9" s="4"/>
      <c r="AC9" s="4"/>
      <c r="AD9" s="4"/>
      <c r="AE9" s="4"/>
      <c r="AF9" s="4"/>
      <c r="AG9" s="4"/>
      <c r="AH9" s="4"/>
      <c r="AI9" s="4"/>
      <c r="AJ9" s="4"/>
      <c r="AK9" s="4"/>
      <c r="AL9" s="4"/>
      <c r="AM9" s="4"/>
      <c r="AN9" s="4"/>
      <c r="AO9" s="4"/>
    </row>
    <row r="10" spans="1:41" ht="15.75" x14ac:dyDescent="0.25">
      <c r="A10" s="113" t="s">
        <v>262</v>
      </c>
      <c r="B10" s="20"/>
      <c r="C10" s="20"/>
      <c r="D10" s="20"/>
      <c r="E10" s="20"/>
      <c r="F10" s="20"/>
      <c r="G10" s="20"/>
      <c r="H10" s="20"/>
      <c r="I10" s="20"/>
      <c r="J10" s="20"/>
      <c r="K10" s="20"/>
      <c r="L10" s="20"/>
      <c r="M10" s="20"/>
      <c r="N10" s="20"/>
      <c r="O10" s="20"/>
      <c r="P10" s="20"/>
      <c r="Q10" s="20"/>
      <c r="R10" s="20"/>
      <c r="S10" s="20"/>
      <c r="T10" s="20"/>
      <c r="U10" s="4"/>
      <c r="V10" s="4"/>
      <c r="W10" s="4"/>
      <c r="X10" s="4"/>
      <c r="Y10" s="4"/>
      <c r="Z10" s="4"/>
      <c r="AA10" s="4"/>
      <c r="AB10" s="4"/>
      <c r="AC10" s="4"/>
      <c r="AD10" s="4"/>
      <c r="AE10" s="4"/>
      <c r="AF10" s="4"/>
      <c r="AG10" s="4"/>
      <c r="AH10" s="4"/>
      <c r="AI10" s="4"/>
      <c r="AJ10" s="4"/>
      <c r="AK10" s="4"/>
      <c r="AL10" s="4"/>
      <c r="AM10" s="4"/>
      <c r="AN10" s="4"/>
      <c r="AO10" s="4"/>
    </row>
    <row r="11" spans="1:41" s="7" customFormat="1" ht="15" x14ac:dyDescent="0.2">
      <c r="A11" s="48" t="s">
        <v>79</v>
      </c>
      <c r="B11" s="18">
        <f t="shared" ref="B11:D13" si="0">J11+M11</f>
        <v>18308</v>
      </c>
      <c r="C11" s="18">
        <f t="shared" si="0"/>
        <v>23687</v>
      </c>
      <c r="D11" s="18">
        <f t="shared" si="0"/>
        <v>10418</v>
      </c>
      <c r="E11" s="18">
        <v>0</v>
      </c>
      <c r="F11" s="18">
        <f>SUM(B11:E11)</f>
        <v>52413</v>
      </c>
      <c r="G11" s="89"/>
      <c r="H11" s="89"/>
      <c r="I11" s="89"/>
      <c r="J11" s="89">
        <v>12278</v>
      </c>
      <c r="K11" s="89">
        <v>14511</v>
      </c>
      <c r="L11" s="89">
        <v>10418</v>
      </c>
      <c r="M11" s="89">
        <f>5930+100</f>
        <v>6030</v>
      </c>
      <c r="N11" s="89">
        <f>9276-100</f>
        <v>9176</v>
      </c>
      <c r="O11" s="89">
        <v>0</v>
      </c>
      <c r="P11" s="30"/>
      <c r="Q11" s="30"/>
      <c r="R11" s="30"/>
      <c r="S11" s="30"/>
      <c r="T11" s="30"/>
      <c r="U11" s="88"/>
      <c r="V11" s="88"/>
      <c r="W11" s="88"/>
      <c r="X11" s="88"/>
      <c r="Y11" s="88"/>
      <c r="Z11" s="88"/>
      <c r="AA11" s="88"/>
      <c r="AB11" s="88"/>
      <c r="AC11" s="88"/>
      <c r="AD11" s="88"/>
      <c r="AE11" s="88"/>
      <c r="AF11" s="88"/>
      <c r="AG11" s="88"/>
      <c r="AH11" s="88"/>
      <c r="AI11" s="88"/>
      <c r="AJ11" s="88"/>
      <c r="AK11" s="88"/>
      <c r="AL11" s="88"/>
      <c r="AM11" s="88"/>
      <c r="AN11" s="88"/>
      <c r="AO11" s="88"/>
    </row>
    <row r="12" spans="1:41" ht="15" x14ac:dyDescent="0.2">
      <c r="A12" s="70" t="s">
        <v>55</v>
      </c>
      <c r="B12" s="32">
        <f>J12+M12</f>
        <v>-21497</v>
      </c>
      <c r="C12" s="32">
        <f t="shared" si="0"/>
        <v>-25682</v>
      </c>
      <c r="D12" s="32">
        <f t="shared" si="0"/>
        <v>-17626</v>
      </c>
      <c r="E12" s="32">
        <v>0</v>
      </c>
      <c r="F12" s="32">
        <f>SUM(B12:E12)</f>
        <v>-64805</v>
      </c>
      <c r="G12" s="47"/>
      <c r="H12" s="47"/>
      <c r="I12" s="47"/>
      <c r="J12" s="90">
        <v>-20774</v>
      </c>
      <c r="K12" s="90">
        <v>-24551</v>
      </c>
      <c r="L12" s="90">
        <v>-17626</v>
      </c>
      <c r="M12" s="90">
        <v>-723</v>
      </c>
      <c r="N12" s="90">
        <v>-1131</v>
      </c>
      <c r="O12" s="90">
        <v>0</v>
      </c>
      <c r="P12" s="20"/>
      <c r="Q12" s="20"/>
      <c r="R12" s="20"/>
      <c r="S12" s="20"/>
      <c r="T12" s="20"/>
      <c r="U12" s="4"/>
      <c r="V12" s="4"/>
      <c r="W12" s="4"/>
      <c r="X12" s="4"/>
      <c r="Y12" s="4"/>
      <c r="Z12" s="4"/>
      <c r="AA12" s="4"/>
      <c r="AB12" s="4"/>
      <c r="AC12" s="4"/>
      <c r="AD12" s="4"/>
      <c r="AE12" s="4"/>
      <c r="AF12" s="4"/>
      <c r="AG12" s="4"/>
      <c r="AH12" s="4"/>
      <c r="AI12" s="4"/>
      <c r="AJ12" s="4"/>
      <c r="AK12" s="4"/>
      <c r="AL12" s="4"/>
      <c r="AM12" s="4"/>
      <c r="AN12" s="4"/>
      <c r="AO12" s="4"/>
    </row>
    <row r="13" spans="1:41" ht="20.100000000000001" customHeight="1" x14ac:dyDescent="0.35">
      <c r="A13" s="70" t="s">
        <v>109</v>
      </c>
      <c r="B13" s="35">
        <f>J13+M13</f>
        <v>-7944</v>
      </c>
      <c r="C13" s="35">
        <f t="shared" si="0"/>
        <v>-11150</v>
      </c>
      <c r="D13" s="35">
        <f t="shared" si="0"/>
        <v>-2826</v>
      </c>
      <c r="E13" s="35">
        <v>0</v>
      </c>
      <c r="F13" s="35">
        <f>SUM(B13:E13)</f>
        <v>-21920</v>
      </c>
      <c r="G13" s="47"/>
      <c r="H13" s="47"/>
      <c r="I13" s="47"/>
      <c r="J13" s="143">
        <v>-3331</v>
      </c>
      <c r="K13" s="143">
        <v>-3936</v>
      </c>
      <c r="L13" s="143">
        <v>-2826</v>
      </c>
      <c r="M13" s="143">
        <v>-4613</v>
      </c>
      <c r="N13" s="143">
        <v>-7214</v>
      </c>
      <c r="O13" s="143">
        <v>0</v>
      </c>
      <c r="P13" s="20"/>
      <c r="Q13" s="20"/>
      <c r="R13" s="20"/>
      <c r="S13" s="20"/>
      <c r="T13" s="20"/>
      <c r="U13" s="4"/>
      <c r="V13" s="4"/>
      <c r="W13" s="4"/>
      <c r="X13" s="4"/>
      <c r="Y13" s="4"/>
      <c r="Z13" s="4"/>
      <c r="AA13" s="4"/>
      <c r="AB13" s="4"/>
      <c r="AC13" s="4"/>
      <c r="AD13" s="4"/>
      <c r="AE13" s="4"/>
      <c r="AF13" s="4"/>
      <c r="AG13" s="4"/>
      <c r="AH13" s="4"/>
      <c r="AI13" s="4"/>
      <c r="AJ13" s="4"/>
      <c r="AK13" s="4"/>
      <c r="AL13" s="4"/>
      <c r="AM13" s="4"/>
      <c r="AN13" s="4"/>
      <c r="AO13" s="4"/>
    </row>
    <row r="14" spans="1:41" ht="33.950000000000003" customHeight="1" x14ac:dyDescent="0.35">
      <c r="A14" s="69" t="s">
        <v>56</v>
      </c>
      <c r="B14" s="94">
        <f>SUM(B11:B13)</f>
        <v>-11133</v>
      </c>
      <c r="C14" s="94">
        <f>SUM(C11:C13)</f>
        <v>-13145</v>
      </c>
      <c r="D14" s="94">
        <f>SUM(D11:D13)</f>
        <v>-10034</v>
      </c>
      <c r="E14" s="94">
        <f>SUM(E11:E13)</f>
        <v>0</v>
      </c>
      <c r="F14" s="94">
        <f>SUM(F11:F13)</f>
        <v>-34312</v>
      </c>
      <c r="G14" s="47"/>
      <c r="H14" s="47"/>
      <c r="I14" s="47"/>
      <c r="J14" s="94">
        <f t="shared" ref="J14:O14" si="1">SUM(J11:J13)</f>
        <v>-11827</v>
      </c>
      <c r="K14" s="94">
        <f t="shared" si="1"/>
        <v>-13976</v>
      </c>
      <c r="L14" s="94">
        <f t="shared" si="1"/>
        <v>-10034</v>
      </c>
      <c r="M14" s="94">
        <f t="shared" si="1"/>
        <v>694</v>
      </c>
      <c r="N14" s="94">
        <f t="shared" si="1"/>
        <v>831</v>
      </c>
      <c r="O14" s="94">
        <f t="shared" si="1"/>
        <v>0</v>
      </c>
      <c r="P14" s="20"/>
      <c r="Q14" s="20"/>
      <c r="R14" s="20"/>
      <c r="S14" s="20"/>
      <c r="T14" s="20"/>
      <c r="U14" s="4"/>
      <c r="V14" s="4"/>
      <c r="W14" s="4"/>
      <c r="X14" s="4"/>
      <c r="Y14" s="4"/>
      <c r="Z14" s="4"/>
      <c r="AA14" s="4"/>
      <c r="AB14" s="4"/>
      <c r="AC14" s="4"/>
      <c r="AD14" s="4"/>
      <c r="AE14" s="4"/>
      <c r="AF14" s="4"/>
      <c r="AG14" s="4"/>
      <c r="AH14" s="4"/>
      <c r="AI14" s="4"/>
      <c r="AJ14" s="4"/>
      <c r="AK14" s="4"/>
      <c r="AL14" s="4"/>
      <c r="AM14" s="4"/>
      <c r="AN14" s="4"/>
      <c r="AO14" s="4"/>
    </row>
    <row r="15" spans="1:41" ht="38.1" customHeight="1" x14ac:dyDescent="0.25">
      <c r="A15" s="113" t="s">
        <v>263</v>
      </c>
      <c r="B15" s="47"/>
      <c r="C15" s="47"/>
      <c r="D15" s="47"/>
      <c r="E15" s="47"/>
      <c r="F15" s="47"/>
      <c r="G15" s="47"/>
      <c r="H15" s="47"/>
      <c r="I15" s="47"/>
      <c r="J15" s="20"/>
      <c r="K15" s="20"/>
      <c r="L15" s="20"/>
      <c r="M15" s="20"/>
      <c r="N15" s="20"/>
      <c r="O15" s="20"/>
      <c r="P15" s="20"/>
      <c r="Q15" s="20"/>
      <c r="R15" s="20"/>
      <c r="S15" s="20"/>
      <c r="T15" s="20"/>
      <c r="U15" s="4"/>
      <c r="V15" s="4"/>
      <c r="W15" s="4"/>
      <c r="X15" s="4"/>
      <c r="Y15" s="4"/>
      <c r="Z15" s="4"/>
      <c r="AA15" s="4"/>
      <c r="AB15" s="4"/>
      <c r="AC15" s="4"/>
      <c r="AD15" s="4"/>
      <c r="AE15" s="4"/>
      <c r="AF15" s="4"/>
      <c r="AG15" s="4"/>
      <c r="AH15" s="4"/>
      <c r="AI15" s="4"/>
      <c r="AJ15" s="4"/>
      <c r="AK15" s="4"/>
      <c r="AL15" s="4"/>
      <c r="AM15" s="4"/>
      <c r="AN15" s="4"/>
      <c r="AO15" s="4"/>
    </row>
    <row r="16" spans="1:41" ht="20.100000000000001" customHeight="1" x14ac:dyDescent="0.35">
      <c r="A16" s="70" t="s">
        <v>108</v>
      </c>
      <c r="B16" s="35">
        <f>J16+M16</f>
        <v>15296</v>
      </c>
      <c r="C16" s="35">
        <f>K16+N16</f>
        <v>18077</v>
      </c>
      <c r="D16" s="35">
        <f>L16+O16</f>
        <v>12978</v>
      </c>
      <c r="E16" s="35">
        <v>0</v>
      </c>
      <c r="F16" s="35">
        <f>SUM(B16:E16)</f>
        <v>46351</v>
      </c>
      <c r="G16" s="47"/>
      <c r="H16" s="47"/>
      <c r="I16" s="47"/>
      <c r="J16" s="143">
        <v>15296</v>
      </c>
      <c r="K16" s="143">
        <v>18077</v>
      </c>
      <c r="L16" s="143">
        <v>12978</v>
      </c>
      <c r="M16" s="143">
        <v>0</v>
      </c>
      <c r="N16" s="143">
        <v>0</v>
      </c>
      <c r="O16" s="143">
        <v>0</v>
      </c>
      <c r="P16" s="20"/>
      <c r="Q16" s="20"/>
      <c r="R16" s="20"/>
      <c r="S16" s="20"/>
      <c r="T16" s="20"/>
      <c r="U16" s="4"/>
      <c r="V16" s="4"/>
      <c r="W16" s="4"/>
      <c r="X16" s="4"/>
      <c r="Y16" s="4"/>
      <c r="Z16" s="4"/>
      <c r="AA16" s="4"/>
      <c r="AB16" s="4"/>
      <c r="AC16" s="4"/>
      <c r="AD16" s="4"/>
      <c r="AE16" s="4"/>
      <c r="AF16" s="4"/>
      <c r="AG16" s="4"/>
      <c r="AH16" s="4"/>
      <c r="AI16" s="4"/>
      <c r="AJ16" s="4"/>
      <c r="AK16" s="4"/>
      <c r="AL16" s="4"/>
      <c r="AM16" s="4"/>
      <c r="AN16" s="4"/>
      <c r="AO16" s="4"/>
    </row>
    <row r="17" spans="1:41" ht="38.1" customHeight="1" x14ac:dyDescent="0.25">
      <c r="A17" s="113" t="s">
        <v>264</v>
      </c>
      <c r="B17" s="47"/>
      <c r="C17" s="47"/>
      <c r="D17" s="47"/>
      <c r="E17" s="47"/>
      <c r="F17" s="47"/>
      <c r="G17" s="47"/>
      <c r="H17" s="47"/>
      <c r="I17" s="47"/>
      <c r="J17" s="20"/>
      <c r="K17" s="20"/>
      <c r="L17" s="20"/>
      <c r="M17" s="20"/>
      <c r="N17" s="20"/>
      <c r="O17" s="20"/>
      <c r="P17" s="20"/>
      <c r="Q17" s="20"/>
      <c r="R17" s="20"/>
      <c r="S17" s="20"/>
      <c r="T17" s="20"/>
      <c r="U17" s="4"/>
      <c r="V17" s="4"/>
      <c r="W17" s="4"/>
      <c r="X17" s="4"/>
      <c r="Y17" s="4"/>
      <c r="Z17" s="4"/>
      <c r="AA17" s="4"/>
      <c r="AB17" s="4"/>
      <c r="AC17" s="4"/>
      <c r="AD17" s="4"/>
      <c r="AE17" s="4"/>
      <c r="AF17" s="4"/>
      <c r="AG17" s="4"/>
      <c r="AH17" s="4"/>
      <c r="AI17" s="4"/>
      <c r="AJ17" s="4"/>
      <c r="AK17" s="4"/>
      <c r="AL17" s="4"/>
      <c r="AM17" s="4"/>
      <c r="AN17" s="4"/>
      <c r="AO17" s="4"/>
    </row>
    <row r="18" spans="1:41" ht="15" x14ac:dyDescent="0.2">
      <c r="A18" s="70" t="s">
        <v>135</v>
      </c>
      <c r="B18" s="32">
        <f t="shared" ref="B18:D19" si="2">J18+M18</f>
        <v>364</v>
      </c>
      <c r="C18" s="32">
        <f t="shared" si="2"/>
        <v>570</v>
      </c>
      <c r="D18" s="32">
        <f t="shared" si="2"/>
        <v>0</v>
      </c>
      <c r="E18" s="32">
        <v>0</v>
      </c>
      <c r="F18" s="32">
        <f>SUM(B18:E18)</f>
        <v>934</v>
      </c>
      <c r="G18" s="47"/>
      <c r="H18" s="47"/>
      <c r="I18" s="47"/>
      <c r="J18" s="90">
        <v>0</v>
      </c>
      <c r="K18" s="90">
        <v>0</v>
      </c>
      <c r="L18" s="90">
        <v>0</v>
      </c>
      <c r="M18" s="90">
        <v>364</v>
      </c>
      <c r="N18" s="90">
        <v>570</v>
      </c>
      <c r="O18" s="90">
        <v>0</v>
      </c>
      <c r="P18" s="20"/>
      <c r="Q18" s="20"/>
      <c r="R18" s="20"/>
      <c r="S18" s="20"/>
      <c r="T18" s="20"/>
      <c r="U18" s="4"/>
      <c r="V18" s="4"/>
      <c r="W18" s="4"/>
      <c r="X18" s="4"/>
      <c r="Y18" s="4"/>
      <c r="Z18" s="4"/>
      <c r="AA18" s="4"/>
      <c r="AB18" s="4"/>
      <c r="AC18" s="4"/>
      <c r="AD18" s="4"/>
      <c r="AE18" s="4"/>
      <c r="AF18" s="4"/>
      <c r="AG18" s="4"/>
      <c r="AH18" s="4"/>
      <c r="AI18" s="4"/>
      <c r="AJ18" s="4"/>
      <c r="AK18" s="4"/>
      <c r="AL18" s="4"/>
      <c r="AM18" s="4"/>
      <c r="AN18" s="4"/>
      <c r="AO18" s="4"/>
    </row>
    <row r="19" spans="1:41" ht="20.100000000000001" customHeight="1" x14ac:dyDescent="0.35">
      <c r="A19" s="70" t="s">
        <v>110</v>
      </c>
      <c r="B19" s="35">
        <f t="shared" si="2"/>
        <v>-3058</v>
      </c>
      <c r="C19" s="35">
        <f t="shared" si="2"/>
        <v>-3736</v>
      </c>
      <c r="D19" s="35">
        <f t="shared" si="2"/>
        <v>-2320</v>
      </c>
      <c r="E19" s="35">
        <v>0</v>
      </c>
      <c r="F19" s="35">
        <f>SUM(B19:E19)</f>
        <v>-9114</v>
      </c>
      <c r="G19" s="47"/>
      <c r="H19" s="47"/>
      <c r="I19" s="47"/>
      <c r="J19" s="143">
        <v>-2735</v>
      </c>
      <c r="K19" s="143">
        <v>-3232</v>
      </c>
      <c r="L19" s="143">
        <v>-2320</v>
      </c>
      <c r="M19" s="143">
        <v>-323</v>
      </c>
      <c r="N19" s="143">
        <v>-504</v>
      </c>
      <c r="O19" s="143">
        <v>0</v>
      </c>
      <c r="P19" s="20"/>
      <c r="Q19" s="20"/>
      <c r="R19" s="20"/>
      <c r="S19" s="20"/>
      <c r="T19" s="20"/>
      <c r="U19" s="4"/>
      <c r="V19" s="4"/>
      <c r="W19" s="4"/>
      <c r="X19" s="4"/>
      <c r="Y19" s="4"/>
      <c r="Z19" s="4"/>
      <c r="AA19" s="4"/>
      <c r="AB19" s="4"/>
      <c r="AC19" s="4"/>
      <c r="AD19" s="4"/>
      <c r="AE19" s="4"/>
      <c r="AF19" s="4"/>
      <c r="AG19" s="4"/>
      <c r="AH19" s="4"/>
      <c r="AI19" s="4"/>
      <c r="AJ19" s="4"/>
      <c r="AK19" s="4"/>
      <c r="AL19" s="4"/>
      <c r="AM19" s="4"/>
      <c r="AN19" s="4"/>
      <c r="AO19" s="4"/>
    </row>
    <row r="20" spans="1:41" ht="33.950000000000003" customHeight="1" x14ac:dyDescent="0.35">
      <c r="A20" s="69" t="s">
        <v>136</v>
      </c>
      <c r="B20" s="94">
        <f>SUM(B18:B19)</f>
        <v>-2694</v>
      </c>
      <c r="C20" s="94">
        <f>SUM(C18:C19)</f>
        <v>-3166</v>
      </c>
      <c r="D20" s="94">
        <f>SUM(D18:D19)</f>
        <v>-2320</v>
      </c>
      <c r="E20" s="94">
        <f>SUM(E18:E19)</f>
        <v>0</v>
      </c>
      <c r="F20" s="94">
        <f>SUM(F18:F19)</f>
        <v>-8180</v>
      </c>
      <c r="G20" s="47"/>
      <c r="H20" s="47"/>
      <c r="I20" s="47"/>
      <c r="J20" s="94">
        <f t="shared" ref="J20:O20" si="3">SUM(J18:J19)</f>
        <v>-2735</v>
      </c>
      <c r="K20" s="94">
        <f t="shared" si="3"/>
        <v>-3232</v>
      </c>
      <c r="L20" s="94">
        <f t="shared" si="3"/>
        <v>-2320</v>
      </c>
      <c r="M20" s="94">
        <f t="shared" si="3"/>
        <v>41</v>
      </c>
      <c r="N20" s="94">
        <f t="shared" si="3"/>
        <v>66</v>
      </c>
      <c r="O20" s="94">
        <f t="shared" si="3"/>
        <v>0</v>
      </c>
      <c r="P20" s="20"/>
      <c r="Q20" s="20"/>
      <c r="R20" s="20"/>
      <c r="S20" s="20"/>
      <c r="T20" s="20"/>
      <c r="U20" s="4"/>
      <c r="V20" s="4"/>
      <c r="W20" s="4"/>
      <c r="X20" s="4"/>
      <c r="Y20" s="4"/>
      <c r="Z20" s="4"/>
      <c r="AA20" s="4"/>
      <c r="AB20" s="4"/>
      <c r="AC20" s="4"/>
      <c r="AD20" s="4"/>
      <c r="AE20" s="4"/>
      <c r="AF20" s="4"/>
      <c r="AG20" s="4"/>
      <c r="AH20" s="4"/>
      <c r="AI20" s="4"/>
      <c r="AJ20" s="4"/>
      <c r="AK20" s="4"/>
      <c r="AL20" s="4"/>
      <c r="AM20" s="4"/>
      <c r="AN20" s="4"/>
      <c r="AO20" s="4"/>
    </row>
    <row r="21" spans="1:41" ht="33.950000000000003" customHeight="1" x14ac:dyDescent="0.2">
      <c r="A21" s="69" t="s">
        <v>57</v>
      </c>
      <c r="B21" s="47">
        <f>+B20+B16+B14</f>
        <v>1469</v>
      </c>
      <c r="C21" s="47">
        <f>+C20+C16+C14</f>
        <v>1766</v>
      </c>
      <c r="D21" s="47">
        <f>+D20+D16+D14</f>
        <v>624</v>
      </c>
      <c r="E21" s="47">
        <f>+E20+E16+E14</f>
        <v>0</v>
      </c>
      <c r="F21" s="47">
        <f>+F20+F16+F14</f>
        <v>3859</v>
      </c>
      <c r="G21" s="47"/>
      <c r="H21" s="47"/>
      <c r="I21" s="47"/>
      <c r="J21" s="47">
        <f t="shared" ref="J21:O21" si="4">+J20+J16+J14</f>
        <v>734</v>
      </c>
      <c r="K21" s="47">
        <f t="shared" si="4"/>
        <v>869</v>
      </c>
      <c r="L21" s="47">
        <f t="shared" si="4"/>
        <v>624</v>
      </c>
      <c r="M21" s="47">
        <f t="shared" si="4"/>
        <v>735</v>
      </c>
      <c r="N21" s="47">
        <f t="shared" si="4"/>
        <v>897</v>
      </c>
      <c r="O21" s="47">
        <f t="shared" si="4"/>
        <v>0</v>
      </c>
      <c r="P21" s="20"/>
      <c r="Q21" s="20"/>
      <c r="R21" s="20"/>
      <c r="S21" s="20"/>
      <c r="T21" s="20"/>
      <c r="U21" s="4"/>
      <c r="V21" s="4"/>
      <c r="W21" s="4"/>
      <c r="X21" s="4"/>
      <c r="Y21" s="4"/>
      <c r="Z21" s="4"/>
      <c r="AA21" s="4"/>
      <c r="AB21" s="4"/>
      <c r="AC21" s="4"/>
      <c r="AD21" s="4"/>
      <c r="AE21" s="4"/>
      <c r="AF21" s="4"/>
      <c r="AG21" s="4"/>
      <c r="AH21" s="4"/>
      <c r="AI21" s="4"/>
      <c r="AJ21" s="4"/>
      <c r="AK21" s="4"/>
      <c r="AL21" s="4"/>
      <c r="AM21" s="4"/>
      <c r="AN21" s="4"/>
      <c r="AO21" s="4"/>
    </row>
    <row r="22" spans="1:41" ht="21.95" customHeight="1" x14ac:dyDescent="0.35">
      <c r="A22" s="39" t="s">
        <v>212</v>
      </c>
      <c r="B22" s="35">
        <f>J22+M22</f>
        <v>498</v>
      </c>
      <c r="C22" s="35">
        <f>K22+N22</f>
        <v>766</v>
      </c>
      <c r="D22" s="35">
        <f>L22+O22</f>
        <v>264</v>
      </c>
      <c r="E22" s="35">
        <v>0</v>
      </c>
      <c r="F22" s="35">
        <f>SUM(B22:E22)</f>
        <v>1528</v>
      </c>
      <c r="G22" s="47"/>
      <c r="H22" s="47"/>
      <c r="I22" s="47"/>
      <c r="J22" s="143">
        <v>313</v>
      </c>
      <c r="K22" s="143">
        <v>368</v>
      </c>
      <c r="L22" s="143">
        <v>264</v>
      </c>
      <c r="M22" s="143">
        <v>185</v>
      </c>
      <c r="N22" s="143">
        <v>398</v>
      </c>
      <c r="O22" s="143">
        <v>0</v>
      </c>
      <c r="P22" s="20"/>
      <c r="Q22" s="20"/>
      <c r="R22" s="20"/>
      <c r="S22" s="20"/>
      <c r="T22" s="20"/>
      <c r="U22" s="4"/>
      <c r="V22" s="4"/>
      <c r="W22" s="4"/>
      <c r="X22" s="4"/>
      <c r="Y22" s="4"/>
      <c r="Z22" s="4"/>
      <c r="AA22" s="4"/>
      <c r="AB22" s="4"/>
      <c r="AC22" s="4"/>
      <c r="AD22" s="4"/>
      <c r="AE22" s="4"/>
      <c r="AF22" s="4"/>
      <c r="AG22" s="4"/>
      <c r="AH22" s="4"/>
      <c r="AI22" s="4"/>
      <c r="AJ22" s="4"/>
      <c r="AK22" s="4"/>
      <c r="AL22" s="4"/>
      <c r="AM22" s="4"/>
      <c r="AN22" s="4"/>
      <c r="AO22" s="4"/>
    </row>
    <row r="23" spans="1:41" ht="20.100000000000001" customHeight="1" x14ac:dyDescent="0.35">
      <c r="A23" s="39" t="s">
        <v>213</v>
      </c>
      <c r="B23" s="95">
        <f>+B21+B22</f>
        <v>1967</v>
      </c>
      <c r="C23" s="95">
        <f>+C21+C22</f>
        <v>2532</v>
      </c>
      <c r="D23" s="95">
        <f>+D21+D22</f>
        <v>888</v>
      </c>
      <c r="E23" s="95">
        <f>+E21+E22</f>
        <v>0</v>
      </c>
      <c r="F23" s="95">
        <f>+F21+F22</f>
        <v>5387</v>
      </c>
      <c r="G23" s="29"/>
      <c r="H23" s="47"/>
      <c r="I23" s="29"/>
      <c r="J23" s="95">
        <f t="shared" ref="J23:O23" si="5">+J21+J22</f>
        <v>1047</v>
      </c>
      <c r="K23" s="95">
        <f t="shared" si="5"/>
        <v>1237</v>
      </c>
      <c r="L23" s="95">
        <f t="shared" si="5"/>
        <v>888</v>
      </c>
      <c r="M23" s="95">
        <f t="shared" si="5"/>
        <v>920</v>
      </c>
      <c r="N23" s="95">
        <f t="shared" si="5"/>
        <v>1295</v>
      </c>
      <c r="O23" s="95">
        <f t="shared" si="5"/>
        <v>0</v>
      </c>
      <c r="P23" s="20"/>
      <c r="Q23" s="20"/>
      <c r="R23" s="20"/>
      <c r="S23" s="20"/>
      <c r="T23" s="20"/>
      <c r="U23" s="4"/>
      <c r="V23" s="4"/>
      <c r="W23" s="4"/>
      <c r="X23" s="4"/>
      <c r="Y23" s="4"/>
      <c r="Z23" s="4"/>
      <c r="AA23" s="4"/>
      <c r="AB23" s="4"/>
      <c r="AC23" s="4"/>
      <c r="AD23" s="4"/>
      <c r="AE23" s="4"/>
      <c r="AF23" s="4"/>
      <c r="AG23" s="4"/>
      <c r="AH23" s="4"/>
      <c r="AI23" s="4"/>
      <c r="AJ23" s="4"/>
      <c r="AK23" s="4"/>
      <c r="AL23" s="4"/>
      <c r="AM23" s="4"/>
      <c r="AN23" s="4"/>
      <c r="AO23" s="4"/>
    </row>
    <row r="24" spans="1:41" ht="39.950000000000003" customHeight="1" x14ac:dyDescent="0.2">
      <c r="A24" s="39" t="s">
        <v>58</v>
      </c>
      <c r="B24" s="47"/>
      <c r="C24" s="47"/>
      <c r="D24" s="47"/>
      <c r="E24" s="47"/>
      <c r="F24" s="47"/>
      <c r="G24" s="47"/>
      <c r="H24" s="47"/>
      <c r="I24" s="47"/>
      <c r="J24" s="20"/>
      <c r="K24" s="20"/>
      <c r="L24" s="20"/>
      <c r="M24" s="20"/>
      <c r="N24" s="20"/>
      <c r="O24" s="20"/>
      <c r="P24" s="20"/>
      <c r="Q24" s="20"/>
      <c r="R24" s="20"/>
      <c r="S24" s="20"/>
      <c r="T24" s="20"/>
      <c r="U24" s="4"/>
      <c r="V24" s="4"/>
      <c r="W24" s="4"/>
      <c r="X24" s="4"/>
      <c r="Y24" s="4"/>
      <c r="Z24" s="4"/>
      <c r="AA24" s="4"/>
      <c r="AB24" s="4"/>
      <c r="AC24" s="4"/>
      <c r="AD24" s="4"/>
      <c r="AE24" s="4"/>
      <c r="AF24" s="4"/>
      <c r="AG24" s="4"/>
      <c r="AH24" s="4"/>
      <c r="AI24" s="4"/>
      <c r="AJ24" s="4"/>
      <c r="AK24" s="4"/>
      <c r="AL24" s="4"/>
      <c r="AM24" s="4"/>
      <c r="AN24" s="4"/>
      <c r="AO24" s="4"/>
    </row>
    <row r="25" spans="1:41" ht="21.95" customHeight="1" x14ac:dyDescent="0.35">
      <c r="A25" s="75" t="s">
        <v>59</v>
      </c>
      <c r="B25" s="118">
        <f>'Enterprise Income Stmt Exh 7'!B26</f>
        <v>-5790</v>
      </c>
      <c r="C25" s="118">
        <f>'Enterprise Income Stmt Exh 7'!C26</f>
        <v>-6438</v>
      </c>
      <c r="D25" s="118">
        <f>'Enterprise Income Stmt Exh 7'!D26</f>
        <v>-6386</v>
      </c>
      <c r="E25" s="118">
        <f>'Enterprise Income Stmt Exh 7'!E26</f>
        <v>0</v>
      </c>
      <c r="F25" s="102">
        <f>SUM(B25:E25)</f>
        <v>-18614</v>
      </c>
      <c r="G25" s="47"/>
      <c r="H25" s="274" t="str">
        <f>IF(F25-SUM(J25:O25)=0,"Yes",F25-SUM(J25:O25))</f>
        <v>Yes</v>
      </c>
      <c r="I25" s="47"/>
      <c r="J25" s="118">
        <f>'Enterprise Income Stmt Exh 7'!J26</f>
        <v>-7525</v>
      </c>
      <c r="K25" s="118">
        <f>'Enterprise Income Stmt Exh 7'!K26</f>
        <v>-8895</v>
      </c>
      <c r="L25" s="118">
        <f>'Enterprise Income Stmt Exh 7'!L26</f>
        <v>-6386</v>
      </c>
      <c r="M25" s="118">
        <f>'Enterprise Income Stmt Exh 7'!M26</f>
        <v>1735</v>
      </c>
      <c r="N25" s="118">
        <f>'Enterprise Income Stmt Exh 7'!N26</f>
        <v>2457</v>
      </c>
      <c r="O25" s="118">
        <f>'Enterprise Income Stmt Exh 7'!O26</f>
        <v>0</v>
      </c>
      <c r="P25" s="20"/>
      <c r="Q25" s="20"/>
      <c r="R25" s="20"/>
      <c r="S25" s="20"/>
      <c r="T25" s="20"/>
      <c r="U25" s="4"/>
      <c r="V25" s="4"/>
      <c r="W25" s="4"/>
      <c r="X25" s="4"/>
      <c r="Y25" s="4"/>
      <c r="Z25" s="4"/>
      <c r="AA25" s="4"/>
      <c r="AB25" s="4"/>
      <c r="AC25" s="4"/>
      <c r="AD25" s="4"/>
      <c r="AE25" s="4"/>
      <c r="AF25" s="4"/>
      <c r="AG25" s="4"/>
      <c r="AH25" s="4"/>
      <c r="AI25" s="4"/>
      <c r="AJ25" s="4"/>
      <c r="AK25" s="4"/>
      <c r="AL25" s="4"/>
      <c r="AM25" s="4"/>
      <c r="AN25" s="4"/>
      <c r="AO25" s="4"/>
    </row>
    <row r="26" spans="1:41" ht="30" customHeight="1" x14ac:dyDescent="0.2">
      <c r="A26" s="39" t="s">
        <v>332</v>
      </c>
      <c r="B26" s="47"/>
      <c r="C26" s="47"/>
      <c r="D26" s="47"/>
      <c r="E26" s="47"/>
      <c r="F26" s="47"/>
      <c r="G26" s="47"/>
      <c r="H26" s="47"/>
      <c r="I26" s="47"/>
      <c r="J26" s="20"/>
      <c r="K26" s="20"/>
      <c r="L26" s="20"/>
      <c r="M26" s="20"/>
      <c r="N26" s="20"/>
      <c r="O26" s="20"/>
      <c r="P26" s="20"/>
      <c r="Q26" s="20"/>
      <c r="R26" s="20"/>
      <c r="S26" s="20"/>
      <c r="T26" s="20"/>
      <c r="U26" s="4"/>
      <c r="V26" s="4"/>
      <c r="W26" s="4"/>
      <c r="X26" s="4"/>
      <c r="Y26" s="4"/>
      <c r="Z26" s="4"/>
      <c r="AA26" s="4"/>
      <c r="AB26" s="4"/>
      <c r="AC26" s="4"/>
      <c r="AD26" s="4"/>
      <c r="AE26" s="4"/>
      <c r="AF26" s="4"/>
      <c r="AG26" s="4"/>
      <c r="AH26" s="4"/>
      <c r="AI26" s="4"/>
      <c r="AJ26" s="4"/>
      <c r="AK26" s="4"/>
      <c r="AL26" s="4"/>
      <c r="AM26" s="4"/>
      <c r="AN26" s="4"/>
      <c r="AO26" s="4"/>
    </row>
    <row r="27" spans="1:41" s="7" customFormat="1" ht="18" customHeight="1" x14ac:dyDescent="0.2">
      <c r="A27" s="48" t="s">
        <v>26</v>
      </c>
      <c r="B27" s="32">
        <f>J27+M27</f>
        <v>678</v>
      </c>
      <c r="C27" s="32">
        <f>K27+N27</f>
        <v>782</v>
      </c>
      <c r="D27" s="32">
        <f>L27+O27</f>
        <v>266</v>
      </c>
      <c r="E27" s="32">
        <v>0</v>
      </c>
      <c r="F27" s="32">
        <f>SUM(B27:E27)</f>
        <v>1726</v>
      </c>
      <c r="G27" s="90"/>
      <c r="H27" s="90"/>
      <c r="I27" s="90"/>
      <c r="J27" s="90">
        <f>+'Enterprise Income Stmt Exh 7'!J22</f>
        <v>315</v>
      </c>
      <c r="K27" s="90">
        <f>+'Enterprise Income Stmt Exh 7'!K22</f>
        <v>372</v>
      </c>
      <c r="L27" s="90">
        <f>+'Enterprise Income Stmt Exh 7'!L22</f>
        <v>266</v>
      </c>
      <c r="M27" s="90">
        <f>+'Enterprise Income Stmt Exh 7'!M22</f>
        <v>363</v>
      </c>
      <c r="N27" s="90">
        <f>+'Enterprise Income Stmt Exh 7'!N22</f>
        <v>410</v>
      </c>
      <c r="O27" s="90">
        <f>+'Enterprise Income Stmt Exh 7'!O22</f>
        <v>0</v>
      </c>
      <c r="P27" s="30"/>
      <c r="Q27" s="30"/>
      <c r="R27" s="30"/>
      <c r="S27" s="30"/>
      <c r="T27" s="30"/>
      <c r="U27" s="88"/>
      <c r="V27" s="88"/>
      <c r="W27" s="88"/>
      <c r="X27" s="88"/>
      <c r="Y27" s="88"/>
      <c r="Z27" s="88"/>
      <c r="AA27" s="88"/>
      <c r="AB27" s="88"/>
      <c r="AC27" s="88"/>
      <c r="AD27" s="88"/>
      <c r="AE27" s="88"/>
      <c r="AF27" s="88"/>
      <c r="AG27" s="88"/>
      <c r="AH27" s="88"/>
      <c r="AI27" s="88"/>
      <c r="AJ27" s="88"/>
      <c r="AK27" s="88"/>
      <c r="AL27" s="88"/>
      <c r="AM27" s="88"/>
      <c r="AN27" s="88"/>
      <c r="AO27" s="88"/>
    </row>
    <row r="28" spans="1:41" ht="20.100000000000001" customHeight="1" x14ac:dyDescent="0.2">
      <c r="A28" s="240" t="s">
        <v>331</v>
      </c>
      <c r="B28" s="47"/>
      <c r="C28" s="47"/>
      <c r="D28" s="47"/>
      <c r="E28" s="47"/>
      <c r="F28" s="47"/>
      <c r="G28" s="47"/>
      <c r="H28" s="47"/>
      <c r="I28" s="47"/>
      <c r="J28" s="20"/>
      <c r="K28" s="20"/>
      <c r="L28" s="20"/>
      <c r="M28" s="20"/>
      <c r="N28" s="20"/>
      <c r="O28" s="20"/>
      <c r="P28" s="20"/>
      <c r="Q28" s="20"/>
      <c r="R28" s="20"/>
      <c r="S28" s="20"/>
      <c r="T28" s="20"/>
      <c r="U28" s="4"/>
      <c r="V28" s="4"/>
      <c r="W28" s="4"/>
      <c r="X28" s="4"/>
      <c r="Y28" s="4"/>
      <c r="Z28" s="4"/>
      <c r="AA28" s="4"/>
      <c r="AB28" s="4"/>
      <c r="AC28" s="4"/>
      <c r="AD28" s="4"/>
      <c r="AE28" s="4"/>
      <c r="AF28" s="4"/>
      <c r="AG28" s="4"/>
      <c r="AH28" s="4"/>
      <c r="AI28" s="4"/>
      <c r="AJ28" s="4"/>
      <c r="AK28" s="4"/>
      <c r="AL28" s="4"/>
      <c r="AM28" s="4"/>
      <c r="AN28" s="4"/>
      <c r="AO28" s="4"/>
    </row>
    <row r="29" spans="1:41" ht="30" x14ac:dyDescent="0.2">
      <c r="A29" s="69" t="s">
        <v>355</v>
      </c>
      <c r="B29" s="32">
        <f t="shared" ref="B29:D33" si="6">J29+M29</f>
        <v>-3103</v>
      </c>
      <c r="C29" s="32">
        <f t="shared" si="6"/>
        <v>-3771</v>
      </c>
      <c r="D29" s="32">
        <f t="shared" si="6"/>
        <v>-2402</v>
      </c>
      <c r="E29" s="32">
        <v>0</v>
      </c>
      <c r="F29" s="32">
        <f>SUM(B29:E29)</f>
        <v>-9276</v>
      </c>
      <c r="G29" s="47"/>
      <c r="H29" s="47"/>
      <c r="I29" s="47"/>
      <c r="J29" s="90">
        <f>-2829-1</f>
        <v>-2830</v>
      </c>
      <c r="K29" s="90">
        <f>-3343-1</f>
        <v>-3344</v>
      </c>
      <c r="L29" s="90">
        <f>-2401-1</f>
        <v>-2402</v>
      </c>
      <c r="M29" s="90">
        <v>-273</v>
      </c>
      <c r="N29" s="90">
        <v>-427</v>
      </c>
      <c r="O29" s="90">
        <v>0</v>
      </c>
      <c r="P29" s="20"/>
      <c r="Q29" s="20"/>
      <c r="R29" s="20"/>
      <c r="S29" s="20"/>
      <c r="T29" s="20"/>
      <c r="U29" s="4"/>
      <c r="V29" s="4"/>
      <c r="W29" s="4"/>
      <c r="X29" s="4"/>
      <c r="Y29" s="4"/>
      <c r="Z29" s="4"/>
      <c r="AA29" s="4"/>
      <c r="AB29" s="4"/>
      <c r="AC29" s="4"/>
      <c r="AD29" s="4"/>
      <c r="AE29" s="4"/>
      <c r="AF29" s="4"/>
      <c r="AG29" s="4"/>
      <c r="AH29" s="4"/>
      <c r="AI29" s="4"/>
      <c r="AJ29" s="4"/>
      <c r="AK29" s="4"/>
      <c r="AL29" s="4"/>
      <c r="AM29" s="4"/>
      <c r="AN29" s="4"/>
      <c r="AO29" s="4"/>
    </row>
    <row r="30" spans="1:41" ht="15" x14ac:dyDescent="0.2">
      <c r="A30" s="69" t="s">
        <v>356</v>
      </c>
      <c r="B30" s="32">
        <f>J30+M30</f>
        <v>-1977</v>
      </c>
      <c r="C30" s="32">
        <f t="shared" si="6"/>
        <v>-2579</v>
      </c>
      <c r="D30" s="32">
        <f t="shared" si="6"/>
        <v>-784</v>
      </c>
      <c r="E30" s="32">
        <v>0</v>
      </c>
      <c r="F30" s="32">
        <f>SUM(B30:E30)</f>
        <v>-5340</v>
      </c>
      <c r="G30" s="47"/>
      <c r="H30" s="47"/>
      <c r="I30" s="47"/>
      <c r="J30" s="90">
        <v>-924</v>
      </c>
      <c r="K30" s="90">
        <v>-1092</v>
      </c>
      <c r="L30" s="90">
        <v>-784</v>
      </c>
      <c r="M30" s="90">
        <f>-991-62</f>
        <v>-1053</v>
      </c>
      <c r="N30" s="90">
        <f>-1549+62</f>
        <v>-1487</v>
      </c>
      <c r="O30" s="90">
        <v>0</v>
      </c>
      <c r="P30" s="20"/>
      <c r="Q30" s="20"/>
      <c r="R30" s="20"/>
      <c r="S30" s="20"/>
      <c r="T30" s="20"/>
      <c r="U30" s="4"/>
      <c r="V30" s="4"/>
      <c r="W30" s="4"/>
      <c r="X30" s="4"/>
      <c r="Y30" s="4"/>
      <c r="Z30" s="4"/>
      <c r="AA30" s="4"/>
      <c r="AB30" s="4"/>
      <c r="AC30" s="4"/>
      <c r="AD30" s="4"/>
      <c r="AE30" s="4"/>
      <c r="AF30" s="4"/>
      <c r="AG30" s="4"/>
      <c r="AH30" s="4"/>
      <c r="AI30" s="4"/>
      <c r="AJ30" s="4"/>
      <c r="AK30" s="4"/>
      <c r="AL30" s="4"/>
      <c r="AM30" s="4"/>
      <c r="AN30" s="4"/>
      <c r="AO30" s="4"/>
    </row>
    <row r="31" spans="1:41" ht="15" x14ac:dyDescent="0.2">
      <c r="A31" s="69" t="s">
        <v>357</v>
      </c>
      <c r="B31" s="32">
        <f t="shared" si="6"/>
        <v>-337</v>
      </c>
      <c r="C31" s="32">
        <f t="shared" si="6"/>
        <v>-428</v>
      </c>
      <c r="D31" s="32">
        <f t="shared" si="6"/>
        <v>-220</v>
      </c>
      <c r="E31" s="32">
        <v>0</v>
      </c>
      <c r="F31" s="32">
        <f>SUM(B31:E31)</f>
        <v>-985</v>
      </c>
      <c r="G31" s="47"/>
      <c r="H31" s="47"/>
      <c r="I31" s="47"/>
      <c r="J31" s="90">
        <v>-259</v>
      </c>
      <c r="K31" s="90">
        <v>-306</v>
      </c>
      <c r="L31" s="90">
        <v>-220</v>
      </c>
      <c r="M31" s="90">
        <v>-78</v>
      </c>
      <c r="N31" s="90">
        <v>-122</v>
      </c>
      <c r="O31" s="90">
        <v>0</v>
      </c>
      <c r="P31" s="20"/>
      <c r="Q31" s="20"/>
      <c r="R31" s="20"/>
      <c r="S31" s="20"/>
      <c r="T31" s="20"/>
      <c r="U31" s="4"/>
      <c r="V31" s="4"/>
      <c r="W31" s="4"/>
      <c r="X31" s="4"/>
      <c r="Y31" s="4"/>
      <c r="Z31" s="4"/>
      <c r="AA31" s="4"/>
      <c r="AB31" s="4"/>
      <c r="AC31" s="4"/>
      <c r="AD31" s="4"/>
      <c r="AE31" s="4"/>
      <c r="AF31" s="4"/>
      <c r="AG31" s="4"/>
      <c r="AH31" s="4"/>
      <c r="AI31" s="4"/>
      <c r="AJ31" s="4"/>
      <c r="AK31" s="4"/>
      <c r="AL31" s="4"/>
      <c r="AM31" s="4"/>
      <c r="AN31" s="4"/>
      <c r="AO31" s="4"/>
    </row>
    <row r="32" spans="1:41" ht="30" customHeight="1" x14ac:dyDescent="0.2">
      <c r="A32" s="69" t="s">
        <v>360</v>
      </c>
      <c r="B32" s="32">
        <f t="shared" si="6"/>
        <v>-606</v>
      </c>
      <c r="C32" s="32">
        <f t="shared" si="6"/>
        <v>-698</v>
      </c>
      <c r="D32" s="32">
        <f t="shared" si="6"/>
        <v>-542</v>
      </c>
      <c r="E32" s="32">
        <v>0</v>
      </c>
      <c r="F32" s="32">
        <f>SUM(B32:E32)</f>
        <v>-1846</v>
      </c>
      <c r="G32" s="47"/>
      <c r="H32" s="47"/>
      <c r="I32" s="47"/>
      <c r="J32" s="90">
        <f>-646+1</f>
        <v>-645</v>
      </c>
      <c r="K32" s="90">
        <f>-760+1</f>
        <v>-759</v>
      </c>
      <c r="L32" s="90">
        <f>-543+1</f>
        <v>-542</v>
      </c>
      <c r="M32" s="90">
        <v>39</v>
      </c>
      <c r="N32" s="90">
        <v>61</v>
      </c>
      <c r="O32" s="90">
        <v>0</v>
      </c>
      <c r="P32" s="20"/>
      <c r="Q32" s="20"/>
      <c r="R32" s="20"/>
      <c r="S32" s="20"/>
      <c r="T32" s="20"/>
      <c r="U32" s="4"/>
      <c r="V32" s="4"/>
      <c r="W32" s="4"/>
      <c r="X32" s="4"/>
      <c r="Y32" s="4"/>
      <c r="Z32" s="4"/>
      <c r="AA32" s="4"/>
      <c r="AB32" s="4"/>
      <c r="AC32" s="4"/>
      <c r="AD32" s="4"/>
      <c r="AE32" s="4"/>
      <c r="AF32" s="4"/>
      <c r="AG32" s="4"/>
      <c r="AH32" s="4"/>
      <c r="AI32" s="4"/>
      <c r="AJ32" s="4"/>
      <c r="AK32" s="4"/>
      <c r="AL32" s="4"/>
      <c r="AM32" s="4"/>
      <c r="AN32" s="4"/>
      <c r="AO32" s="4"/>
    </row>
    <row r="33" spans="1:41" ht="36" customHeight="1" x14ac:dyDescent="0.35">
      <c r="A33" s="69" t="s">
        <v>164</v>
      </c>
      <c r="B33" s="35">
        <f>J33+M33</f>
        <v>2</v>
      </c>
      <c r="C33" s="35">
        <f t="shared" si="6"/>
        <v>-13</v>
      </c>
      <c r="D33" s="35">
        <f t="shared" si="6"/>
        <v>34</v>
      </c>
      <c r="E33" s="35">
        <v>0</v>
      </c>
      <c r="F33" s="35">
        <f>SUM(B33:E33)</f>
        <v>23</v>
      </c>
      <c r="G33" s="47"/>
      <c r="H33" s="47"/>
      <c r="I33" s="47"/>
      <c r="J33" s="143">
        <v>41</v>
      </c>
      <c r="K33" s="143">
        <v>48</v>
      </c>
      <c r="L33" s="143">
        <v>34</v>
      </c>
      <c r="M33" s="143">
        <v>-39</v>
      </c>
      <c r="N33" s="143">
        <v>-61</v>
      </c>
      <c r="O33" s="143">
        <v>0</v>
      </c>
      <c r="P33" s="20"/>
      <c r="Q33" s="20"/>
      <c r="R33" s="20"/>
      <c r="S33" s="20"/>
      <c r="T33" s="20"/>
      <c r="U33" s="4"/>
      <c r="V33" s="4"/>
      <c r="W33" s="4"/>
      <c r="X33" s="4"/>
      <c r="Y33" s="4"/>
      <c r="Z33" s="4"/>
      <c r="AA33" s="4"/>
      <c r="AB33" s="4"/>
      <c r="AC33" s="4"/>
      <c r="AD33" s="4"/>
      <c r="AE33" s="4"/>
      <c r="AF33" s="4"/>
      <c r="AG33" s="4"/>
      <c r="AH33" s="4"/>
      <c r="AI33" s="4"/>
      <c r="AJ33" s="4"/>
      <c r="AK33" s="4"/>
      <c r="AL33" s="4"/>
      <c r="AM33" s="4"/>
      <c r="AN33" s="4"/>
      <c r="AO33" s="4"/>
    </row>
    <row r="34" spans="1:41" ht="20.100000000000001" customHeight="1" x14ac:dyDescent="0.35">
      <c r="A34" s="70" t="s">
        <v>211</v>
      </c>
      <c r="B34" s="94">
        <f>SUM(B27:B33)</f>
        <v>-5343</v>
      </c>
      <c r="C34" s="94">
        <f>SUM(C27:C33)</f>
        <v>-6707</v>
      </c>
      <c r="D34" s="94">
        <f>SUM(D27:D33)</f>
        <v>-3648</v>
      </c>
      <c r="E34" s="94">
        <f>SUM(E27:E33)</f>
        <v>0</v>
      </c>
      <c r="F34" s="94">
        <f>SUM(F27:F33)</f>
        <v>-15698</v>
      </c>
      <c r="G34" s="47"/>
      <c r="H34" s="274" t="str">
        <f>IF(F34-SUM(J34:O34)=0,"Yes",F34-SUM(J34:O34))</f>
        <v>Yes</v>
      </c>
      <c r="I34" s="47"/>
      <c r="J34" s="94">
        <f t="shared" ref="J34:O34" si="7">SUM(J27:J33)</f>
        <v>-4302</v>
      </c>
      <c r="K34" s="94">
        <f t="shared" si="7"/>
        <v>-5081</v>
      </c>
      <c r="L34" s="94">
        <f t="shared" si="7"/>
        <v>-3648</v>
      </c>
      <c r="M34" s="94">
        <f t="shared" si="7"/>
        <v>-1041</v>
      </c>
      <c r="N34" s="94">
        <f t="shared" si="7"/>
        <v>-1626</v>
      </c>
      <c r="O34" s="94">
        <f t="shared" si="7"/>
        <v>0</v>
      </c>
      <c r="P34" s="20"/>
      <c r="Q34" s="20"/>
      <c r="R34" s="20"/>
      <c r="S34" s="20"/>
      <c r="T34" s="20"/>
      <c r="U34" s="4"/>
      <c r="V34" s="4"/>
      <c r="W34" s="4"/>
      <c r="X34" s="4"/>
      <c r="Y34" s="4"/>
      <c r="Z34" s="4"/>
      <c r="AA34" s="4"/>
      <c r="AB34" s="4"/>
      <c r="AC34" s="4"/>
      <c r="AD34" s="4"/>
      <c r="AE34" s="4"/>
      <c r="AF34" s="4"/>
      <c r="AG34" s="4"/>
      <c r="AH34" s="4"/>
      <c r="AI34" s="4"/>
      <c r="AJ34" s="4"/>
      <c r="AK34" s="4"/>
      <c r="AL34" s="4"/>
      <c r="AM34" s="4"/>
      <c r="AN34" s="4"/>
      <c r="AO34" s="4"/>
    </row>
    <row r="35" spans="1:41" ht="35.1" customHeight="1" x14ac:dyDescent="0.35">
      <c r="A35" s="69" t="s">
        <v>56</v>
      </c>
      <c r="B35" s="95">
        <f>+B34+B25</f>
        <v>-11133</v>
      </c>
      <c r="C35" s="95">
        <f>+C34+C25</f>
        <v>-13145</v>
      </c>
      <c r="D35" s="95">
        <f>+D34+D25</f>
        <v>-10034</v>
      </c>
      <c r="E35" s="95">
        <f>+E34+E25</f>
        <v>0</v>
      </c>
      <c r="F35" s="95">
        <f>+F34+F25</f>
        <v>-34312</v>
      </c>
      <c r="G35" s="29"/>
      <c r="H35" s="274" t="str">
        <f>IF(F35-SUM(J35:O35)=0,"Yes",F35-SUM(J35:O35))</f>
        <v>Yes</v>
      </c>
      <c r="I35" s="29"/>
      <c r="J35" s="95">
        <f t="shared" ref="J35:O35" si="8">+J34+J25</f>
        <v>-11827</v>
      </c>
      <c r="K35" s="95">
        <f t="shared" si="8"/>
        <v>-13976</v>
      </c>
      <c r="L35" s="95">
        <f t="shared" si="8"/>
        <v>-10034</v>
      </c>
      <c r="M35" s="95">
        <f t="shared" si="8"/>
        <v>694</v>
      </c>
      <c r="N35" s="95">
        <f t="shared" si="8"/>
        <v>831</v>
      </c>
      <c r="O35" s="95">
        <f t="shared" si="8"/>
        <v>0</v>
      </c>
      <c r="P35" s="20"/>
      <c r="Q35" s="20"/>
      <c r="R35" s="20"/>
      <c r="S35" s="20"/>
      <c r="T35" s="20"/>
      <c r="U35" s="4"/>
      <c r="V35" s="4"/>
      <c r="W35" s="4"/>
      <c r="X35" s="4"/>
      <c r="Y35" s="4"/>
      <c r="Z35" s="4"/>
      <c r="AA35" s="4"/>
      <c r="AB35" s="4"/>
      <c r="AC35" s="4"/>
      <c r="AD35" s="4"/>
      <c r="AE35" s="4"/>
      <c r="AF35" s="4"/>
      <c r="AG35" s="4"/>
      <c r="AH35" s="4"/>
      <c r="AI35" s="4"/>
      <c r="AJ35" s="4"/>
      <c r="AK35" s="4"/>
      <c r="AL35" s="4"/>
      <c r="AM35" s="4"/>
      <c r="AN35" s="4"/>
      <c r="AO35" s="4"/>
    </row>
    <row r="36" spans="1:41" ht="15" x14ac:dyDescent="0.2">
      <c r="A36" s="20"/>
      <c r="B36" s="47"/>
      <c r="C36" s="47"/>
      <c r="D36" s="47"/>
      <c r="E36" s="47"/>
      <c r="F36" s="47"/>
      <c r="G36" s="47"/>
      <c r="H36" s="47"/>
      <c r="I36" s="47"/>
      <c r="J36" s="20"/>
      <c r="K36" s="20"/>
      <c r="L36" s="20"/>
      <c r="M36" s="20"/>
      <c r="N36" s="20"/>
      <c r="O36" s="20"/>
      <c r="P36" s="20"/>
      <c r="Q36" s="20"/>
      <c r="R36" s="20"/>
      <c r="S36" s="20"/>
      <c r="T36" s="20"/>
      <c r="U36" s="4"/>
      <c r="V36" s="4"/>
      <c r="W36" s="4"/>
      <c r="X36" s="4"/>
      <c r="Y36" s="4"/>
      <c r="Z36" s="4"/>
      <c r="AA36" s="4"/>
      <c r="AB36" s="4"/>
      <c r="AC36" s="4"/>
      <c r="AD36" s="4"/>
      <c r="AE36" s="4"/>
      <c r="AF36" s="4"/>
      <c r="AG36" s="4"/>
      <c r="AH36" s="4"/>
      <c r="AI36" s="4"/>
      <c r="AJ36" s="4"/>
      <c r="AK36" s="4"/>
      <c r="AL36" s="4"/>
      <c r="AM36" s="4"/>
      <c r="AN36" s="4"/>
      <c r="AO36" s="4"/>
    </row>
    <row r="37" spans="1:41" ht="15" x14ac:dyDescent="0.2">
      <c r="A37" s="20" t="s">
        <v>180</v>
      </c>
      <c r="B37" s="20"/>
      <c r="C37" s="20"/>
      <c r="D37" s="20"/>
      <c r="E37" s="20"/>
      <c r="F37" s="20"/>
      <c r="G37" s="20"/>
      <c r="H37" s="20"/>
      <c r="I37" s="20"/>
      <c r="J37" s="20"/>
      <c r="K37" s="20"/>
      <c r="L37" s="20"/>
      <c r="M37" s="20"/>
      <c r="N37" s="20"/>
      <c r="O37" s="20"/>
      <c r="P37" s="20"/>
      <c r="Q37" s="20"/>
      <c r="R37" s="20"/>
      <c r="S37" s="20"/>
      <c r="T37" s="20"/>
      <c r="U37" s="4"/>
      <c r="V37" s="4"/>
      <c r="W37" s="4"/>
      <c r="X37" s="4"/>
      <c r="Y37" s="4"/>
      <c r="Z37" s="4"/>
      <c r="AA37" s="4"/>
      <c r="AB37" s="4"/>
      <c r="AC37" s="4"/>
      <c r="AD37" s="4"/>
      <c r="AE37" s="4"/>
      <c r="AF37" s="4"/>
      <c r="AG37" s="4"/>
      <c r="AH37" s="4"/>
      <c r="AI37" s="4"/>
      <c r="AJ37" s="4"/>
      <c r="AK37" s="4"/>
      <c r="AL37" s="4"/>
      <c r="AM37" s="4"/>
      <c r="AN37" s="4"/>
      <c r="AO37" s="4"/>
    </row>
    <row r="38" spans="1:41" ht="15" x14ac:dyDescent="0.2">
      <c r="A38" s="20"/>
      <c r="B38" s="20"/>
      <c r="C38" s="20"/>
      <c r="D38" s="20"/>
      <c r="E38" s="20"/>
      <c r="F38" s="20"/>
      <c r="G38" s="20"/>
      <c r="H38" s="20"/>
      <c r="I38" s="20"/>
      <c r="J38" s="20"/>
      <c r="K38" s="20"/>
      <c r="L38" s="20"/>
      <c r="M38" s="20"/>
      <c r="N38" s="20"/>
      <c r="O38" s="20"/>
      <c r="P38" s="20"/>
      <c r="Q38" s="20"/>
      <c r="R38" s="20"/>
      <c r="S38" s="20"/>
      <c r="T38" s="20"/>
      <c r="U38" s="4"/>
      <c r="V38" s="4"/>
      <c r="W38" s="4"/>
      <c r="X38" s="4"/>
      <c r="Y38" s="4"/>
      <c r="Z38" s="4"/>
      <c r="AA38" s="4"/>
      <c r="AB38" s="4"/>
      <c r="AC38" s="4"/>
      <c r="AD38" s="4"/>
      <c r="AE38" s="4"/>
      <c r="AF38" s="4"/>
      <c r="AG38" s="4"/>
      <c r="AH38" s="4"/>
      <c r="AI38" s="4"/>
      <c r="AJ38" s="4"/>
      <c r="AK38" s="4"/>
      <c r="AL38" s="4"/>
      <c r="AM38" s="4"/>
      <c r="AN38" s="4"/>
      <c r="AO38" s="4"/>
    </row>
    <row r="39" spans="1:41" ht="15" x14ac:dyDescent="0.2">
      <c r="A39" s="20"/>
      <c r="B39" s="20"/>
      <c r="C39" s="20"/>
      <c r="D39" s="20"/>
      <c r="E39" s="20"/>
      <c r="F39" s="20"/>
      <c r="G39" s="20"/>
      <c r="H39" s="20"/>
      <c r="I39" s="20"/>
      <c r="J39" s="20"/>
      <c r="K39" s="20"/>
      <c r="L39" s="20"/>
      <c r="M39" s="20"/>
      <c r="N39" s="20"/>
      <c r="O39" s="20"/>
      <c r="P39" s="20"/>
      <c r="Q39" s="20"/>
      <c r="R39" s="20"/>
      <c r="S39" s="20"/>
      <c r="T39" s="20"/>
      <c r="U39" s="4"/>
      <c r="V39" s="4"/>
      <c r="W39" s="4"/>
      <c r="X39" s="4"/>
      <c r="Y39" s="4"/>
      <c r="Z39" s="4"/>
      <c r="AA39" s="4"/>
      <c r="AB39" s="4"/>
      <c r="AC39" s="4"/>
      <c r="AD39" s="4"/>
      <c r="AE39" s="4"/>
      <c r="AF39" s="4"/>
      <c r="AG39" s="4"/>
      <c r="AH39" s="4"/>
      <c r="AI39" s="4"/>
      <c r="AJ39" s="4"/>
      <c r="AK39" s="4"/>
      <c r="AL39" s="4"/>
      <c r="AM39" s="4"/>
      <c r="AN39" s="4"/>
      <c r="AO39" s="4"/>
    </row>
    <row r="40" spans="1:41" ht="15" x14ac:dyDescent="0.2">
      <c r="A40" s="20"/>
      <c r="B40" s="20"/>
      <c r="C40" s="20"/>
      <c r="D40" s="20"/>
      <c r="E40" s="20"/>
      <c r="F40" s="20"/>
      <c r="G40" s="20"/>
      <c r="H40" s="20"/>
      <c r="I40" s="20"/>
      <c r="J40" s="20"/>
      <c r="K40" s="20"/>
      <c r="L40" s="20"/>
      <c r="M40" s="20"/>
      <c r="N40" s="20"/>
      <c r="O40" s="20"/>
      <c r="P40" s="20"/>
      <c r="Q40" s="20"/>
      <c r="R40" s="20"/>
      <c r="S40" s="20"/>
      <c r="T40" s="20"/>
      <c r="U40" s="4"/>
      <c r="V40" s="4"/>
      <c r="W40" s="4"/>
      <c r="X40" s="4"/>
      <c r="Y40" s="4"/>
      <c r="Z40" s="4"/>
      <c r="AA40" s="4"/>
      <c r="AB40" s="4"/>
      <c r="AC40" s="4"/>
      <c r="AD40" s="4"/>
      <c r="AE40" s="4"/>
      <c r="AF40" s="4"/>
      <c r="AG40" s="4"/>
      <c r="AH40" s="4"/>
      <c r="AI40" s="4"/>
      <c r="AJ40" s="4"/>
      <c r="AK40" s="4"/>
      <c r="AL40" s="4"/>
      <c r="AM40" s="4"/>
      <c r="AN40" s="4"/>
      <c r="AO40" s="4"/>
    </row>
    <row r="41" spans="1:41" ht="15" x14ac:dyDescent="0.2">
      <c r="A41" s="20"/>
      <c r="B41" s="20"/>
      <c r="C41" s="20"/>
      <c r="D41" s="20"/>
      <c r="E41" s="20"/>
      <c r="F41" s="20"/>
      <c r="G41" s="20"/>
      <c r="H41" s="20"/>
      <c r="I41" s="20"/>
      <c r="J41" s="20"/>
      <c r="K41" s="20"/>
      <c r="L41" s="20"/>
      <c r="M41" s="20"/>
      <c r="N41" s="20"/>
      <c r="O41" s="20"/>
      <c r="P41" s="20"/>
      <c r="Q41" s="20"/>
      <c r="R41" s="20"/>
      <c r="S41" s="20"/>
      <c r="T41" s="20"/>
      <c r="U41" s="4"/>
      <c r="V41" s="4"/>
      <c r="W41" s="4"/>
      <c r="X41" s="4"/>
      <c r="Y41" s="4"/>
      <c r="Z41" s="4"/>
      <c r="AA41" s="4"/>
      <c r="AB41" s="4"/>
      <c r="AC41" s="4"/>
      <c r="AD41" s="4"/>
      <c r="AE41" s="4"/>
      <c r="AF41" s="4"/>
      <c r="AG41" s="4"/>
      <c r="AH41" s="4"/>
      <c r="AI41" s="4"/>
      <c r="AJ41" s="4"/>
      <c r="AK41" s="4"/>
      <c r="AL41" s="4"/>
      <c r="AM41" s="4"/>
      <c r="AN41" s="4"/>
      <c r="AO41" s="4"/>
    </row>
    <row r="42" spans="1:41" ht="15" x14ac:dyDescent="0.2">
      <c r="A42" s="20"/>
      <c r="B42" s="20"/>
      <c r="C42" s="20"/>
      <c r="D42" s="20"/>
      <c r="E42" s="20"/>
      <c r="F42" s="20"/>
      <c r="G42" s="20"/>
      <c r="H42" s="20"/>
      <c r="I42" s="20"/>
      <c r="J42" s="20"/>
      <c r="K42" s="20"/>
      <c r="L42" s="20"/>
      <c r="M42" s="20"/>
      <c r="N42" s="20"/>
      <c r="O42" s="20"/>
      <c r="P42" s="20"/>
      <c r="Q42" s="20"/>
      <c r="R42" s="20"/>
      <c r="S42" s="20"/>
      <c r="T42" s="20"/>
      <c r="U42" s="4"/>
      <c r="V42" s="4"/>
      <c r="W42" s="4"/>
      <c r="X42" s="4"/>
      <c r="Y42" s="4"/>
      <c r="Z42" s="4"/>
      <c r="AA42" s="4"/>
      <c r="AB42" s="4"/>
      <c r="AC42" s="4"/>
      <c r="AD42" s="4"/>
      <c r="AE42" s="4"/>
      <c r="AF42" s="4"/>
      <c r="AG42" s="4"/>
      <c r="AH42" s="4"/>
      <c r="AI42" s="4"/>
      <c r="AJ42" s="4"/>
      <c r="AK42" s="4"/>
      <c r="AL42" s="4"/>
      <c r="AM42" s="4"/>
      <c r="AN42" s="4"/>
      <c r="AO42" s="4"/>
    </row>
    <row r="43" spans="1:41" ht="15" x14ac:dyDescent="0.2">
      <c r="A43" s="20"/>
      <c r="B43" s="20"/>
      <c r="C43" s="20"/>
      <c r="D43" s="20"/>
      <c r="E43" s="20"/>
      <c r="F43" s="20"/>
      <c r="G43" s="20"/>
      <c r="H43" s="20"/>
      <c r="I43" s="20"/>
      <c r="J43" s="20"/>
      <c r="K43" s="20"/>
      <c r="L43" s="20"/>
      <c r="M43" s="20"/>
      <c r="N43" s="20"/>
      <c r="O43" s="20"/>
      <c r="P43" s="20"/>
      <c r="Q43" s="20"/>
      <c r="R43" s="20"/>
      <c r="S43" s="20"/>
      <c r="T43" s="20"/>
      <c r="U43" s="4"/>
      <c r="V43" s="4"/>
      <c r="W43" s="4"/>
      <c r="X43" s="4"/>
      <c r="Y43" s="4"/>
      <c r="Z43" s="4"/>
      <c r="AA43" s="4"/>
      <c r="AB43" s="4"/>
      <c r="AC43" s="4"/>
      <c r="AD43" s="4"/>
      <c r="AE43" s="4"/>
      <c r="AF43" s="4"/>
      <c r="AG43" s="4"/>
      <c r="AH43" s="4"/>
      <c r="AI43" s="4"/>
      <c r="AJ43" s="4"/>
      <c r="AK43" s="4"/>
      <c r="AL43" s="4"/>
      <c r="AM43" s="4"/>
      <c r="AN43" s="4"/>
      <c r="AO43" s="4"/>
    </row>
    <row r="44" spans="1:41" ht="33.950000000000003" customHeight="1" x14ac:dyDescent="0.2">
      <c r="A44" s="39" t="s">
        <v>214</v>
      </c>
      <c r="B44" s="68" t="str">
        <f>+IF('Enterprise Net Position Exh 6'!B12-B23=0,"Yes",'Enterprise Net Position Exh 6'!B12-B23)</f>
        <v>Yes</v>
      </c>
      <c r="C44" s="68" t="str">
        <f>+IF('Enterprise Net Position Exh 6'!C12-C23=0,"Yes",'Enterprise Net Position Exh 6'!C12-C23)</f>
        <v>Yes</v>
      </c>
      <c r="D44" s="68" t="str">
        <f>+IF('Enterprise Net Position Exh 6'!D12-D23=0,"Yes",'Enterprise Net Position Exh 6'!D12-D23)</f>
        <v>Yes</v>
      </c>
      <c r="E44" s="68" t="str">
        <f>+IF('Enterprise Net Position Exh 6'!E12-E23=0,"Yes",'Enterprise Net Position Exh 6'!E12-E23)</f>
        <v>Yes</v>
      </c>
      <c r="F44" s="68" t="str">
        <f>+IF('Enterprise Net Position Exh 6'!F12-F23=0,"Yes",'Enterprise Net Position Exh 6'!F12-F23)</f>
        <v>Yes</v>
      </c>
      <c r="G44" s="68"/>
      <c r="H44" s="68"/>
      <c r="I44" s="68"/>
      <c r="J44" s="68" t="str">
        <f>+IF('Enterprise Net Position Exh 6'!K12-J23=0,"Yes",'Enterprise Net Position Exh 6'!K12-J23)</f>
        <v>Yes</v>
      </c>
      <c r="K44" s="68" t="str">
        <f>+IF('Enterprise Net Position Exh 6'!L12-K23=0,"Yes",'Enterprise Net Position Exh 6'!L12-K23)</f>
        <v>Yes</v>
      </c>
      <c r="L44" s="68" t="str">
        <f>+IF('Enterprise Net Position Exh 6'!M12-L23=0,"Yes",'Enterprise Net Position Exh 6'!M12-L23)</f>
        <v>Yes</v>
      </c>
      <c r="M44" s="68" t="str">
        <f>+IF('Enterprise Net Position Exh 6'!N12-M23=0,"Yes",'Enterprise Net Position Exh 6'!N12-M23)</f>
        <v>Yes</v>
      </c>
      <c r="N44" s="68" t="str">
        <f>+IF('Enterprise Net Position Exh 6'!O12-N23=0,"Yes",'Enterprise Net Position Exh 6'!O12-N23)</f>
        <v>Yes</v>
      </c>
      <c r="O44" s="68" t="str">
        <f>+IF('Enterprise Net Position Exh 6'!P12-O23=0,"Yes",'Enterprise Net Position Exh 6'!P12-O23)</f>
        <v>Yes</v>
      </c>
      <c r="P44" s="20"/>
      <c r="Q44" s="20"/>
      <c r="R44" s="20"/>
      <c r="S44" s="20"/>
      <c r="T44" s="20"/>
      <c r="U44" s="4"/>
      <c r="V44" s="4"/>
      <c r="W44" s="4"/>
      <c r="X44" s="4"/>
      <c r="Y44" s="4"/>
      <c r="Z44" s="4"/>
      <c r="AA44" s="4"/>
      <c r="AB44" s="4"/>
      <c r="AC44" s="4"/>
      <c r="AD44" s="4"/>
      <c r="AE44" s="4"/>
      <c r="AF44" s="4"/>
      <c r="AG44" s="4"/>
      <c r="AH44" s="4"/>
      <c r="AI44" s="4"/>
      <c r="AJ44" s="4"/>
      <c r="AK44" s="4"/>
      <c r="AL44" s="4"/>
      <c r="AM44" s="4"/>
      <c r="AN44" s="4"/>
      <c r="AO44" s="4"/>
    </row>
    <row r="45" spans="1:41" ht="33.950000000000003" customHeight="1" x14ac:dyDescent="0.2">
      <c r="A45" s="39" t="s">
        <v>215</v>
      </c>
      <c r="B45" s="68" t="str">
        <f>IF('Enterprise Income Stmt Exh 7'!B26-'Enterprise Cash Flow Exh 8'!B25=0,"Yes",('Enterprise Income Stmt Exh 7'!B26-'Enterprise Cash Flow Exh 8'!B25))</f>
        <v>Yes</v>
      </c>
      <c r="C45" s="68" t="str">
        <f>IF('Enterprise Income Stmt Exh 7'!C26-'Enterprise Cash Flow Exh 8'!C25=0,"Yes",('Enterprise Income Stmt Exh 7'!C26-'Enterprise Cash Flow Exh 8'!C25))</f>
        <v>Yes</v>
      </c>
      <c r="D45" s="68" t="str">
        <f>IF('Enterprise Income Stmt Exh 7'!D26-'Enterprise Cash Flow Exh 8'!D25=0,"Yes",('Enterprise Income Stmt Exh 7'!D26-'Enterprise Cash Flow Exh 8'!D25))</f>
        <v>Yes</v>
      </c>
      <c r="E45" s="68" t="str">
        <f>IF('Enterprise Income Stmt Exh 7'!E26-'Enterprise Cash Flow Exh 8'!E25=0,"Yes",('Enterprise Income Stmt Exh 7'!E26-'Enterprise Cash Flow Exh 8'!E25))</f>
        <v>Yes</v>
      </c>
      <c r="F45" s="68" t="str">
        <f>IF('Enterprise Income Stmt Exh 7'!F26-'Enterprise Cash Flow Exh 8'!F25=0,"Yes",('Enterprise Income Stmt Exh 7'!F26-'Enterprise Cash Flow Exh 8'!F25))</f>
        <v>Yes</v>
      </c>
      <c r="G45" s="68"/>
      <c r="H45" s="68"/>
      <c r="I45" s="68"/>
      <c r="J45" s="68" t="str">
        <f>IF('Enterprise Income Stmt Exh 7'!J26-'Enterprise Cash Flow Exh 8'!J25=0,"Yes",('Enterprise Income Stmt Exh 7'!J26-'Enterprise Cash Flow Exh 8'!J25))</f>
        <v>Yes</v>
      </c>
      <c r="K45" s="68" t="str">
        <f>IF('Enterprise Income Stmt Exh 7'!K26-'Enterprise Cash Flow Exh 8'!K25=0,"Yes",('Enterprise Income Stmt Exh 7'!K26-'Enterprise Cash Flow Exh 8'!K25))</f>
        <v>Yes</v>
      </c>
      <c r="L45" s="68" t="str">
        <f>IF('Enterprise Income Stmt Exh 7'!L26-'Enterprise Cash Flow Exh 8'!L25=0,"Yes",('Enterprise Income Stmt Exh 7'!L26-'Enterprise Cash Flow Exh 8'!L25))</f>
        <v>Yes</v>
      </c>
      <c r="M45" s="68" t="str">
        <f>IF('Enterprise Income Stmt Exh 7'!M26-'Enterprise Cash Flow Exh 8'!M25=0,"Yes",('Enterprise Income Stmt Exh 7'!M26-'Enterprise Cash Flow Exh 8'!M25))</f>
        <v>Yes</v>
      </c>
      <c r="N45" s="68" t="str">
        <f>IF('Enterprise Income Stmt Exh 7'!N26-'Enterprise Cash Flow Exh 8'!N25=0,"Yes",('Enterprise Income Stmt Exh 7'!N26-'Enterprise Cash Flow Exh 8'!N25))</f>
        <v>Yes</v>
      </c>
      <c r="O45" s="68" t="str">
        <f>IF('Enterprise Income Stmt Exh 7'!O26-'Enterprise Cash Flow Exh 8'!O25=0,"Yes",('Enterprise Income Stmt Exh 7'!O26-'Enterprise Cash Flow Exh 8'!O25))</f>
        <v>Yes</v>
      </c>
      <c r="P45" s="20"/>
      <c r="Q45" s="20"/>
      <c r="R45" s="20"/>
      <c r="S45" s="20"/>
      <c r="T45" s="20"/>
      <c r="U45" s="4"/>
      <c r="V45" s="4"/>
      <c r="W45" s="4"/>
      <c r="X45" s="4"/>
      <c r="Y45" s="4"/>
      <c r="Z45" s="4"/>
      <c r="AA45" s="4"/>
      <c r="AB45" s="4"/>
      <c r="AC45" s="4"/>
      <c r="AD45" s="4"/>
      <c r="AE45" s="4"/>
      <c r="AF45" s="4"/>
      <c r="AG45" s="4"/>
      <c r="AH45" s="4"/>
      <c r="AI45" s="4"/>
      <c r="AJ45" s="4"/>
      <c r="AK45" s="4"/>
      <c r="AL45" s="4"/>
      <c r="AM45" s="4"/>
      <c r="AN45" s="4"/>
      <c r="AO45" s="4"/>
    </row>
    <row r="46" spans="1:41" ht="33.950000000000003" customHeight="1" x14ac:dyDescent="0.2">
      <c r="A46" s="39" t="s">
        <v>265</v>
      </c>
      <c r="B46" s="68" t="str">
        <f>IF(B14-B35=0,"Yes",B14-B35)</f>
        <v>Yes</v>
      </c>
      <c r="C46" s="68" t="str">
        <f>IF(C14-C35=0,"Yes",C14-C35)</f>
        <v>Yes</v>
      </c>
      <c r="D46" s="68" t="str">
        <f>IF(D14-D35=0,"Yes",D14-D35)</f>
        <v>Yes</v>
      </c>
      <c r="E46" s="68" t="str">
        <f>IF(E14-E35=0,"Yes",E14-E35)</f>
        <v>Yes</v>
      </c>
      <c r="F46" s="68" t="str">
        <f>IF(F14-F35=0,"Yes",F14-F35)</f>
        <v>Yes</v>
      </c>
      <c r="G46" s="68"/>
      <c r="H46" s="68"/>
      <c r="I46" s="68"/>
      <c r="J46" s="68" t="str">
        <f t="shared" ref="J46:O46" si="9">IF(J14-J35=0,"Yes",J14-J35)</f>
        <v>Yes</v>
      </c>
      <c r="K46" s="68" t="str">
        <f t="shared" si="9"/>
        <v>Yes</v>
      </c>
      <c r="L46" s="68" t="str">
        <f t="shared" si="9"/>
        <v>Yes</v>
      </c>
      <c r="M46" s="68" t="str">
        <f t="shared" si="9"/>
        <v>Yes</v>
      </c>
      <c r="N46" s="68" t="str">
        <f t="shared" si="9"/>
        <v>Yes</v>
      </c>
      <c r="O46" s="68" t="str">
        <f t="shared" si="9"/>
        <v>Yes</v>
      </c>
      <c r="P46" s="20"/>
      <c r="Q46" s="20"/>
      <c r="R46" s="20"/>
      <c r="S46" s="20"/>
      <c r="T46" s="20"/>
      <c r="U46" s="4"/>
      <c r="V46" s="4"/>
      <c r="W46" s="4"/>
      <c r="X46" s="4"/>
      <c r="Y46" s="4"/>
      <c r="Z46" s="4"/>
      <c r="AA46" s="4"/>
      <c r="AB46" s="4"/>
      <c r="AC46" s="4"/>
      <c r="AD46" s="4"/>
      <c r="AE46" s="4"/>
      <c r="AF46" s="4"/>
      <c r="AG46" s="4"/>
      <c r="AH46" s="4"/>
      <c r="AI46" s="4"/>
      <c r="AJ46" s="4"/>
      <c r="AK46" s="4"/>
      <c r="AL46" s="4"/>
      <c r="AM46" s="4"/>
      <c r="AN46" s="4"/>
      <c r="AO46" s="4"/>
    </row>
    <row r="47" spans="1:41" ht="30" x14ac:dyDescent="0.2">
      <c r="A47" s="91" t="s">
        <v>385</v>
      </c>
      <c r="B47" s="68" t="str">
        <f>IF(B27-'Enterprise Income Stmt Exh 7'!B22=0,"Yes",B27-'Enterprise Income Stmt Exh 7'!B22)</f>
        <v>Yes</v>
      </c>
      <c r="C47" s="68" t="str">
        <f>IF(C27-'Enterprise Income Stmt Exh 7'!C22=0,"Yes",C27-'Enterprise Income Stmt Exh 7'!C22)</f>
        <v>Yes</v>
      </c>
      <c r="D47" s="68" t="str">
        <f>IF(D27-'Enterprise Income Stmt Exh 7'!D22=0,"Yes",D27-'Enterprise Income Stmt Exh 7'!D22)</f>
        <v>Yes</v>
      </c>
      <c r="E47" s="68" t="str">
        <f>IF(E27-'Enterprise Income Stmt Exh 7'!E22=0,"Yes",E27-'Enterprise Income Stmt Exh 7'!E22)</f>
        <v>Yes</v>
      </c>
      <c r="F47" s="68" t="str">
        <f>IF(F27-'Enterprise Income Stmt Exh 7'!F22=0,"Yes",F27-'Enterprise Income Stmt Exh 7'!F22)</f>
        <v>Yes</v>
      </c>
      <c r="G47" s="20"/>
      <c r="H47" s="20"/>
      <c r="I47" s="20"/>
      <c r="J47" s="20"/>
      <c r="K47" s="20"/>
      <c r="L47" s="20"/>
      <c r="M47" s="20"/>
      <c r="N47" s="20"/>
      <c r="O47" s="20"/>
      <c r="P47" s="20"/>
      <c r="Q47" s="20"/>
      <c r="R47" s="20"/>
      <c r="S47" s="20"/>
      <c r="T47" s="20"/>
      <c r="U47" s="4"/>
      <c r="V47" s="4"/>
      <c r="W47" s="4"/>
      <c r="X47" s="4"/>
      <c r="Y47" s="4"/>
      <c r="Z47" s="4"/>
      <c r="AA47" s="4"/>
      <c r="AB47" s="4"/>
      <c r="AC47" s="4"/>
      <c r="AD47" s="4"/>
      <c r="AE47" s="4"/>
      <c r="AF47" s="4"/>
      <c r="AG47" s="4"/>
      <c r="AH47" s="4"/>
      <c r="AI47" s="4"/>
      <c r="AJ47" s="4"/>
      <c r="AK47" s="4"/>
      <c r="AL47" s="4"/>
      <c r="AM47" s="4"/>
      <c r="AN47" s="4"/>
      <c r="AO47" s="4"/>
    </row>
    <row r="48" spans="1:41" ht="15" x14ac:dyDescent="0.2">
      <c r="A48" s="20"/>
      <c r="B48" s="20"/>
      <c r="C48" s="20"/>
      <c r="D48" s="20"/>
      <c r="E48" s="20"/>
      <c r="F48" s="20"/>
      <c r="G48" s="20"/>
      <c r="H48" s="20"/>
      <c r="I48" s="20"/>
      <c r="J48" s="20"/>
      <c r="K48" s="20"/>
      <c r="L48" s="20"/>
      <c r="M48" s="20"/>
      <c r="N48" s="20"/>
      <c r="O48" s="20"/>
      <c r="P48" s="20"/>
      <c r="Q48" s="20"/>
      <c r="R48" s="20"/>
      <c r="S48" s="20"/>
      <c r="T48" s="20"/>
      <c r="U48" s="4"/>
      <c r="V48" s="4"/>
      <c r="W48" s="4"/>
      <c r="X48" s="4"/>
      <c r="Y48" s="4"/>
      <c r="Z48" s="4"/>
      <c r="AA48" s="4"/>
      <c r="AB48" s="4"/>
      <c r="AC48" s="4"/>
      <c r="AD48" s="4"/>
      <c r="AE48" s="4"/>
      <c r="AF48" s="4"/>
      <c r="AG48" s="4"/>
      <c r="AH48" s="4"/>
      <c r="AI48" s="4"/>
      <c r="AJ48" s="4"/>
      <c r="AK48" s="4"/>
      <c r="AL48" s="4"/>
      <c r="AM48" s="4"/>
      <c r="AN48" s="4"/>
      <c r="AO48" s="4"/>
    </row>
    <row r="49" spans="1:41" ht="15" x14ac:dyDescent="0.2">
      <c r="A49" s="20"/>
      <c r="B49" s="20"/>
      <c r="C49" s="20"/>
      <c r="D49" s="20"/>
      <c r="E49" s="20"/>
      <c r="F49" s="20"/>
      <c r="G49" s="20"/>
      <c r="H49" s="20"/>
      <c r="I49" s="20"/>
      <c r="J49" s="20"/>
      <c r="K49" s="20"/>
      <c r="L49" s="20"/>
      <c r="M49" s="20"/>
      <c r="N49" s="20"/>
      <c r="O49" s="20"/>
      <c r="P49" s="20"/>
      <c r="Q49" s="20"/>
      <c r="R49" s="20"/>
      <c r="S49" s="20"/>
      <c r="T49" s="20"/>
      <c r="U49" s="4"/>
      <c r="V49" s="4"/>
      <c r="W49" s="4"/>
      <c r="X49" s="4"/>
      <c r="Y49" s="4"/>
      <c r="Z49" s="4"/>
      <c r="AA49" s="4"/>
      <c r="AB49" s="4"/>
      <c r="AC49" s="4"/>
      <c r="AD49" s="4"/>
      <c r="AE49" s="4"/>
      <c r="AF49" s="4"/>
      <c r="AG49" s="4"/>
      <c r="AH49" s="4"/>
      <c r="AI49" s="4"/>
      <c r="AJ49" s="4"/>
      <c r="AK49" s="4"/>
      <c r="AL49" s="4"/>
      <c r="AM49" s="4"/>
      <c r="AN49" s="4"/>
      <c r="AO49" s="4"/>
    </row>
    <row r="50" spans="1:41" ht="15" x14ac:dyDescent="0.2">
      <c r="A50" s="20"/>
      <c r="B50" s="20"/>
      <c r="C50" s="20"/>
      <c r="D50" s="20"/>
      <c r="E50" s="20"/>
      <c r="F50" s="20"/>
      <c r="G50" s="20"/>
      <c r="H50" s="20"/>
      <c r="I50" s="20"/>
      <c r="J50" s="20"/>
      <c r="K50" s="20"/>
      <c r="L50" s="20"/>
      <c r="M50" s="20"/>
      <c r="N50" s="20"/>
      <c r="O50" s="20"/>
      <c r="P50" s="20"/>
      <c r="Q50" s="20"/>
      <c r="R50" s="20"/>
      <c r="S50" s="20"/>
      <c r="T50" s="20"/>
      <c r="U50" s="4"/>
      <c r="V50" s="4"/>
      <c r="W50" s="4"/>
      <c r="X50" s="4"/>
      <c r="Y50" s="4"/>
      <c r="Z50" s="4"/>
      <c r="AA50" s="4"/>
      <c r="AB50" s="4"/>
      <c r="AC50" s="4"/>
      <c r="AD50" s="4"/>
      <c r="AE50" s="4"/>
      <c r="AF50" s="4"/>
      <c r="AG50" s="4"/>
      <c r="AH50" s="4"/>
      <c r="AI50" s="4"/>
      <c r="AJ50" s="4"/>
      <c r="AK50" s="4"/>
      <c r="AL50" s="4"/>
      <c r="AM50" s="4"/>
      <c r="AN50" s="4"/>
      <c r="AO50" s="4"/>
    </row>
    <row r="51" spans="1:41" ht="15" x14ac:dyDescent="0.2">
      <c r="A51" s="80"/>
      <c r="B51" s="81"/>
      <c r="C51" s="81"/>
      <c r="D51" s="81"/>
      <c r="E51" s="20"/>
      <c r="F51" s="20"/>
      <c r="G51" s="20"/>
      <c r="H51" s="20"/>
      <c r="I51" s="20"/>
      <c r="J51" s="20"/>
      <c r="K51" s="20"/>
      <c r="L51" s="20"/>
      <c r="M51" s="20"/>
      <c r="N51" s="20"/>
      <c r="O51" s="20"/>
      <c r="P51" s="20"/>
      <c r="Q51" s="20"/>
      <c r="R51" s="20"/>
      <c r="S51" s="20"/>
      <c r="T51" s="20"/>
      <c r="U51" s="4"/>
      <c r="V51" s="4"/>
      <c r="W51" s="4"/>
      <c r="X51" s="4"/>
      <c r="Y51" s="4"/>
      <c r="Z51" s="4"/>
      <c r="AA51" s="4"/>
      <c r="AB51" s="4"/>
      <c r="AC51" s="4"/>
      <c r="AD51" s="4"/>
      <c r="AE51" s="4"/>
      <c r="AF51" s="4"/>
      <c r="AG51" s="4"/>
      <c r="AH51" s="4"/>
      <c r="AI51" s="4"/>
      <c r="AJ51" s="4"/>
      <c r="AK51" s="4"/>
      <c r="AL51" s="4"/>
      <c r="AM51" s="4"/>
      <c r="AN51" s="4"/>
      <c r="AO51" s="4"/>
    </row>
    <row r="52" spans="1:41" ht="15" x14ac:dyDescent="0.2">
      <c r="A52" s="20"/>
      <c r="B52" s="20"/>
      <c r="C52" s="20"/>
      <c r="D52" s="20"/>
      <c r="E52" s="20"/>
      <c r="F52" s="20"/>
      <c r="G52" s="20"/>
      <c r="H52" s="20"/>
      <c r="I52" s="20"/>
      <c r="J52" s="20"/>
      <c r="K52" s="20"/>
      <c r="L52" s="20"/>
      <c r="M52" s="20"/>
      <c r="N52" s="20"/>
      <c r="O52" s="20"/>
      <c r="P52" s="20"/>
      <c r="Q52" s="20"/>
      <c r="R52" s="20"/>
      <c r="S52" s="20"/>
      <c r="T52" s="20"/>
      <c r="U52" s="4"/>
      <c r="V52" s="4"/>
      <c r="W52" s="4"/>
      <c r="X52" s="4"/>
      <c r="Y52" s="4"/>
      <c r="Z52" s="4"/>
      <c r="AA52" s="4"/>
      <c r="AB52" s="4"/>
      <c r="AC52" s="4"/>
      <c r="AD52" s="4"/>
      <c r="AE52" s="4"/>
      <c r="AF52" s="4"/>
      <c r="AG52" s="4"/>
      <c r="AH52" s="4"/>
      <c r="AI52" s="4"/>
      <c r="AJ52" s="4"/>
      <c r="AK52" s="4"/>
      <c r="AL52" s="4"/>
      <c r="AM52" s="4"/>
      <c r="AN52" s="4"/>
      <c r="AO52" s="4"/>
    </row>
    <row r="53" spans="1:41" ht="15" x14ac:dyDescent="0.2">
      <c r="A53" s="20"/>
      <c r="B53" s="20"/>
      <c r="C53" s="20"/>
      <c r="D53" s="20"/>
      <c r="E53" s="20"/>
      <c r="F53" s="20"/>
      <c r="G53" s="20"/>
      <c r="H53" s="20"/>
      <c r="I53" s="20"/>
      <c r="J53" s="20"/>
      <c r="K53" s="20"/>
      <c r="L53" s="20"/>
      <c r="M53" s="20"/>
      <c r="N53" s="20"/>
      <c r="O53" s="20"/>
      <c r="P53" s="20"/>
      <c r="Q53" s="20"/>
      <c r="R53" s="20"/>
      <c r="S53" s="20"/>
      <c r="T53" s="20"/>
      <c r="U53" s="4"/>
      <c r="V53" s="4"/>
      <c r="W53" s="4"/>
      <c r="X53" s="4"/>
      <c r="Y53" s="4"/>
      <c r="Z53" s="4"/>
      <c r="AA53" s="4"/>
      <c r="AB53" s="4"/>
      <c r="AC53" s="4"/>
      <c r="AD53" s="4"/>
      <c r="AE53" s="4"/>
      <c r="AF53" s="4"/>
      <c r="AG53" s="4"/>
      <c r="AH53" s="4"/>
      <c r="AI53" s="4"/>
      <c r="AJ53" s="4"/>
      <c r="AK53" s="4"/>
      <c r="AL53" s="4"/>
      <c r="AM53" s="4"/>
      <c r="AN53" s="4"/>
      <c r="AO53" s="4"/>
    </row>
    <row r="54" spans="1:41" ht="15" x14ac:dyDescent="0.2">
      <c r="A54" s="20"/>
      <c r="B54" s="20"/>
      <c r="C54" s="20"/>
      <c r="D54" s="20"/>
      <c r="E54" s="20"/>
      <c r="F54" s="20"/>
      <c r="G54" s="20"/>
      <c r="H54" s="20"/>
      <c r="I54" s="20"/>
      <c r="J54" s="20"/>
      <c r="K54" s="20"/>
      <c r="L54" s="20"/>
      <c r="M54" s="20"/>
      <c r="N54" s="20"/>
      <c r="O54" s="20"/>
      <c r="P54" s="20"/>
      <c r="Q54" s="20"/>
      <c r="R54" s="20"/>
      <c r="S54" s="20"/>
      <c r="T54" s="20"/>
      <c r="U54" s="4"/>
      <c r="V54" s="4"/>
      <c r="W54" s="4"/>
      <c r="X54" s="4"/>
      <c r="Y54" s="4"/>
      <c r="Z54" s="4"/>
      <c r="AA54" s="4"/>
      <c r="AB54" s="4"/>
      <c r="AC54" s="4"/>
      <c r="AD54" s="4"/>
      <c r="AE54" s="4"/>
      <c r="AF54" s="4"/>
      <c r="AG54" s="4"/>
      <c r="AH54" s="4"/>
      <c r="AI54" s="4"/>
      <c r="AJ54" s="4"/>
      <c r="AK54" s="4"/>
      <c r="AL54" s="4"/>
      <c r="AM54" s="4"/>
      <c r="AN54" s="4"/>
      <c r="AO54" s="4"/>
    </row>
    <row r="55" spans="1:41" ht="15" x14ac:dyDescent="0.2">
      <c r="A55" s="20"/>
      <c r="B55" s="20"/>
      <c r="C55" s="20"/>
      <c r="D55" s="20"/>
      <c r="E55" s="20"/>
      <c r="F55" s="20"/>
      <c r="G55" s="20"/>
      <c r="H55" s="20"/>
      <c r="I55" s="20"/>
      <c r="J55" s="20"/>
      <c r="K55" s="20"/>
      <c r="L55" s="20"/>
      <c r="M55" s="20"/>
      <c r="N55" s="20"/>
      <c r="O55" s="20"/>
      <c r="P55" s="20"/>
      <c r="Q55" s="20"/>
      <c r="R55" s="20"/>
      <c r="S55" s="20"/>
      <c r="T55" s="20"/>
      <c r="U55" s="4"/>
      <c r="V55" s="4"/>
      <c r="W55" s="4"/>
      <c r="X55" s="4"/>
      <c r="Y55" s="4"/>
      <c r="Z55" s="4"/>
      <c r="AA55" s="4"/>
      <c r="AB55" s="4"/>
      <c r="AC55" s="4"/>
      <c r="AD55" s="4"/>
      <c r="AE55" s="4"/>
      <c r="AF55" s="4"/>
      <c r="AG55" s="4"/>
      <c r="AH55" s="4"/>
      <c r="AI55" s="4"/>
      <c r="AJ55" s="4"/>
      <c r="AK55" s="4"/>
      <c r="AL55" s="4"/>
      <c r="AM55" s="4"/>
      <c r="AN55" s="4"/>
      <c r="AO55" s="4"/>
    </row>
    <row r="56" spans="1:41" ht="15" x14ac:dyDescent="0.2">
      <c r="A56" s="20"/>
      <c r="B56" s="20"/>
      <c r="C56" s="20"/>
      <c r="D56" s="20"/>
      <c r="E56" s="20"/>
      <c r="F56" s="20"/>
      <c r="G56" s="20"/>
      <c r="H56" s="20"/>
      <c r="I56" s="20"/>
      <c r="J56" s="20"/>
      <c r="K56" s="20"/>
      <c r="L56" s="20"/>
      <c r="M56" s="20"/>
      <c r="N56" s="20"/>
      <c r="O56" s="20"/>
      <c r="P56" s="20"/>
      <c r="Q56" s="20"/>
      <c r="R56" s="20"/>
      <c r="S56" s="20"/>
      <c r="T56" s="20"/>
      <c r="U56" s="4"/>
      <c r="V56" s="4"/>
      <c r="W56" s="4"/>
      <c r="X56" s="4"/>
      <c r="Y56" s="4"/>
      <c r="Z56" s="4"/>
      <c r="AA56" s="4"/>
      <c r="AB56" s="4"/>
      <c r="AC56" s="4"/>
      <c r="AD56" s="4"/>
      <c r="AE56" s="4"/>
      <c r="AF56" s="4"/>
      <c r="AG56" s="4"/>
      <c r="AH56" s="4"/>
      <c r="AI56" s="4"/>
      <c r="AJ56" s="4"/>
      <c r="AK56" s="4"/>
      <c r="AL56" s="4"/>
      <c r="AM56" s="4"/>
      <c r="AN56" s="4"/>
      <c r="AO56" s="4"/>
    </row>
    <row r="57" spans="1:41" ht="15" x14ac:dyDescent="0.2">
      <c r="A57" s="20"/>
      <c r="B57" s="20"/>
      <c r="C57" s="20"/>
      <c r="D57" s="20"/>
      <c r="E57" s="20"/>
      <c r="F57" s="20"/>
      <c r="G57" s="20"/>
      <c r="H57" s="20"/>
      <c r="I57" s="20"/>
      <c r="J57" s="20"/>
      <c r="K57" s="20"/>
      <c r="L57" s="20"/>
      <c r="M57" s="20"/>
      <c r="N57" s="20"/>
      <c r="O57" s="20"/>
      <c r="P57" s="20"/>
      <c r="Q57" s="20"/>
      <c r="R57" s="20"/>
      <c r="S57" s="20"/>
      <c r="T57" s="20"/>
      <c r="U57" s="4"/>
      <c r="V57" s="4"/>
      <c r="W57" s="4"/>
      <c r="X57" s="4"/>
      <c r="Y57" s="4"/>
      <c r="Z57" s="4"/>
      <c r="AA57" s="4"/>
      <c r="AB57" s="4"/>
      <c r="AC57" s="4"/>
      <c r="AD57" s="4"/>
      <c r="AE57" s="4"/>
      <c r="AF57" s="4"/>
      <c r="AG57" s="4"/>
      <c r="AH57" s="4"/>
      <c r="AI57" s="4"/>
      <c r="AJ57" s="4"/>
      <c r="AK57" s="4"/>
      <c r="AL57" s="4"/>
      <c r="AM57" s="4"/>
      <c r="AN57" s="4"/>
      <c r="AO57" s="4"/>
    </row>
    <row r="58" spans="1:41" ht="15" x14ac:dyDescent="0.2">
      <c r="A58" s="20"/>
      <c r="B58" s="20"/>
      <c r="C58" s="20"/>
      <c r="D58" s="20"/>
      <c r="E58" s="20"/>
      <c r="F58" s="20"/>
      <c r="G58" s="20"/>
      <c r="H58" s="20"/>
      <c r="I58" s="20"/>
      <c r="J58" s="20"/>
      <c r="K58" s="20"/>
      <c r="L58" s="20"/>
      <c r="M58" s="20"/>
      <c r="N58" s="20"/>
      <c r="O58" s="20"/>
      <c r="P58" s="20"/>
      <c r="Q58" s="20"/>
      <c r="R58" s="20"/>
      <c r="S58" s="20"/>
      <c r="T58" s="20"/>
      <c r="U58" s="4"/>
      <c r="V58" s="4"/>
      <c r="W58" s="4"/>
      <c r="X58" s="4"/>
      <c r="Y58" s="4"/>
      <c r="Z58" s="4"/>
      <c r="AA58" s="4"/>
      <c r="AB58" s="4"/>
      <c r="AC58" s="4"/>
      <c r="AD58" s="4"/>
      <c r="AE58" s="4"/>
      <c r="AF58" s="4"/>
      <c r="AG58" s="4"/>
      <c r="AH58" s="4"/>
      <c r="AI58" s="4"/>
      <c r="AJ58" s="4"/>
      <c r="AK58" s="4"/>
      <c r="AL58" s="4"/>
      <c r="AM58" s="4"/>
      <c r="AN58" s="4"/>
      <c r="AO58" s="4"/>
    </row>
    <row r="59" spans="1:41" ht="15" x14ac:dyDescent="0.2">
      <c r="A59" s="20"/>
      <c r="B59" s="20"/>
      <c r="C59" s="20"/>
      <c r="D59" s="20"/>
      <c r="E59" s="20"/>
      <c r="F59" s="20"/>
      <c r="G59" s="20"/>
      <c r="H59" s="20"/>
      <c r="I59" s="20"/>
      <c r="J59" s="20"/>
      <c r="K59" s="20"/>
      <c r="L59" s="20"/>
      <c r="M59" s="20"/>
      <c r="N59" s="20"/>
      <c r="O59" s="20"/>
      <c r="P59" s="20"/>
      <c r="Q59" s="20"/>
      <c r="R59" s="20"/>
      <c r="S59" s="20"/>
      <c r="T59" s="20"/>
      <c r="U59" s="4"/>
      <c r="V59" s="4"/>
      <c r="W59" s="4"/>
      <c r="X59" s="4"/>
      <c r="Y59" s="4"/>
      <c r="Z59" s="4"/>
      <c r="AA59" s="4"/>
      <c r="AB59" s="4"/>
      <c r="AC59" s="4"/>
      <c r="AD59" s="4"/>
      <c r="AE59" s="4"/>
      <c r="AF59" s="4"/>
      <c r="AG59" s="4"/>
      <c r="AH59" s="4"/>
      <c r="AI59" s="4"/>
      <c r="AJ59" s="4"/>
      <c r="AK59" s="4"/>
      <c r="AL59" s="4"/>
      <c r="AM59" s="4"/>
      <c r="AN59" s="4"/>
      <c r="AO59" s="4"/>
    </row>
    <row r="60" spans="1:41" ht="15" x14ac:dyDescent="0.2">
      <c r="A60" s="20"/>
      <c r="B60" s="20"/>
      <c r="C60" s="20"/>
      <c r="D60" s="20"/>
      <c r="E60" s="20"/>
      <c r="F60" s="20"/>
      <c r="G60" s="20"/>
      <c r="H60" s="20"/>
      <c r="I60" s="20"/>
      <c r="J60" s="20"/>
      <c r="K60" s="20"/>
      <c r="L60" s="20"/>
      <c r="M60" s="20"/>
      <c r="N60" s="20"/>
      <c r="O60" s="20"/>
      <c r="P60" s="20"/>
      <c r="Q60" s="20"/>
      <c r="R60" s="20"/>
      <c r="S60" s="20"/>
      <c r="T60" s="20"/>
      <c r="U60" s="4"/>
      <c r="V60" s="4"/>
      <c r="W60" s="4"/>
      <c r="X60" s="4"/>
      <c r="Y60" s="4"/>
      <c r="Z60" s="4"/>
      <c r="AA60" s="4"/>
      <c r="AB60" s="4"/>
      <c r="AC60" s="4"/>
      <c r="AD60" s="4"/>
      <c r="AE60" s="4"/>
      <c r="AF60" s="4"/>
      <c r="AG60" s="4"/>
      <c r="AH60" s="4"/>
      <c r="AI60" s="4"/>
      <c r="AJ60" s="4"/>
      <c r="AK60" s="4"/>
      <c r="AL60" s="4"/>
      <c r="AM60" s="4"/>
      <c r="AN60" s="4"/>
      <c r="AO60" s="4"/>
    </row>
    <row r="61" spans="1:41" ht="15" x14ac:dyDescent="0.2">
      <c r="A61" s="20"/>
      <c r="B61" s="20"/>
      <c r="C61" s="20"/>
      <c r="D61" s="20"/>
      <c r="E61" s="20"/>
      <c r="F61" s="20"/>
      <c r="G61" s="20"/>
      <c r="H61" s="20"/>
      <c r="I61" s="20"/>
      <c r="J61" s="20"/>
      <c r="K61" s="20"/>
      <c r="L61" s="20"/>
      <c r="M61" s="20"/>
      <c r="N61" s="20"/>
      <c r="O61" s="20"/>
      <c r="P61" s="20"/>
      <c r="Q61" s="20"/>
      <c r="R61" s="20"/>
      <c r="S61" s="20"/>
      <c r="T61" s="20"/>
      <c r="U61" s="4"/>
      <c r="V61" s="4"/>
      <c r="W61" s="4"/>
      <c r="X61" s="4"/>
      <c r="Y61" s="4"/>
      <c r="Z61" s="4"/>
      <c r="AA61" s="4"/>
      <c r="AB61" s="4"/>
      <c r="AC61" s="4"/>
      <c r="AD61" s="4"/>
      <c r="AE61" s="4"/>
      <c r="AF61" s="4"/>
      <c r="AG61" s="4"/>
      <c r="AH61" s="4"/>
      <c r="AI61" s="4"/>
      <c r="AJ61" s="4"/>
      <c r="AK61" s="4"/>
      <c r="AL61" s="4"/>
      <c r="AM61" s="4"/>
      <c r="AN61" s="4"/>
      <c r="AO61" s="4"/>
    </row>
    <row r="62" spans="1:41" ht="15" x14ac:dyDescent="0.2">
      <c r="A62" s="20"/>
      <c r="B62" s="20"/>
      <c r="C62" s="20"/>
      <c r="D62" s="20"/>
      <c r="E62" s="20"/>
      <c r="F62" s="20"/>
      <c r="G62" s="20"/>
      <c r="H62" s="20"/>
      <c r="I62" s="20"/>
      <c r="J62" s="20"/>
      <c r="K62" s="20"/>
      <c r="L62" s="20"/>
      <c r="M62" s="20"/>
      <c r="N62" s="20"/>
      <c r="O62" s="20"/>
      <c r="P62" s="20"/>
      <c r="Q62" s="20"/>
      <c r="R62" s="20"/>
      <c r="S62" s="20"/>
      <c r="T62" s="20"/>
      <c r="U62" s="4"/>
      <c r="V62" s="4"/>
      <c r="W62" s="4"/>
      <c r="X62" s="4"/>
      <c r="Y62" s="4"/>
      <c r="Z62" s="4"/>
      <c r="AA62" s="4"/>
      <c r="AB62" s="4"/>
      <c r="AC62" s="4"/>
      <c r="AD62" s="4"/>
      <c r="AE62" s="4"/>
      <c r="AF62" s="4"/>
      <c r="AG62" s="4"/>
      <c r="AH62" s="4"/>
      <c r="AI62" s="4"/>
      <c r="AJ62" s="4"/>
      <c r="AK62" s="4"/>
      <c r="AL62" s="4"/>
      <c r="AM62" s="4"/>
      <c r="AN62" s="4"/>
      <c r="AO62" s="4"/>
    </row>
    <row r="63" spans="1:41" ht="15" x14ac:dyDescent="0.2">
      <c r="A63" s="20"/>
      <c r="B63" s="20"/>
      <c r="C63" s="20"/>
      <c r="D63" s="20"/>
      <c r="E63" s="20"/>
      <c r="F63" s="20"/>
      <c r="G63" s="20"/>
      <c r="H63" s="20"/>
      <c r="I63" s="20"/>
      <c r="J63" s="20"/>
      <c r="K63" s="20"/>
      <c r="L63" s="20"/>
      <c r="M63" s="20"/>
      <c r="N63" s="20"/>
      <c r="O63" s="20"/>
      <c r="P63" s="20"/>
      <c r="Q63" s="20"/>
      <c r="R63" s="20"/>
      <c r="S63" s="20"/>
      <c r="T63" s="20"/>
      <c r="U63" s="4"/>
      <c r="V63" s="4"/>
      <c r="W63" s="4"/>
      <c r="X63" s="4"/>
      <c r="Y63" s="4"/>
      <c r="Z63" s="4"/>
      <c r="AA63" s="4"/>
      <c r="AB63" s="4"/>
      <c r="AC63" s="4"/>
      <c r="AD63" s="4"/>
      <c r="AE63" s="4"/>
      <c r="AF63" s="4"/>
      <c r="AG63" s="4"/>
      <c r="AH63" s="4"/>
      <c r="AI63" s="4"/>
      <c r="AJ63" s="4"/>
      <c r="AK63" s="4"/>
      <c r="AL63" s="4"/>
      <c r="AM63" s="4"/>
      <c r="AN63" s="4"/>
      <c r="AO63" s="4"/>
    </row>
    <row r="64" spans="1:41" ht="15" x14ac:dyDescent="0.2">
      <c r="A64" s="20"/>
      <c r="B64" s="20"/>
      <c r="C64" s="20"/>
      <c r="D64" s="20"/>
      <c r="E64" s="20"/>
      <c r="F64" s="20"/>
      <c r="G64" s="20"/>
      <c r="H64" s="20"/>
      <c r="I64" s="20"/>
      <c r="J64" s="20"/>
      <c r="K64" s="20"/>
      <c r="L64" s="20"/>
      <c r="M64" s="20"/>
      <c r="N64" s="20"/>
      <c r="O64" s="20"/>
      <c r="P64" s="20"/>
      <c r="Q64" s="20"/>
      <c r="R64" s="20"/>
      <c r="S64" s="20"/>
      <c r="T64" s="20"/>
      <c r="U64" s="4"/>
      <c r="V64" s="4"/>
      <c r="W64" s="4"/>
      <c r="X64" s="4"/>
      <c r="Y64" s="4"/>
      <c r="Z64" s="4"/>
      <c r="AA64" s="4"/>
      <c r="AB64" s="4"/>
      <c r="AC64" s="4"/>
      <c r="AD64" s="4"/>
      <c r="AE64" s="4"/>
      <c r="AF64" s="4"/>
      <c r="AG64" s="4"/>
      <c r="AH64" s="4"/>
      <c r="AI64" s="4"/>
      <c r="AJ64" s="4"/>
      <c r="AK64" s="4"/>
      <c r="AL64" s="4"/>
      <c r="AM64" s="4"/>
      <c r="AN64" s="4"/>
      <c r="AO64" s="4"/>
    </row>
    <row r="65" spans="1:41" ht="15" x14ac:dyDescent="0.2">
      <c r="A65" s="20"/>
      <c r="B65" s="20"/>
      <c r="C65" s="20"/>
      <c r="D65" s="20"/>
      <c r="E65" s="20"/>
      <c r="F65" s="20"/>
      <c r="G65" s="20"/>
      <c r="H65" s="20"/>
      <c r="I65" s="20"/>
      <c r="J65" s="20"/>
      <c r="K65" s="20"/>
      <c r="L65" s="20"/>
      <c r="M65" s="20"/>
      <c r="N65" s="20"/>
      <c r="O65" s="20"/>
      <c r="P65" s="20"/>
      <c r="Q65" s="20"/>
      <c r="R65" s="20"/>
      <c r="S65" s="20"/>
      <c r="T65" s="20"/>
      <c r="U65" s="4"/>
      <c r="V65" s="4"/>
      <c r="W65" s="4"/>
      <c r="X65" s="4"/>
      <c r="Y65" s="4"/>
      <c r="Z65" s="4"/>
      <c r="AA65" s="4"/>
      <c r="AB65" s="4"/>
      <c r="AC65" s="4"/>
      <c r="AD65" s="4"/>
      <c r="AE65" s="4"/>
      <c r="AF65" s="4"/>
      <c r="AG65" s="4"/>
      <c r="AH65" s="4"/>
      <c r="AI65" s="4"/>
      <c r="AJ65" s="4"/>
      <c r="AK65" s="4"/>
      <c r="AL65" s="4"/>
      <c r="AM65" s="4"/>
      <c r="AN65" s="4"/>
      <c r="AO65" s="4"/>
    </row>
    <row r="66" spans="1:41" ht="15" x14ac:dyDescent="0.2">
      <c r="A66" s="20"/>
      <c r="B66" s="20"/>
      <c r="C66" s="20"/>
      <c r="D66" s="20"/>
      <c r="E66" s="20"/>
      <c r="F66" s="20"/>
      <c r="G66" s="20"/>
      <c r="H66" s="20"/>
      <c r="I66" s="20"/>
      <c r="J66" s="20"/>
      <c r="K66" s="20"/>
      <c r="L66" s="20"/>
      <c r="M66" s="20"/>
      <c r="N66" s="20"/>
      <c r="O66" s="20"/>
      <c r="P66" s="20"/>
      <c r="Q66" s="20"/>
      <c r="R66" s="20"/>
      <c r="S66" s="20"/>
      <c r="T66" s="20"/>
      <c r="U66" s="4"/>
      <c r="V66" s="4"/>
      <c r="W66" s="4"/>
      <c r="X66" s="4"/>
      <c r="Y66" s="4"/>
      <c r="Z66" s="4"/>
      <c r="AA66" s="4"/>
      <c r="AB66" s="4"/>
      <c r="AC66" s="4"/>
      <c r="AD66" s="4"/>
      <c r="AE66" s="4"/>
      <c r="AF66" s="4"/>
      <c r="AG66" s="4"/>
      <c r="AH66" s="4"/>
      <c r="AI66" s="4"/>
      <c r="AJ66" s="4"/>
      <c r="AK66" s="4"/>
      <c r="AL66" s="4"/>
      <c r="AM66" s="4"/>
      <c r="AN66" s="4"/>
      <c r="AO66" s="4"/>
    </row>
    <row r="67" spans="1:41" ht="15" x14ac:dyDescent="0.2">
      <c r="A67" s="20"/>
      <c r="B67" s="20"/>
      <c r="C67" s="20"/>
      <c r="D67" s="20"/>
      <c r="E67" s="20"/>
      <c r="F67" s="20"/>
      <c r="G67" s="20"/>
      <c r="H67" s="20"/>
      <c r="I67" s="20"/>
      <c r="J67" s="20"/>
      <c r="K67" s="20"/>
      <c r="L67" s="20"/>
      <c r="M67" s="20"/>
      <c r="N67" s="20"/>
      <c r="O67" s="20"/>
      <c r="P67" s="20"/>
      <c r="Q67" s="20"/>
      <c r="R67" s="20"/>
      <c r="S67" s="20"/>
      <c r="T67" s="20"/>
      <c r="U67" s="4"/>
      <c r="V67" s="4"/>
      <c r="W67" s="4"/>
      <c r="X67" s="4"/>
      <c r="Y67" s="4"/>
      <c r="Z67" s="4"/>
      <c r="AA67" s="4"/>
      <c r="AB67" s="4"/>
      <c r="AC67" s="4"/>
      <c r="AD67" s="4"/>
      <c r="AE67" s="4"/>
      <c r="AF67" s="4"/>
      <c r="AG67" s="4"/>
      <c r="AH67" s="4"/>
      <c r="AI67" s="4"/>
      <c r="AJ67" s="4"/>
      <c r="AK67" s="4"/>
      <c r="AL67" s="4"/>
      <c r="AM67" s="4"/>
      <c r="AN67" s="4"/>
      <c r="AO67" s="4"/>
    </row>
    <row r="68" spans="1:41" ht="15" x14ac:dyDescent="0.2">
      <c r="A68" s="20"/>
      <c r="B68" s="20"/>
      <c r="C68" s="20"/>
      <c r="D68" s="20"/>
      <c r="E68" s="20"/>
      <c r="F68" s="20"/>
      <c r="G68" s="20"/>
      <c r="H68" s="20"/>
      <c r="I68" s="20"/>
      <c r="J68" s="20"/>
      <c r="K68" s="20"/>
      <c r="L68" s="20"/>
      <c r="M68" s="20"/>
      <c r="N68" s="20"/>
      <c r="O68" s="20"/>
      <c r="P68" s="20"/>
      <c r="Q68" s="20"/>
      <c r="R68" s="20"/>
      <c r="S68" s="20"/>
      <c r="T68" s="20"/>
      <c r="U68" s="4"/>
      <c r="V68" s="4"/>
      <c r="W68" s="4"/>
      <c r="X68" s="4"/>
      <c r="Y68" s="4"/>
      <c r="Z68" s="4"/>
      <c r="AA68" s="4"/>
      <c r="AB68" s="4"/>
      <c r="AC68" s="4"/>
      <c r="AD68" s="4"/>
      <c r="AE68" s="4"/>
      <c r="AF68" s="4"/>
      <c r="AG68" s="4"/>
      <c r="AH68" s="4"/>
      <c r="AI68" s="4"/>
      <c r="AJ68" s="4"/>
      <c r="AK68" s="4"/>
      <c r="AL68" s="4"/>
      <c r="AM68" s="4"/>
      <c r="AN68" s="4"/>
      <c r="AO68" s="4"/>
    </row>
    <row r="69" spans="1:41" ht="15" x14ac:dyDescent="0.2">
      <c r="A69" s="20"/>
      <c r="B69" s="20"/>
      <c r="C69" s="20"/>
      <c r="D69" s="20"/>
      <c r="E69" s="20"/>
      <c r="F69" s="20"/>
      <c r="G69" s="20"/>
      <c r="H69" s="20"/>
      <c r="I69" s="20"/>
      <c r="J69" s="20"/>
      <c r="K69" s="20"/>
      <c r="L69" s="20"/>
      <c r="M69" s="20"/>
      <c r="N69" s="20"/>
      <c r="O69" s="20"/>
      <c r="P69" s="20"/>
      <c r="Q69" s="20"/>
      <c r="R69" s="20"/>
      <c r="S69" s="20"/>
      <c r="T69" s="20"/>
      <c r="U69" s="4"/>
      <c r="V69" s="4"/>
      <c r="W69" s="4"/>
      <c r="X69" s="4"/>
      <c r="Y69" s="4"/>
      <c r="Z69" s="4"/>
      <c r="AA69" s="4"/>
      <c r="AB69" s="4"/>
      <c r="AC69" s="4"/>
      <c r="AD69" s="4"/>
      <c r="AE69" s="4"/>
      <c r="AF69" s="4"/>
      <c r="AG69" s="4"/>
      <c r="AH69" s="4"/>
      <c r="AI69" s="4"/>
      <c r="AJ69" s="4"/>
      <c r="AK69" s="4"/>
      <c r="AL69" s="4"/>
      <c r="AM69" s="4"/>
      <c r="AN69" s="4"/>
      <c r="AO69" s="4"/>
    </row>
    <row r="70" spans="1:41" ht="15" x14ac:dyDescent="0.2">
      <c r="A70" s="20"/>
      <c r="B70" s="20"/>
      <c r="C70" s="20"/>
      <c r="D70" s="20"/>
      <c r="E70" s="20"/>
      <c r="F70" s="20"/>
      <c r="G70" s="20"/>
      <c r="H70" s="20"/>
      <c r="I70" s="20"/>
      <c r="J70" s="20"/>
      <c r="K70" s="20"/>
      <c r="L70" s="20"/>
      <c r="M70" s="20"/>
      <c r="N70" s="20"/>
      <c r="O70" s="20"/>
      <c r="P70" s="20"/>
      <c r="Q70" s="20"/>
      <c r="R70" s="20"/>
      <c r="S70" s="20"/>
      <c r="T70" s="20"/>
      <c r="U70" s="4"/>
      <c r="V70" s="4"/>
      <c r="W70" s="4"/>
      <c r="X70" s="4"/>
      <c r="Y70" s="4"/>
      <c r="Z70" s="4"/>
      <c r="AA70" s="4"/>
      <c r="AB70" s="4"/>
      <c r="AC70" s="4"/>
      <c r="AD70" s="4"/>
      <c r="AE70" s="4"/>
      <c r="AF70" s="4"/>
      <c r="AG70" s="4"/>
      <c r="AH70" s="4"/>
      <c r="AI70" s="4"/>
      <c r="AJ70" s="4"/>
      <c r="AK70" s="4"/>
      <c r="AL70" s="4"/>
      <c r="AM70" s="4"/>
      <c r="AN70" s="4"/>
      <c r="AO70" s="4"/>
    </row>
    <row r="71" spans="1:41" ht="15" x14ac:dyDescent="0.2">
      <c r="A71" s="20"/>
      <c r="B71" s="20"/>
      <c r="C71" s="20"/>
      <c r="D71" s="20"/>
      <c r="E71" s="20"/>
      <c r="F71" s="20"/>
      <c r="G71" s="20"/>
      <c r="H71" s="20"/>
      <c r="I71" s="20"/>
      <c r="J71" s="20"/>
      <c r="K71" s="20"/>
      <c r="L71" s="20"/>
      <c r="M71" s="20"/>
      <c r="N71" s="20"/>
      <c r="O71" s="20"/>
      <c r="P71" s="20"/>
      <c r="Q71" s="20"/>
      <c r="R71" s="20"/>
      <c r="S71" s="20"/>
      <c r="T71" s="20"/>
      <c r="U71" s="4"/>
      <c r="V71" s="4"/>
      <c r="W71" s="4"/>
      <c r="X71" s="4"/>
      <c r="Y71" s="4"/>
      <c r="Z71" s="4"/>
      <c r="AA71" s="4"/>
      <c r="AB71" s="4"/>
      <c r="AC71" s="4"/>
      <c r="AD71" s="4"/>
      <c r="AE71" s="4"/>
      <c r="AF71" s="4"/>
      <c r="AG71" s="4"/>
      <c r="AH71" s="4"/>
      <c r="AI71" s="4"/>
      <c r="AJ71" s="4"/>
      <c r="AK71" s="4"/>
      <c r="AL71" s="4"/>
      <c r="AM71" s="4"/>
      <c r="AN71" s="4"/>
      <c r="AO71" s="4"/>
    </row>
    <row r="72" spans="1:41" ht="15" x14ac:dyDescent="0.2">
      <c r="A72" s="20"/>
      <c r="B72" s="20"/>
      <c r="C72" s="20"/>
      <c r="D72" s="20"/>
      <c r="E72" s="20"/>
      <c r="F72" s="20"/>
      <c r="G72" s="20"/>
      <c r="H72" s="20"/>
      <c r="I72" s="20"/>
      <c r="J72" s="20"/>
      <c r="K72" s="20"/>
      <c r="L72" s="20"/>
      <c r="M72" s="20"/>
      <c r="N72" s="20"/>
      <c r="O72" s="20"/>
      <c r="P72" s="20"/>
      <c r="Q72" s="20"/>
      <c r="R72" s="20"/>
      <c r="S72" s="20"/>
      <c r="T72" s="20"/>
      <c r="U72" s="4"/>
      <c r="V72" s="4"/>
      <c r="W72" s="4"/>
      <c r="X72" s="4"/>
      <c r="Y72" s="4"/>
      <c r="Z72" s="4"/>
      <c r="AA72" s="4"/>
      <c r="AB72" s="4"/>
      <c r="AC72" s="4"/>
      <c r="AD72" s="4"/>
      <c r="AE72" s="4"/>
      <c r="AF72" s="4"/>
      <c r="AG72" s="4"/>
      <c r="AH72" s="4"/>
      <c r="AI72" s="4"/>
      <c r="AJ72" s="4"/>
      <c r="AK72" s="4"/>
      <c r="AL72" s="4"/>
      <c r="AM72" s="4"/>
      <c r="AN72" s="4"/>
      <c r="AO72" s="4"/>
    </row>
    <row r="73" spans="1:41" ht="15" x14ac:dyDescent="0.2">
      <c r="A73" s="20"/>
      <c r="B73" s="20"/>
      <c r="C73" s="20"/>
      <c r="D73" s="20"/>
      <c r="E73" s="20"/>
      <c r="F73" s="20"/>
      <c r="G73" s="20"/>
      <c r="H73" s="20"/>
      <c r="I73" s="20"/>
      <c r="J73" s="20"/>
      <c r="K73" s="20"/>
      <c r="L73" s="20"/>
      <c r="M73" s="20"/>
      <c r="N73" s="20"/>
      <c r="O73" s="20"/>
      <c r="P73" s="20"/>
      <c r="Q73" s="20"/>
      <c r="R73" s="20"/>
      <c r="S73" s="20"/>
      <c r="T73" s="20"/>
      <c r="U73" s="4"/>
      <c r="V73" s="4"/>
      <c r="W73" s="4"/>
      <c r="X73" s="4"/>
      <c r="Y73" s="4"/>
      <c r="Z73" s="4"/>
      <c r="AA73" s="4"/>
      <c r="AB73" s="4"/>
      <c r="AC73" s="4"/>
      <c r="AD73" s="4"/>
      <c r="AE73" s="4"/>
      <c r="AF73" s="4"/>
      <c r="AG73" s="4"/>
      <c r="AH73" s="4"/>
      <c r="AI73" s="4"/>
      <c r="AJ73" s="4"/>
      <c r="AK73" s="4"/>
      <c r="AL73" s="4"/>
      <c r="AM73" s="4"/>
      <c r="AN73" s="4"/>
      <c r="AO73" s="4"/>
    </row>
    <row r="74" spans="1:41" ht="15" x14ac:dyDescent="0.2">
      <c r="A74" s="20"/>
      <c r="B74" s="20"/>
      <c r="C74" s="20"/>
      <c r="D74" s="20"/>
      <c r="E74" s="20"/>
      <c r="F74" s="20"/>
      <c r="G74" s="20"/>
      <c r="H74" s="20"/>
      <c r="I74" s="20"/>
      <c r="J74" s="20"/>
      <c r="K74" s="20"/>
      <c r="L74" s="20"/>
      <c r="M74" s="20"/>
      <c r="N74" s="20"/>
      <c r="O74" s="20"/>
      <c r="P74" s="20"/>
      <c r="Q74" s="20"/>
      <c r="R74" s="20"/>
      <c r="S74" s="20"/>
      <c r="T74" s="20"/>
      <c r="U74" s="4"/>
      <c r="V74" s="4"/>
      <c r="W74" s="4"/>
      <c r="X74" s="4"/>
      <c r="Y74" s="4"/>
      <c r="Z74" s="4"/>
      <c r="AA74" s="4"/>
      <c r="AB74" s="4"/>
      <c r="AC74" s="4"/>
      <c r="AD74" s="4"/>
      <c r="AE74" s="4"/>
      <c r="AF74" s="4"/>
      <c r="AG74" s="4"/>
      <c r="AH74" s="4"/>
      <c r="AI74" s="4"/>
      <c r="AJ74" s="4"/>
      <c r="AK74" s="4"/>
      <c r="AL74" s="4"/>
      <c r="AM74" s="4"/>
      <c r="AN74" s="4"/>
      <c r="AO74" s="4"/>
    </row>
    <row r="75" spans="1:41" ht="15" x14ac:dyDescent="0.2">
      <c r="A75" s="20"/>
      <c r="B75" s="20"/>
      <c r="C75" s="20"/>
      <c r="D75" s="20"/>
      <c r="E75" s="20"/>
      <c r="F75" s="20"/>
      <c r="G75" s="20"/>
      <c r="H75" s="20"/>
      <c r="I75" s="20"/>
      <c r="J75" s="20"/>
      <c r="K75" s="20"/>
      <c r="L75" s="20"/>
      <c r="M75" s="20"/>
      <c r="N75" s="20"/>
      <c r="O75" s="20"/>
      <c r="P75" s="20"/>
      <c r="Q75" s="20"/>
      <c r="R75" s="20"/>
      <c r="S75" s="20"/>
      <c r="T75" s="20"/>
      <c r="U75" s="4"/>
      <c r="V75" s="4"/>
      <c r="W75" s="4"/>
      <c r="X75" s="4"/>
      <c r="Y75" s="4"/>
      <c r="Z75" s="4"/>
      <c r="AA75" s="4"/>
      <c r="AB75" s="4"/>
      <c r="AC75" s="4"/>
      <c r="AD75" s="4"/>
      <c r="AE75" s="4"/>
      <c r="AF75" s="4"/>
      <c r="AG75" s="4"/>
      <c r="AH75" s="4"/>
      <c r="AI75" s="4"/>
      <c r="AJ75" s="4"/>
      <c r="AK75" s="4"/>
      <c r="AL75" s="4"/>
      <c r="AM75" s="4"/>
      <c r="AN75" s="4"/>
      <c r="AO75" s="4"/>
    </row>
    <row r="76" spans="1:41" ht="15" x14ac:dyDescent="0.2">
      <c r="A76" s="20"/>
      <c r="B76" s="20"/>
      <c r="C76" s="20"/>
      <c r="D76" s="20"/>
      <c r="E76" s="20"/>
      <c r="F76" s="20"/>
      <c r="G76" s="20"/>
      <c r="H76" s="20"/>
      <c r="I76" s="20"/>
      <c r="J76" s="20"/>
      <c r="K76" s="20"/>
      <c r="L76" s="20"/>
      <c r="M76" s="20"/>
      <c r="N76" s="20"/>
      <c r="O76" s="20"/>
      <c r="P76" s="20"/>
      <c r="Q76" s="20"/>
      <c r="R76" s="20"/>
      <c r="S76" s="20"/>
      <c r="T76" s="20"/>
      <c r="U76" s="4"/>
      <c r="V76" s="4"/>
      <c r="W76" s="4"/>
      <c r="X76" s="4"/>
      <c r="Y76" s="4"/>
      <c r="Z76" s="4"/>
      <c r="AA76" s="4"/>
      <c r="AB76" s="4"/>
      <c r="AC76" s="4"/>
      <c r="AD76" s="4"/>
      <c r="AE76" s="4"/>
      <c r="AF76" s="4"/>
      <c r="AG76" s="4"/>
      <c r="AH76" s="4"/>
      <c r="AI76" s="4"/>
      <c r="AJ76" s="4"/>
      <c r="AK76" s="4"/>
      <c r="AL76" s="4"/>
      <c r="AM76" s="4"/>
      <c r="AN76" s="4"/>
      <c r="AO76" s="4"/>
    </row>
    <row r="77" spans="1:41" ht="15" x14ac:dyDescent="0.2">
      <c r="A77" s="20"/>
      <c r="B77" s="20"/>
      <c r="C77" s="20"/>
      <c r="D77" s="20"/>
      <c r="E77" s="20"/>
      <c r="F77" s="20"/>
      <c r="G77" s="20"/>
      <c r="H77" s="20"/>
      <c r="I77" s="20"/>
      <c r="J77" s="20"/>
      <c r="K77" s="20"/>
      <c r="L77" s="20"/>
      <c r="M77" s="20"/>
      <c r="N77" s="20"/>
      <c r="O77" s="20"/>
      <c r="P77" s="20"/>
      <c r="Q77" s="20"/>
      <c r="R77" s="20"/>
      <c r="S77" s="20"/>
      <c r="T77" s="20"/>
      <c r="U77" s="4"/>
      <c r="V77" s="4"/>
      <c r="W77" s="4"/>
      <c r="X77" s="4"/>
      <c r="Y77" s="4"/>
      <c r="Z77" s="4"/>
      <c r="AA77" s="4"/>
      <c r="AB77" s="4"/>
      <c r="AC77" s="4"/>
      <c r="AD77" s="4"/>
      <c r="AE77" s="4"/>
      <c r="AF77" s="4"/>
      <c r="AG77" s="4"/>
      <c r="AH77" s="4"/>
      <c r="AI77" s="4"/>
      <c r="AJ77" s="4"/>
      <c r="AK77" s="4"/>
      <c r="AL77" s="4"/>
      <c r="AM77" s="4"/>
      <c r="AN77" s="4"/>
      <c r="AO77" s="4"/>
    </row>
    <row r="78" spans="1:41" ht="15" x14ac:dyDescent="0.2">
      <c r="A78" s="20"/>
      <c r="B78" s="20"/>
      <c r="C78" s="20"/>
      <c r="D78" s="20"/>
      <c r="E78" s="20"/>
      <c r="F78" s="20"/>
      <c r="G78" s="20"/>
      <c r="H78" s="20"/>
      <c r="I78" s="20"/>
      <c r="J78" s="20"/>
      <c r="K78" s="20"/>
      <c r="L78" s="20"/>
      <c r="M78" s="20"/>
      <c r="N78" s="20"/>
      <c r="O78" s="20"/>
      <c r="P78" s="20"/>
      <c r="Q78" s="20"/>
      <c r="R78" s="20"/>
      <c r="S78" s="20"/>
      <c r="T78" s="20"/>
      <c r="U78" s="4"/>
      <c r="V78" s="4"/>
      <c r="W78" s="4"/>
      <c r="X78" s="4"/>
      <c r="Y78" s="4"/>
      <c r="Z78" s="4"/>
      <c r="AA78" s="4"/>
      <c r="AB78" s="4"/>
      <c r="AC78" s="4"/>
      <c r="AD78" s="4"/>
      <c r="AE78" s="4"/>
      <c r="AF78" s="4"/>
      <c r="AG78" s="4"/>
      <c r="AH78" s="4"/>
      <c r="AI78" s="4"/>
      <c r="AJ78" s="4"/>
      <c r="AK78" s="4"/>
      <c r="AL78" s="4"/>
      <c r="AM78" s="4"/>
      <c r="AN78" s="4"/>
      <c r="AO78" s="4"/>
    </row>
    <row r="79" spans="1:41" ht="15" x14ac:dyDescent="0.2">
      <c r="A79" s="20"/>
      <c r="B79" s="20"/>
      <c r="C79" s="20"/>
      <c r="D79" s="20"/>
      <c r="E79" s="20"/>
      <c r="F79" s="20"/>
      <c r="G79" s="20"/>
      <c r="H79" s="20"/>
      <c r="I79" s="20"/>
      <c r="J79" s="20"/>
      <c r="K79" s="20"/>
      <c r="L79" s="20"/>
      <c r="M79" s="20"/>
      <c r="N79" s="20"/>
      <c r="O79" s="20"/>
      <c r="P79" s="20"/>
      <c r="Q79" s="20"/>
      <c r="R79" s="20"/>
      <c r="S79" s="20"/>
      <c r="T79" s="20"/>
      <c r="U79" s="4"/>
      <c r="V79" s="4"/>
      <c r="W79" s="4"/>
      <c r="X79" s="4"/>
      <c r="Y79" s="4"/>
      <c r="Z79" s="4"/>
      <c r="AA79" s="4"/>
      <c r="AB79" s="4"/>
      <c r="AC79" s="4"/>
      <c r="AD79" s="4"/>
      <c r="AE79" s="4"/>
      <c r="AF79" s="4"/>
      <c r="AG79" s="4"/>
      <c r="AH79" s="4"/>
      <c r="AI79" s="4"/>
      <c r="AJ79" s="4"/>
      <c r="AK79" s="4"/>
      <c r="AL79" s="4"/>
      <c r="AM79" s="4"/>
      <c r="AN79" s="4"/>
      <c r="AO79" s="4"/>
    </row>
    <row r="80" spans="1:41" ht="15" x14ac:dyDescent="0.2">
      <c r="A80" s="20"/>
      <c r="B80" s="20"/>
      <c r="C80" s="20"/>
      <c r="D80" s="20"/>
      <c r="E80" s="20"/>
      <c r="F80" s="20"/>
      <c r="G80" s="20"/>
      <c r="H80" s="20"/>
      <c r="I80" s="20"/>
      <c r="J80" s="20"/>
      <c r="K80" s="20"/>
      <c r="L80" s="20"/>
      <c r="M80" s="20"/>
      <c r="N80" s="20"/>
      <c r="O80" s="20"/>
      <c r="P80" s="20"/>
      <c r="Q80" s="20"/>
      <c r="R80" s="20"/>
      <c r="S80" s="20"/>
      <c r="T80" s="20"/>
      <c r="U80" s="4"/>
      <c r="V80" s="4"/>
      <c r="W80" s="4"/>
      <c r="X80" s="4"/>
      <c r="Y80" s="4"/>
      <c r="Z80" s="4"/>
      <c r="AA80" s="4"/>
      <c r="AB80" s="4"/>
      <c r="AC80" s="4"/>
      <c r="AD80" s="4"/>
      <c r="AE80" s="4"/>
      <c r="AF80" s="4"/>
      <c r="AG80" s="4"/>
      <c r="AH80" s="4"/>
      <c r="AI80" s="4"/>
      <c r="AJ80" s="4"/>
      <c r="AK80" s="4"/>
      <c r="AL80" s="4"/>
      <c r="AM80" s="4"/>
      <c r="AN80" s="4"/>
      <c r="AO80" s="4"/>
    </row>
    <row r="81" spans="1:41" ht="15" x14ac:dyDescent="0.2">
      <c r="A81" s="20"/>
      <c r="B81" s="20"/>
      <c r="C81" s="20"/>
      <c r="D81" s="20"/>
      <c r="E81" s="20"/>
      <c r="F81" s="20"/>
      <c r="G81" s="20"/>
      <c r="H81" s="20"/>
      <c r="I81" s="20"/>
      <c r="J81" s="20"/>
      <c r="K81" s="20"/>
      <c r="L81" s="20"/>
      <c r="M81" s="20"/>
      <c r="N81" s="20"/>
      <c r="O81" s="20"/>
      <c r="P81" s="20"/>
      <c r="Q81" s="20"/>
      <c r="R81" s="20"/>
      <c r="S81" s="20"/>
      <c r="T81" s="20"/>
      <c r="U81" s="4"/>
      <c r="V81" s="4"/>
      <c r="W81" s="4"/>
      <c r="X81" s="4"/>
      <c r="Y81" s="4"/>
      <c r="Z81" s="4"/>
      <c r="AA81" s="4"/>
      <c r="AB81" s="4"/>
      <c r="AC81" s="4"/>
      <c r="AD81" s="4"/>
      <c r="AE81" s="4"/>
      <c r="AF81" s="4"/>
      <c r="AG81" s="4"/>
      <c r="AH81" s="4"/>
      <c r="AI81" s="4"/>
      <c r="AJ81" s="4"/>
      <c r="AK81" s="4"/>
      <c r="AL81" s="4"/>
      <c r="AM81" s="4"/>
      <c r="AN81" s="4"/>
      <c r="AO81" s="4"/>
    </row>
    <row r="82" spans="1:41" ht="15" x14ac:dyDescent="0.2">
      <c r="A82" s="20"/>
      <c r="B82" s="20"/>
      <c r="C82" s="20"/>
      <c r="D82" s="20"/>
      <c r="E82" s="20"/>
      <c r="F82" s="20"/>
      <c r="G82" s="20"/>
      <c r="H82" s="20"/>
      <c r="I82" s="20"/>
      <c r="J82" s="20"/>
      <c r="K82" s="20"/>
      <c r="L82" s="20"/>
      <c r="M82" s="20"/>
      <c r="N82" s="20"/>
      <c r="O82" s="20"/>
      <c r="P82" s="20"/>
      <c r="Q82" s="20"/>
      <c r="R82" s="20"/>
      <c r="S82" s="20"/>
      <c r="T82" s="20"/>
      <c r="U82" s="4"/>
      <c r="V82" s="4"/>
      <c r="W82" s="4"/>
      <c r="X82" s="4"/>
      <c r="Y82" s="4"/>
      <c r="Z82" s="4"/>
      <c r="AA82" s="4"/>
      <c r="AB82" s="4"/>
      <c r="AC82" s="4"/>
      <c r="AD82" s="4"/>
      <c r="AE82" s="4"/>
      <c r="AF82" s="4"/>
      <c r="AG82" s="4"/>
      <c r="AH82" s="4"/>
      <c r="AI82" s="4"/>
      <c r="AJ82" s="4"/>
      <c r="AK82" s="4"/>
      <c r="AL82" s="4"/>
      <c r="AM82" s="4"/>
      <c r="AN82" s="4"/>
      <c r="AO82" s="4"/>
    </row>
    <row r="83" spans="1:41" ht="15" x14ac:dyDescent="0.2">
      <c r="A83" s="20"/>
      <c r="B83" s="20"/>
      <c r="C83" s="20"/>
      <c r="D83" s="20"/>
      <c r="E83" s="20"/>
      <c r="F83" s="20"/>
      <c r="G83" s="20"/>
      <c r="H83" s="20"/>
      <c r="I83" s="20"/>
      <c r="J83" s="20"/>
      <c r="K83" s="20"/>
      <c r="L83" s="20"/>
      <c r="M83" s="20"/>
      <c r="N83" s="20"/>
      <c r="O83" s="20"/>
      <c r="P83" s="20"/>
      <c r="Q83" s="20"/>
      <c r="R83" s="20"/>
      <c r="S83" s="20"/>
      <c r="T83" s="20"/>
      <c r="U83" s="4"/>
      <c r="V83" s="4"/>
      <c r="W83" s="4"/>
      <c r="X83" s="4"/>
      <c r="Y83" s="4"/>
      <c r="Z83" s="4"/>
      <c r="AA83" s="4"/>
      <c r="AB83" s="4"/>
      <c r="AC83" s="4"/>
      <c r="AD83" s="4"/>
      <c r="AE83" s="4"/>
      <c r="AF83" s="4"/>
      <c r="AG83" s="4"/>
      <c r="AH83" s="4"/>
      <c r="AI83" s="4"/>
      <c r="AJ83" s="4"/>
      <c r="AK83" s="4"/>
      <c r="AL83" s="4"/>
      <c r="AM83" s="4"/>
      <c r="AN83" s="4"/>
      <c r="AO83" s="4"/>
    </row>
    <row r="84" spans="1:41" ht="15" x14ac:dyDescent="0.2">
      <c r="A84" s="20"/>
      <c r="B84" s="20"/>
      <c r="C84" s="20"/>
      <c r="D84" s="20"/>
      <c r="E84" s="20"/>
      <c r="F84" s="20"/>
      <c r="G84" s="20"/>
      <c r="H84" s="20"/>
      <c r="I84" s="20"/>
      <c r="J84" s="20"/>
      <c r="K84" s="20"/>
      <c r="L84" s="20"/>
      <c r="M84" s="20"/>
      <c r="N84" s="20"/>
      <c r="O84" s="20"/>
      <c r="P84" s="20"/>
      <c r="Q84" s="20"/>
      <c r="R84" s="20"/>
      <c r="S84" s="20"/>
      <c r="T84" s="20"/>
      <c r="U84" s="4"/>
      <c r="V84" s="4"/>
      <c r="W84" s="4"/>
      <c r="X84" s="4"/>
      <c r="Y84" s="4"/>
      <c r="Z84" s="4"/>
      <c r="AA84" s="4"/>
      <c r="AB84" s="4"/>
      <c r="AC84" s="4"/>
      <c r="AD84" s="4"/>
      <c r="AE84" s="4"/>
      <c r="AF84" s="4"/>
      <c r="AG84" s="4"/>
      <c r="AH84" s="4"/>
      <c r="AI84" s="4"/>
      <c r="AJ84" s="4"/>
      <c r="AK84" s="4"/>
      <c r="AL84" s="4"/>
      <c r="AM84" s="4"/>
      <c r="AN84" s="4"/>
      <c r="AO84" s="4"/>
    </row>
    <row r="85" spans="1:41" ht="15" x14ac:dyDescent="0.2">
      <c r="A85" s="20"/>
      <c r="B85" s="20"/>
      <c r="C85" s="20"/>
      <c r="D85" s="20"/>
      <c r="E85" s="20"/>
      <c r="F85" s="20"/>
      <c r="G85" s="20"/>
      <c r="H85" s="20"/>
      <c r="I85" s="20"/>
      <c r="J85" s="20"/>
      <c r="K85" s="20"/>
      <c r="L85" s="20"/>
      <c r="M85" s="20"/>
      <c r="N85" s="20"/>
      <c r="O85" s="20"/>
      <c r="P85" s="20"/>
      <c r="Q85" s="20"/>
      <c r="R85" s="20"/>
      <c r="S85" s="20"/>
      <c r="T85" s="20"/>
      <c r="U85" s="4"/>
      <c r="V85" s="4"/>
      <c r="W85" s="4"/>
      <c r="X85" s="4"/>
      <c r="Y85" s="4"/>
      <c r="Z85" s="4"/>
      <c r="AA85" s="4"/>
      <c r="AB85" s="4"/>
      <c r="AC85" s="4"/>
      <c r="AD85" s="4"/>
      <c r="AE85" s="4"/>
      <c r="AF85" s="4"/>
      <c r="AG85" s="4"/>
      <c r="AH85" s="4"/>
      <c r="AI85" s="4"/>
      <c r="AJ85" s="4"/>
      <c r="AK85" s="4"/>
      <c r="AL85" s="4"/>
      <c r="AM85" s="4"/>
      <c r="AN85" s="4"/>
      <c r="AO85" s="4"/>
    </row>
    <row r="86" spans="1:41" ht="15" x14ac:dyDescent="0.2">
      <c r="A86" s="20"/>
      <c r="B86" s="20"/>
      <c r="C86" s="20"/>
      <c r="D86" s="20"/>
      <c r="E86" s="20"/>
      <c r="F86" s="20"/>
      <c r="G86" s="20"/>
      <c r="H86" s="20"/>
      <c r="I86" s="20"/>
      <c r="J86" s="20"/>
      <c r="K86" s="20"/>
      <c r="L86" s="20"/>
      <c r="M86" s="20"/>
      <c r="N86" s="20"/>
      <c r="O86" s="20"/>
      <c r="P86" s="20"/>
      <c r="Q86" s="20"/>
      <c r="R86" s="20"/>
      <c r="S86" s="20"/>
      <c r="T86" s="20"/>
      <c r="U86" s="4"/>
      <c r="V86" s="4"/>
      <c r="W86" s="4"/>
      <c r="X86" s="4"/>
      <c r="Y86" s="4"/>
      <c r="Z86" s="4"/>
      <c r="AA86" s="4"/>
      <c r="AB86" s="4"/>
      <c r="AC86" s="4"/>
      <c r="AD86" s="4"/>
      <c r="AE86" s="4"/>
      <c r="AF86" s="4"/>
      <c r="AG86" s="4"/>
      <c r="AH86" s="4"/>
      <c r="AI86" s="4"/>
      <c r="AJ86" s="4"/>
      <c r="AK86" s="4"/>
      <c r="AL86" s="4"/>
      <c r="AM86" s="4"/>
      <c r="AN86" s="4"/>
      <c r="AO86" s="4"/>
    </row>
    <row r="87" spans="1:41" ht="15" x14ac:dyDescent="0.2">
      <c r="A87" s="20"/>
      <c r="B87" s="20"/>
      <c r="C87" s="20"/>
      <c r="D87" s="20"/>
      <c r="E87" s="20"/>
      <c r="F87" s="20"/>
      <c r="G87" s="20"/>
      <c r="H87" s="20"/>
      <c r="I87" s="20"/>
      <c r="J87" s="20"/>
      <c r="K87" s="20"/>
      <c r="L87" s="20"/>
      <c r="M87" s="20"/>
      <c r="N87" s="20"/>
      <c r="O87" s="20"/>
      <c r="P87" s="20"/>
      <c r="Q87" s="20"/>
      <c r="R87" s="20"/>
      <c r="S87" s="20"/>
      <c r="T87" s="20"/>
      <c r="U87" s="4"/>
      <c r="V87" s="4"/>
      <c r="W87" s="4"/>
      <c r="X87" s="4"/>
      <c r="Y87" s="4"/>
      <c r="Z87" s="4"/>
      <c r="AA87" s="4"/>
      <c r="AB87" s="4"/>
      <c r="AC87" s="4"/>
      <c r="AD87" s="4"/>
      <c r="AE87" s="4"/>
      <c r="AF87" s="4"/>
      <c r="AG87" s="4"/>
      <c r="AH87" s="4"/>
      <c r="AI87" s="4"/>
      <c r="AJ87" s="4"/>
      <c r="AK87" s="4"/>
      <c r="AL87" s="4"/>
      <c r="AM87" s="4"/>
      <c r="AN87" s="4"/>
      <c r="AO87" s="4"/>
    </row>
    <row r="88" spans="1:41" ht="15" x14ac:dyDescent="0.2">
      <c r="A88" s="20"/>
      <c r="B88" s="20"/>
      <c r="C88" s="20"/>
      <c r="D88" s="20"/>
      <c r="E88" s="20"/>
      <c r="F88" s="20"/>
      <c r="G88" s="20"/>
      <c r="H88" s="20"/>
      <c r="I88" s="20"/>
      <c r="J88" s="20"/>
      <c r="K88" s="20"/>
      <c r="L88" s="20"/>
      <c r="M88" s="20"/>
      <c r="N88" s="20"/>
      <c r="O88" s="20"/>
      <c r="P88" s="20"/>
      <c r="Q88" s="20"/>
      <c r="R88" s="20"/>
      <c r="S88" s="20"/>
      <c r="T88" s="20"/>
      <c r="U88" s="4"/>
      <c r="V88" s="4"/>
      <c r="W88" s="4"/>
      <c r="X88" s="4"/>
      <c r="Y88" s="4"/>
      <c r="Z88" s="4"/>
      <c r="AA88" s="4"/>
      <c r="AB88" s="4"/>
      <c r="AC88" s="4"/>
      <c r="AD88" s="4"/>
      <c r="AE88" s="4"/>
      <c r="AF88" s="4"/>
      <c r="AG88" s="4"/>
      <c r="AH88" s="4"/>
      <c r="AI88" s="4"/>
      <c r="AJ88" s="4"/>
      <c r="AK88" s="4"/>
      <c r="AL88" s="4"/>
      <c r="AM88" s="4"/>
      <c r="AN88" s="4"/>
      <c r="AO88" s="4"/>
    </row>
    <row r="89" spans="1:41" ht="15" x14ac:dyDescent="0.2">
      <c r="A89" s="20"/>
      <c r="B89" s="20"/>
      <c r="C89" s="20"/>
      <c r="D89" s="20"/>
      <c r="E89" s="20"/>
      <c r="F89" s="20"/>
      <c r="G89" s="20"/>
      <c r="H89" s="20"/>
      <c r="I89" s="20"/>
      <c r="J89" s="20"/>
      <c r="K89" s="20"/>
      <c r="L89" s="20"/>
      <c r="M89" s="20"/>
      <c r="N89" s="20"/>
      <c r="O89" s="20"/>
      <c r="P89" s="20"/>
      <c r="Q89" s="20"/>
      <c r="R89" s="20"/>
      <c r="S89" s="20"/>
      <c r="T89" s="20"/>
      <c r="U89" s="4"/>
      <c r="V89" s="4"/>
      <c r="W89" s="4"/>
      <c r="X89" s="4"/>
      <c r="Y89" s="4"/>
      <c r="Z89" s="4"/>
      <c r="AA89" s="4"/>
      <c r="AB89" s="4"/>
      <c r="AC89" s="4"/>
      <c r="AD89" s="4"/>
      <c r="AE89" s="4"/>
      <c r="AF89" s="4"/>
      <c r="AG89" s="4"/>
      <c r="AH89" s="4"/>
      <c r="AI89" s="4"/>
      <c r="AJ89" s="4"/>
      <c r="AK89" s="4"/>
      <c r="AL89" s="4"/>
      <c r="AM89" s="4"/>
      <c r="AN89" s="4"/>
      <c r="AO89" s="4"/>
    </row>
    <row r="90" spans="1:41" ht="15" x14ac:dyDescent="0.2">
      <c r="A90" s="20"/>
      <c r="B90" s="20"/>
      <c r="C90" s="20"/>
      <c r="D90" s="20"/>
      <c r="E90" s="20"/>
      <c r="F90" s="20"/>
      <c r="G90" s="20"/>
      <c r="H90" s="20"/>
      <c r="I90" s="20"/>
      <c r="J90" s="20"/>
      <c r="K90" s="20"/>
      <c r="L90" s="20"/>
      <c r="M90" s="20"/>
      <c r="N90" s="20"/>
      <c r="O90" s="20"/>
      <c r="P90" s="20"/>
      <c r="Q90" s="20"/>
      <c r="R90" s="20"/>
      <c r="S90" s="20"/>
      <c r="T90" s="20"/>
      <c r="U90" s="4"/>
      <c r="V90" s="4"/>
      <c r="W90" s="4"/>
      <c r="X90" s="4"/>
      <c r="Y90" s="4"/>
      <c r="Z90" s="4"/>
      <c r="AA90" s="4"/>
      <c r="AB90" s="4"/>
      <c r="AC90" s="4"/>
      <c r="AD90" s="4"/>
      <c r="AE90" s="4"/>
      <c r="AF90" s="4"/>
      <c r="AG90" s="4"/>
      <c r="AH90" s="4"/>
      <c r="AI90" s="4"/>
      <c r="AJ90" s="4"/>
      <c r="AK90" s="4"/>
      <c r="AL90" s="4"/>
      <c r="AM90" s="4"/>
      <c r="AN90" s="4"/>
      <c r="AO90" s="4"/>
    </row>
    <row r="91" spans="1:41" ht="15" x14ac:dyDescent="0.2">
      <c r="A91" s="20"/>
      <c r="B91" s="20"/>
      <c r="C91" s="20"/>
      <c r="D91" s="20"/>
      <c r="E91" s="20"/>
      <c r="F91" s="20"/>
      <c r="G91" s="20"/>
      <c r="H91" s="20"/>
      <c r="I91" s="20"/>
      <c r="J91" s="20"/>
      <c r="K91" s="20"/>
      <c r="L91" s="20"/>
      <c r="M91" s="20"/>
      <c r="N91" s="20"/>
      <c r="O91" s="20"/>
      <c r="P91" s="20"/>
      <c r="Q91" s="20"/>
      <c r="R91" s="20"/>
      <c r="S91" s="20"/>
      <c r="T91" s="20"/>
      <c r="U91" s="4"/>
      <c r="V91" s="4"/>
      <c r="W91" s="4"/>
      <c r="X91" s="4"/>
      <c r="Y91" s="4"/>
      <c r="Z91" s="4"/>
      <c r="AA91" s="4"/>
      <c r="AB91" s="4"/>
      <c r="AC91" s="4"/>
      <c r="AD91" s="4"/>
      <c r="AE91" s="4"/>
      <c r="AF91" s="4"/>
      <c r="AG91" s="4"/>
      <c r="AH91" s="4"/>
      <c r="AI91" s="4"/>
      <c r="AJ91" s="4"/>
      <c r="AK91" s="4"/>
      <c r="AL91" s="4"/>
      <c r="AM91" s="4"/>
      <c r="AN91" s="4"/>
      <c r="AO91" s="4"/>
    </row>
    <row r="92" spans="1:41" ht="15" x14ac:dyDescent="0.2">
      <c r="A92" s="20"/>
      <c r="B92" s="20"/>
      <c r="C92" s="20"/>
      <c r="D92" s="20"/>
      <c r="E92" s="20"/>
      <c r="F92" s="20"/>
      <c r="G92" s="20"/>
      <c r="H92" s="20"/>
      <c r="I92" s="20"/>
      <c r="J92" s="20"/>
      <c r="K92" s="20"/>
      <c r="L92" s="20"/>
      <c r="M92" s="20"/>
      <c r="N92" s="20"/>
      <c r="O92" s="20"/>
      <c r="P92" s="20"/>
      <c r="Q92" s="20"/>
      <c r="R92" s="20"/>
      <c r="S92" s="20"/>
      <c r="T92" s="20"/>
      <c r="U92" s="4"/>
      <c r="V92" s="4"/>
      <c r="W92" s="4"/>
      <c r="X92" s="4"/>
      <c r="Y92" s="4"/>
      <c r="Z92" s="4"/>
      <c r="AA92" s="4"/>
      <c r="AB92" s="4"/>
      <c r="AC92" s="4"/>
      <c r="AD92" s="4"/>
      <c r="AE92" s="4"/>
      <c r="AF92" s="4"/>
      <c r="AG92" s="4"/>
      <c r="AH92" s="4"/>
      <c r="AI92" s="4"/>
      <c r="AJ92" s="4"/>
      <c r="AK92" s="4"/>
      <c r="AL92" s="4"/>
      <c r="AM92" s="4"/>
      <c r="AN92" s="4"/>
      <c r="AO92" s="4"/>
    </row>
    <row r="93" spans="1:41" ht="15" x14ac:dyDescent="0.2">
      <c r="A93" s="20"/>
      <c r="B93" s="20"/>
      <c r="C93" s="20"/>
      <c r="D93" s="20"/>
      <c r="E93" s="20"/>
      <c r="F93" s="20"/>
      <c r="G93" s="20"/>
      <c r="H93" s="20"/>
      <c r="I93" s="20"/>
      <c r="J93" s="20"/>
      <c r="K93" s="20"/>
      <c r="L93" s="20"/>
      <c r="M93" s="20"/>
      <c r="N93" s="20"/>
      <c r="O93" s="20"/>
      <c r="P93" s="20"/>
      <c r="Q93" s="20"/>
      <c r="R93" s="20"/>
      <c r="S93" s="20"/>
      <c r="T93" s="20"/>
      <c r="U93" s="4"/>
      <c r="V93" s="4"/>
      <c r="W93" s="4"/>
      <c r="X93" s="4"/>
      <c r="Y93" s="4"/>
      <c r="Z93" s="4"/>
      <c r="AA93" s="4"/>
      <c r="AB93" s="4"/>
      <c r="AC93" s="4"/>
      <c r="AD93" s="4"/>
      <c r="AE93" s="4"/>
      <c r="AF93" s="4"/>
      <c r="AG93" s="4"/>
      <c r="AH93" s="4"/>
      <c r="AI93" s="4"/>
      <c r="AJ93" s="4"/>
      <c r="AK93" s="4"/>
      <c r="AL93" s="4"/>
      <c r="AM93" s="4"/>
      <c r="AN93" s="4"/>
      <c r="AO93" s="4"/>
    </row>
    <row r="94" spans="1:41" ht="15" x14ac:dyDescent="0.2">
      <c r="A94" s="20"/>
      <c r="B94" s="20"/>
      <c r="C94" s="20"/>
      <c r="D94" s="20"/>
      <c r="E94" s="20"/>
      <c r="F94" s="20"/>
      <c r="G94" s="20"/>
      <c r="H94" s="20"/>
      <c r="I94" s="20"/>
      <c r="J94" s="20"/>
      <c r="K94" s="20"/>
      <c r="L94" s="20"/>
      <c r="M94" s="20"/>
      <c r="N94" s="20"/>
      <c r="O94" s="20"/>
      <c r="P94" s="20"/>
      <c r="Q94" s="20"/>
      <c r="R94" s="20"/>
      <c r="S94" s="20"/>
      <c r="T94" s="20"/>
      <c r="U94" s="4"/>
      <c r="V94" s="4"/>
      <c r="W94" s="4"/>
      <c r="X94" s="4"/>
      <c r="Y94" s="4"/>
      <c r="Z94" s="4"/>
      <c r="AA94" s="4"/>
      <c r="AB94" s="4"/>
      <c r="AC94" s="4"/>
      <c r="AD94" s="4"/>
      <c r="AE94" s="4"/>
      <c r="AF94" s="4"/>
      <c r="AG94" s="4"/>
      <c r="AH94" s="4"/>
      <c r="AI94" s="4"/>
      <c r="AJ94" s="4"/>
      <c r="AK94" s="4"/>
      <c r="AL94" s="4"/>
      <c r="AM94" s="4"/>
      <c r="AN94" s="4"/>
      <c r="AO94" s="4"/>
    </row>
    <row r="95" spans="1:41" ht="15" x14ac:dyDescent="0.2">
      <c r="A95" s="20"/>
      <c r="B95" s="20"/>
      <c r="C95" s="20"/>
      <c r="D95" s="20"/>
      <c r="E95" s="20"/>
      <c r="F95" s="20"/>
      <c r="G95" s="20"/>
      <c r="H95" s="20"/>
      <c r="I95" s="20"/>
      <c r="J95" s="20"/>
      <c r="K95" s="20"/>
      <c r="L95" s="20"/>
      <c r="M95" s="20"/>
      <c r="N95" s="20"/>
      <c r="O95" s="20"/>
      <c r="P95" s="20"/>
      <c r="Q95" s="20"/>
      <c r="R95" s="20"/>
      <c r="S95" s="20"/>
      <c r="T95" s="20"/>
      <c r="U95" s="4"/>
      <c r="V95" s="4"/>
      <c r="W95" s="4"/>
      <c r="X95" s="4"/>
      <c r="Y95" s="4"/>
      <c r="Z95" s="4"/>
      <c r="AA95" s="4"/>
      <c r="AB95" s="4"/>
      <c r="AC95" s="4"/>
      <c r="AD95" s="4"/>
      <c r="AE95" s="4"/>
      <c r="AF95" s="4"/>
      <c r="AG95" s="4"/>
      <c r="AH95" s="4"/>
      <c r="AI95" s="4"/>
      <c r="AJ95" s="4"/>
      <c r="AK95" s="4"/>
      <c r="AL95" s="4"/>
      <c r="AM95" s="4"/>
      <c r="AN95" s="4"/>
      <c r="AO95" s="4"/>
    </row>
    <row r="96" spans="1:41" ht="15" x14ac:dyDescent="0.2">
      <c r="A96" s="20"/>
      <c r="B96" s="20"/>
      <c r="C96" s="20"/>
      <c r="D96" s="20"/>
      <c r="E96" s="20"/>
      <c r="F96" s="20"/>
      <c r="G96" s="20"/>
      <c r="H96" s="20"/>
      <c r="I96" s="20"/>
      <c r="J96" s="20"/>
      <c r="K96" s="20"/>
      <c r="L96" s="20"/>
      <c r="M96" s="20"/>
      <c r="N96" s="20"/>
      <c r="O96" s="20"/>
      <c r="P96" s="20"/>
      <c r="Q96" s="20"/>
      <c r="R96" s="20"/>
      <c r="S96" s="20"/>
      <c r="T96" s="20"/>
      <c r="U96" s="4"/>
      <c r="V96" s="4"/>
      <c r="W96" s="4"/>
      <c r="X96" s="4"/>
      <c r="Y96" s="4"/>
      <c r="Z96" s="4"/>
      <c r="AA96" s="4"/>
      <c r="AB96" s="4"/>
      <c r="AC96" s="4"/>
      <c r="AD96" s="4"/>
      <c r="AE96" s="4"/>
      <c r="AF96" s="4"/>
      <c r="AG96" s="4"/>
      <c r="AH96" s="4"/>
      <c r="AI96" s="4"/>
      <c r="AJ96" s="4"/>
      <c r="AK96" s="4"/>
      <c r="AL96" s="4"/>
      <c r="AM96" s="4"/>
      <c r="AN96" s="4"/>
      <c r="AO96" s="4"/>
    </row>
    <row r="97" spans="1:41" ht="15" x14ac:dyDescent="0.2">
      <c r="A97" s="20"/>
      <c r="B97" s="20"/>
      <c r="C97" s="20"/>
      <c r="D97" s="20"/>
      <c r="E97" s="20"/>
      <c r="F97" s="20"/>
      <c r="G97" s="20"/>
      <c r="H97" s="20"/>
      <c r="I97" s="20"/>
      <c r="J97" s="20"/>
      <c r="K97" s="20"/>
      <c r="L97" s="20"/>
      <c r="M97" s="20"/>
      <c r="N97" s="20"/>
      <c r="O97" s="20"/>
      <c r="P97" s="20"/>
      <c r="Q97" s="20"/>
      <c r="R97" s="20"/>
      <c r="S97" s="20"/>
      <c r="T97" s="20"/>
      <c r="U97" s="4"/>
      <c r="V97" s="4"/>
      <c r="W97" s="4"/>
      <c r="X97" s="4"/>
      <c r="Y97" s="4"/>
      <c r="Z97" s="4"/>
      <c r="AA97" s="4"/>
      <c r="AB97" s="4"/>
      <c r="AC97" s="4"/>
      <c r="AD97" s="4"/>
      <c r="AE97" s="4"/>
      <c r="AF97" s="4"/>
      <c r="AG97" s="4"/>
      <c r="AH97" s="4"/>
      <c r="AI97" s="4"/>
      <c r="AJ97" s="4"/>
      <c r="AK97" s="4"/>
      <c r="AL97" s="4"/>
      <c r="AM97" s="4"/>
      <c r="AN97" s="4"/>
      <c r="AO97" s="4"/>
    </row>
    <row r="98" spans="1:41" ht="15" x14ac:dyDescent="0.2">
      <c r="A98" s="20"/>
      <c r="B98" s="20"/>
      <c r="C98" s="20"/>
      <c r="D98" s="20"/>
      <c r="E98" s="20"/>
      <c r="F98" s="20"/>
      <c r="G98" s="20"/>
      <c r="H98" s="20"/>
      <c r="I98" s="20"/>
      <c r="J98" s="20"/>
      <c r="K98" s="20"/>
      <c r="L98" s="20"/>
      <c r="M98" s="20"/>
      <c r="N98" s="20"/>
      <c r="O98" s="20"/>
      <c r="P98" s="20"/>
      <c r="Q98" s="20"/>
      <c r="R98" s="20"/>
      <c r="S98" s="20"/>
      <c r="T98" s="20"/>
      <c r="U98" s="4"/>
      <c r="V98" s="4"/>
      <c r="W98" s="4"/>
      <c r="X98" s="4"/>
      <c r="Y98" s="4"/>
      <c r="Z98" s="4"/>
      <c r="AA98" s="4"/>
      <c r="AB98" s="4"/>
      <c r="AC98" s="4"/>
      <c r="AD98" s="4"/>
      <c r="AE98" s="4"/>
      <c r="AF98" s="4"/>
      <c r="AG98" s="4"/>
      <c r="AH98" s="4"/>
      <c r="AI98" s="4"/>
      <c r="AJ98" s="4"/>
      <c r="AK98" s="4"/>
      <c r="AL98" s="4"/>
      <c r="AM98" s="4"/>
      <c r="AN98" s="4"/>
      <c r="AO98" s="4"/>
    </row>
    <row r="99" spans="1:41" ht="15" x14ac:dyDescent="0.2">
      <c r="A99" s="20"/>
      <c r="B99" s="20"/>
      <c r="C99" s="20"/>
      <c r="D99" s="20"/>
      <c r="E99" s="20"/>
      <c r="F99" s="20"/>
      <c r="G99" s="20"/>
      <c r="H99" s="20"/>
      <c r="I99" s="20"/>
      <c r="J99" s="20"/>
      <c r="K99" s="20"/>
      <c r="L99" s="20"/>
      <c r="M99" s="20"/>
      <c r="N99" s="20"/>
      <c r="O99" s="20"/>
      <c r="P99" s="20"/>
      <c r="Q99" s="20"/>
      <c r="R99" s="20"/>
      <c r="S99" s="20"/>
      <c r="T99" s="20"/>
      <c r="U99" s="4"/>
      <c r="V99" s="4"/>
      <c r="W99" s="4"/>
      <c r="X99" s="4"/>
      <c r="Y99" s="4"/>
      <c r="Z99" s="4"/>
      <c r="AA99" s="4"/>
      <c r="AB99" s="4"/>
      <c r="AC99" s="4"/>
      <c r="AD99" s="4"/>
      <c r="AE99" s="4"/>
      <c r="AF99" s="4"/>
      <c r="AG99" s="4"/>
      <c r="AH99" s="4"/>
      <c r="AI99" s="4"/>
      <c r="AJ99" s="4"/>
      <c r="AK99" s="4"/>
      <c r="AL99" s="4"/>
      <c r="AM99" s="4"/>
      <c r="AN99" s="4"/>
      <c r="AO99" s="4"/>
    </row>
    <row r="100" spans="1:41" ht="15" x14ac:dyDescent="0.2">
      <c r="A100" s="20"/>
      <c r="B100" s="20"/>
      <c r="C100" s="20"/>
      <c r="D100" s="20"/>
      <c r="E100" s="20"/>
      <c r="F100" s="20"/>
      <c r="G100" s="20"/>
      <c r="H100" s="20"/>
      <c r="I100" s="20"/>
      <c r="J100" s="20"/>
      <c r="K100" s="20"/>
      <c r="L100" s="20"/>
      <c r="M100" s="20"/>
      <c r="N100" s="20"/>
      <c r="O100" s="20"/>
      <c r="P100" s="20"/>
      <c r="Q100" s="20"/>
      <c r="R100" s="20"/>
      <c r="S100" s="20"/>
      <c r="T100" s="20"/>
      <c r="U100" s="4"/>
      <c r="V100" s="4"/>
      <c r="W100" s="4"/>
      <c r="X100" s="4"/>
      <c r="Y100" s="4"/>
      <c r="Z100" s="4"/>
      <c r="AA100" s="4"/>
      <c r="AB100" s="4"/>
      <c r="AC100" s="4"/>
      <c r="AD100" s="4"/>
      <c r="AE100" s="4"/>
      <c r="AF100" s="4"/>
      <c r="AG100" s="4"/>
      <c r="AH100" s="4"/>
      <c r="AI100" s="4"/>
      <c r="AJ100" s="4"/>
      <c r="AK100" s="4"/>
      <c r="AL100" s="4"/>
      <c r="AM100" s="4"/>
      <c r="AN100" s="4"/>
      <c r="AO100" s="4"/>
    </row>
    <row r="101" spans="1:41" ht="15" x14ac:dyDescent="0.2">
      <c r="A101" s="20"/>
      <c r="B101" s="20"/>
      <c r="C101" s="20"/>
      <c r="D101" s="20"/>
      <c r="E101" s="20"/>
      <c r="F101" s="20"/>
      <c r="G101" s="20"/>
      <c r="H101" s="20"/>
      <c r="I101" s="20"/>
      <c r="J101" s="20"/>
      <c r="K101" s="20"/>
      <c r="L101" s="20"/>
      <c r="M101" s="20"/>
      <c r="N101" s="20"/>
      <c r="O101" s="20"/>
      <c r="P101" s="20"/>
      <c r="Q101" s="20"/>
      <c r="R101" s="20"/>
      <c r="S101" s="20"/>
      <c r="T101" s="20"/>
      <c r="U101" s="4"/>
      <c r="V101" s="4"/>
      <c r="W101" s="4"/>
      <c r="X101" s="4"/>
      <c r="Y101" s="4"/>
      <c r="Z101" s="4"/>
      <c r="AA101" s="4"/>
      <c r="AB101" s="4"/>
      <c r="AC101" s="4"/>
      <c r="AD101" s="4"/>
      <c r="AE101" s="4"/>
      <c r="AF101" s="4"/>
      <c r="AG101" s="4"/>
      <c r="AH101" s="4"/>
      <c r="AI101" s="4"/>
      <c r="AJ101" s="4"/>
      <c r="AK101" s="4"/>
      <c r="AL101" s="4"/>
      <c r="AM101" s="4"/>
      <c r="AN101" s="4"/>
      <c r="AO101" s="4"/>
    </row>
    <row r="102" spans="1:41" ht="15" x14ac:dyDescent="0.2">
      <c r="A102" s="20"/>
      <c r="B102" s="20"/>
      <c r="C102" s="20"/>
      <c r="D102" s="20"/>
      <c r="E102" s="20"/>
      <c r="F102" s="20"/>
      <c r="G102" s="20"/>
      <c r="H102" s="20"/>
      <c r="I102" s="20"/>
      <c r="J102" s="20"/>
      <c r="K102" s="20"/>
      <c r="L102" s="20"/>
      <c r="M102" s="20"/>
      <c r="N102" s="20"/>
      <c r="O102" s="20"/>
      <c r="P102" s="20"/>
      <c r="Q102" s="20"/>
      <c r="R102" s="20"/>
      <c r="S102" s="20"/>
      <c r="T102" s="20"/>
      <c r="U102" s="4"/>
      <c r="V102" s="4"/>
      <c r="W102" s="4"/>
      <c r="X102" s="4"/>
      <c r="Y102" s="4"/>
      <c r="Z102" s="4"/>
      <c r="AA102" s="4"/>
      <c r="AB102" s="4"/>
      <c r="AC102" s="4"/>
      <c r="AD102" s="4"/>
      <c r="AE102" s="4"/>
      <c r="AF102" s="4"/>
      <c r="AG102" s="4"/>
      <c r="AH102" s="4"/>
      <c r="AI102" s="4"/>
      <c r="AJ102" s="4"/>
      <c r="AK102" s="4"/>
      <c r="AL102" s="4"/>
      <c r="AM102" s="4"/>
      <c r="AN102" s="4"/>
      <c r="AO102" s="4"/>
    </row>
    <row r="103" spans="1:41" ht="15" x14ac:dyDescent="0.2">
      <c r="A103" s="20"/>
      <c r="B103" s="20"/>
      <c r="C103" s="20"/>
      <c r="D103" s="20"/>
      <c r="E103" s="20"/>
      <c r="F103" s="20"/>
      <c r="G103" s="20"/>
      <c r="H103" s="20"/>
      <c r="I103" s="20"/>
      <c r="J103" s="20"/>
      <c r="K103" s="20"/>
      <c r="L103" s="20"/>
      <c r="M103" s="20"/>
      <c r="N103" s="20"/>
      <c r="O103" s="20"/>
      <c r="P103" s="20"/>
      <c r="Q103" s="20"/>
      <c r="R103" s="20"/>
      <c r="S103" s="20"/>
      <c r="T103" s="20"/>
      <c r="U103" s="4"/>
      <c r="V103" s="4"/>
      <c r="W103" s="4"/>
      <c r="X103" s="4"/>
      <c r="Y103" s="4"/>
      <c r="Z103" s="4"/>
      <c r="AA103" s="4"/>
      <c r="AB103" s="4"/>
      <c r="AC103" s="4"/>
      <c r="AD103" s="4"/>
      <c r="AE103" s="4"/>
      <c r="AF103" s="4"/>
      <c r="AG103" s="4"/>
      <c r="AH103" s="4"/>
      <c r="AI103" s="4"/>
      <c r="AJ103" s="4"/>
      <c r="AK103" s="4"/>
      <c r="AL103" s="4"/>
      <c r="AM103" s="4"/>
      <c r="AN103" s="4"/>
      <c r="AO103" s="4"/>
    </row>
    <row r="104" spans="1:41" ht="15" x14ac:dyDescent="0.2">
      <c r="A104" s="20"/>
      <c r="B104" s="20"/>
      <c r="C104" s="20"/>
      <c r="D104" s="20"/>
      <c r="E104" s="20"/>
      <c r="F104" s="20"/>
      <c r="G104" s="20"/>
      <c r="H104" s="20"/>
      <c r="I104" s="20"/>
      <c r="J104" s="20"/>
      <c r="K104" s="20"/>
      <c r="L104" s="20"/>
      <c r="M104" s="20"/>
      <c r="N104" s="20"/>
      <c r="O104" s="20"/>
      <c r="P104" s="20"/>
      <c r="Q104" s="20"/>
      <c r="R104" s="20"/>
      <c r="S104" s="20"/>
      <c r="T104" s="20"/>
      <c r="U104" s="4"/>
      <c r="V104" s="4"/>
      <c r="W104" s="4"/>
      <c r="X104" s="4"/>
      <c r="Y104" s="4"/>
      <c r="Z104" s="4"/>
      <c r="AA104" s="4"/>
      <c r="AB104" s="4"/>
      <c r="AC104" s="4"/>
      <c r="AD104" s="4"/>
      <c r="AE104" s="4"/>
      <c r="AF104" s="4"/>
      <c r="AG104" s="4"/>
      <c r="AH104" s="4"/>
      <c r="AI104" s="4"/>
      <c r="AJ104" s="4"/>
      <c r="AK104" s="4"/>
      <c r="AL104" s="4"/>
      <c r="AM104" s="4"/>
      <c r="AN104" s="4"/>
      <c r="AO104" s="4"/>
    </row>
    <row r="105" spans="1:41" ht="15" x14ac:dyDescent="0.2">
      <c r="A105" s="20"/>
      <c r="B105" s="20"/>
      <c r="C105" s="20"/>
      <c r="D105" s="20"/>
      <c r="E105" s="20"/>
      <c r="F105" s="20"/>
      <c r="G105" s="20"/>
      <c r="H105" s="20"/>
      <c r="I105" s="20"/>
      <c r="J105" s="20"/>
      <c r="K105" s="20"/>
      <c r="L105" s="20"/>
      <c r="M105" s="20"/>
      <c r="N105" s="20"/>
      <c r="O105" s="20"/>
      <c r="P105" s="20"/>
      <c r="Q105" s="20"/>
      <c r="R105" s="20"/>
      <c r="S105" s="20"/>
      <c r="T105" s="20"/>
      <c r="U105" s="4"/>
      <c r="V105" s="4"/>
      <c r="W105" s="4"/>
      <c r="X105" s="4"/>
      <c r="Y105" s="4"/>
      <c r="Z105" s="4"/>
      <c r="AA105" s="4"/>
      <c r="AB105" s="4"/>
      <c r="AC105" s="4"/>
      <c r="AD105" s="4"/>
      <c r="AE105" s="4"/>
      <c r="AF105" s="4"/>
      <c r="AG105" s="4"/>
      <c r="AH105" s="4"/>
      <c r="AI105" s="4"/>
      <c r="AJ105" s="4"/>
      <c r="AK105" s="4"/>
      <c r="AL105" s="4"/>
      <c r="AM105" s="4"/>
      <c r="AN105" s="4"/>
      <c r="AO105" s="4"/>
    </row>
    <row r="106" spans="1:41" ht="15" x14ac:dyDescent="0.2">
      <c r="A106" s="20"/>
      <c r="B106" s="20"/>
      <c r="C106" s="20"/>
      <c r="D106" s="20"/>
      <c r="E106" s="20"/>
      <c r="F106" s="20"/>
      <c r="G106" s="20"/>
      <c r="H106" s="20"/>
      <c r="I106" s="20"/>
      <c r="J106" s="20"/>
      <c r="K106" s="20"/>
      <c r="L106" s="20"/>
      <c r="M106" s="20"/>
      <c r="N106" s="20"/>
      <c r="O106" s="20"/>
      <c r="P106" s="20"/>
      <c r="Q106" s="20"/>
      <c r="R106" s="20"/>
      <c r="S106" s="20"/>
      <c r="T106" s="20"/>
      <c r="U106" s="4"/>
      <c r="V106" s="4"/>
      <c r="W106" s="4"/>
      <c r="X106" s="4"/>
      <c r="Y106" s="4"/>
      <c r="Z106" s="4"/>
      <c r="AA106" s="4"/>
      <c r="AB106" s="4"/>
      <c r="AC106" s="4"/>
      <c r="AD106" s="4"/>
      <c r="AE106" s="4"/>
      <c r="AF106" s="4"/>
      <c r="AG106" s="4"/>
      <c r="AH106" s="4"/>
      <c r="AI106" s="4"/>
      <c r="AJ106" s="4"/>
      <c r="AK106" s="4"/>
      <c r="AL106" s="4"/>
      <c r="AM106" s="4"/>
      <c r="AN106" s="4"/>
      <c r="AO106" s="4"/>
    </row>
    <row r="107" spans="1:41" ht="15" x14ac:dyDescent="0.2">
      <c r="A107" s="20"/>
      <c r="B107" s="20"/>
      <c r="C107" s="20"/>
      <c r="D107" s="20"/>
      <c r="E107" s="20"/>
      <c r="F107" s="20"/>
      <c r="G107" s="20"/>
      <c r="H107" s="20"/>
      <c r="I107" s="20"/>
      <c r="J107" s="20"/>
      <c r="K107" s="20"/>
      <c r="L107" s="20"/>
      <c r="M107" s="20"/>
      <c r="N107" s="20"/>
      <c r="O107" s="20"/>
      <c r="P107" s="20"/>
      <c r="Q107" s="20"/>
      <c r="R107" s="20"/>
      <c r="S107" s="20"/>
      <c r="T107" s="20"/>
      <c r="U107" s="4"/>
      <c r="V107" s="4"/>
      <c r="W107" s="4"/>
      <c r="X107" s="4"/>
      <c r="Y107" s="4"/>
      <c r="Z107" s="4"/>
      <c r="AA107" s="4"/>
      <c r="AB107" s="4"/>
      <c r="AC107" s="4"/>
      <c r="AD107" s="4"/>
      <c r="AE107" s="4"/>
      <c r="AF107" s="4"/>
      <c r="AG107" s="4"/>
      <c r="AH107" s="4"/>
      <c r="AI107" s="4"/>
      <c r="AJ107" s="4"/>
      <c r="AK107" s="4"/>
      <c r="AL107" s="4"/>
      <c r="AM107" s="4"/>
      <c r="AN107" s="4"/>
      <c r="AO107" s="4"/>
    </row>
    <row r="108" spans="1:41" ht="15" x14ac:dyDescent="0.2">
      <c r="A108" s="20"/>
      <c r="B108" s="20"/>
      <c r="C108" s="20"/>
      <c r="D108" s="20"/>
      <c r="E108" s="20"/>
      <c r="F108" s="20"/>
      <c r="G108" s="20"/>
      <c r="H108" s="20"/>
      <c r="I108" s="20"/>
      <c r="J108" s="20"/>
      <c r="K108" s="20"/>
      <c r="L108" s="20"/>
      <c r="M108" s="20"/>
      <c r="N108" s="20"/>
      <c r="O108" s="20"/>
      <c r="P108" s="20"/>
      <c r="Q108" s="20"/>
      <c r="R108" s="20"/>
      <c r="S108" s="20"/>
      <c r="T108" s="20"/>
      <c r="U108" s="4"/>
      <c r="V108" s="4"/>
      <c r="W108" s="4"/>
      <c r="X108" s="4"/>
      <c r="Y108" s="4"/>
      <c r="Z108" s="4"/>
      <c r="AA108" s="4"/>
      <c r="AB108" s="4"/>
      <c r="AC108" s="4"/>
      <c r="AD108" s="4"/>
      <c r="AE108" s="4"/>
      <c r="AF108" s="4"/>
      <c r="AG108" s="4"/>
      <c r="AH108" s="4"/>
      <c r="AI108" s="4"/>
      <c r="AJ108" s="4"/>
      <c r="AK108" s="4"/>
      <c r="AL108" s="4"/>
      <c r="AM108" s="4"/>
      <c r="AN108" s="4"/>
      <c r="AO108" s="4"/>
    </row>
    <row r="109" spans="1:41" ht="15" x14ac:dyDescent="0.2">
      <c r="A109" s="20"/>
      <c r="B109" s="20"/>
      <c r="C109" s="20"/>
      <c r="D109" s="20"/>
      <c r="E109" s="20"/>
      <c r="F109" s="20"/>
      <c r="G109" s="20"/>
      <c r="H109" s="20"/>
      <c r="I109" s="20"/>
      <c r="J109" s="20"/>
      <c r="K109" s="20"/>
      <c r="L109" s="20"/>
      <c r="M109" s="20"/>
      <c r="N109" s="20"/>
      <c r="O109" s="20"/>
      <c r="P109" s="20"/>
      <c r="Q109" s="20"/>
      <c r="R109" s="20"/>
      <c r="S109" s="20"/>
      <c r="T109" s="20"/>
      <c r="U109" s="4"/>
      <c r="V109" s="4"/>
      <c r="W109" s="4"/>
      <c r="X109" s="4"/>
      <c r="Y109" s="4"/>
      <c r="Z109" s="4"/>
      <c r="AA109" s="4"/>
      <c r="AB109" s="4"/>
      <c r="AC109" s="4"/>
      <c r="AD109" s="4"/>
      <c r="AE109" s="4"/>
      <c r="AF109" s="4"/>
      <c r="AG109" s="4"/>
      <c r="AH109" s="4"/>
      <c r="AI109" s="4"/>
      <c r="AJ109" s="4"/>
      <c r="AK109" s="4"/>
      <c r="AL109" s="4"/>
      <c r="AM109" s="4"/>
      <c r="AN109" s="4"/>
      <c r="AO109" s="4"/>
    </row>
    <row r="110" spans="1:41" ht="15" x14ac:dyDescent="0.2">
      <c r="A110" s="20"/>
      <c r="B110" s="20"/>
      <c r="C110" s="20"/>
      <c r="D110" s="20"/>
      <c r="E110" s="20"/>
      <c r="F110" s="20"/>
      <c r="G110" s="20"/>
      <c r="H110" s="20"/>
      <c r="I110" s="20"/>
      <c r="J110" s="20"/>
      <c r="K110" s="20"/>
      <c r="L110" s="20"/>
      <c r="M110" s="20"/>
      <c r="N110" s="20"/>
      <c r="O110" s="20"/>
      <c r="P110" s="20"/>
      <c r="Q110" s="20"/>
      <c r="R110" s="20"/>
      <c r="S110" s="20"/>
      <c r="T110" s="20"/>
      <c r="U110" s="4"/>
      <c r="V110" s="4"/>
      <c r="W110" s="4"/>
      <c r="X110" s="4"/>
      <c r="Y110" s="4"/>
      <c r="Z110" s="4"/>
      <c r="AA110" s="4"/>
      <c r="AB110" s="4"/>
      <c r="AC110" s="4"/>
      <c r="AD110" s="4"/>
      <c r="AE110" s="4"/>
      <c r="AF110" s="4"/>
      <c r="AG110" s="4"/>
      <c r="AH110" s="4"/>
      <c r="AI110" s="4"/>
      <c r="AJ110" s="4"/>
      <c r="AK110" s="4"/>
      <c r="AL110" s="4"/>
      <c r="AM110" s="4"/>
      <c r="AN110" s="4"/>
      <c r="AO110" s="4"/>
    </row>
    <row r="111" spans="1:41" ht="15" x14ac:dyDescent="0.2">
      <c r="A111" s="20"/>
      <c r="B111" s="20"/>
      <c r="C111" s="20"/>
      <c r="D111" s="20"/>
      <c r="E111" s="20"/>
      <c r="F111" s="20"/>
      <c r="G111" s="20"/>
      <c r="H111" s="20"/>
      <c r="I111" s="20"/>
      <c r="J111" s="20"/>
      <c r="K111" s="20"/>
      <c r="L111" s="20"/>
      <c r="M111" s="20"/>
      <c r="N111" s="20"/>
      <c r="O111" s="20"/>
      <c r="P111" s="20"/>
      <c r="Q111" s="20"/>
      <c r="R111" s="20"/>
      <c r="S111" s="20"/>
      <c r="T111" s="20"/>
      <c r="U111" s="4"/>
      <c r="V111" s="4"/>
      <c r="W111" s="4"/>
      <c r="X111" s="4"/>
      <c r="Y111" s="4"/>
      <c r="Z111" s="4"/>
      <c r="AA111" s="4"/>
      <c r="AB111" s="4"/>
      <c r="AC111" s="4"/>
      <c r="AD111" s="4"/>
      <c r="AE111" s="4"/>
      <c r="AF111" s="4"/>
      <c r="AG111" s="4"/>
      <c r="AH111" s="4"/>
      <c r="AI111" s="4"/>
      <c r="AJ111" s="4"/>
      <c r="AK111" s="4"/>
      <c r="AL111" s="4"/>
      <c r="AM111" s="4"/>
      <c r="AN111" s="4"/>
      <c r="AO111" s="4"/>
    </row>
    <row r="112" spans="1:41" ht="15" x14ac:dyDescent="0.2">
      <c r="A112" s="20"/>
      <c r="B112" s="20"/>
      <c r="C112" s="20"/>
      <c r="D112" s="20"/>
      <c r="E112" s="20"/>
      <c r="F112" s="20"/>
      <c r="G112" s="20"/>
      <c r="H112" s="20"/>
      <c r="I112" s="20"/>
      <c r="J112" s="20"/>
      <c r="K112" s="20"/>
      <c r="L112" s="20"/>
      <c r="M112" s="20"/>
      <c r="N112" s="20"/>
      <c r="O112" s="20"/>
      <c r="P112" s="20"/>
      <c r="Q112" s="20"/>
      <c r="R112" s="20"/>
      <c r="S112" s="20"/>
      <c r="T112" s="20"/>
      <c r="U112" s="4"/>
      <c r="V112" s="4"/>
      <c r="W112" s="4"/>
      <c r="X112" s="4"/>
      <c r="Y112" s="4"/>
      <c r="Z112" s="4"/>
      <c r="AA112" s="4"/>
      <c r="AB112" s="4"/>
      <c r="AC112" s="4"/>
      <c r="AD112" s="4"/>
      <c r="AE112" s="4"/>
      <c r="AF112" s="4"/>
      <c r="AG112" s="4"/>
      <c r="AH112" s="4"/>
      <c r="AI112" s="4"/>
      <c r="AJ112" s="4"/>
      <c r="AK112" s="4"/>
      <c r="AL112" s="4"/>
      <c r="AM112" s="4"/>
      <c r="AN112" s="4"/>
      <c r="AO112" s="4"/>
    </row>
    <row r="113" spans="1:41" ht="15" x14ac:dyDescent="0.2">
      <c r="A113" s="20"/>
      <c r="B113" s="20"/>
      <c r="C113" s="20"/>
      <c r="D113" s="20"/>
      <c r="E113" s="20"/>
      <c r="F113" s="20"/>
      <c r="G113" s="20"/>
      <c r="H113" s="20"/>
      <c r="I113" s="20"/>
      <c r="J113" s="20"/>
      <c r="K113" s="20"/>
      <c r="L113" s="20"/>
      <c r="M113" s="20"/>
      <c r="N113" s="20"/>
      <c r="O113" s="20"/>
      <c r="P113" s="20"/>
      <c r="Q113" s="20"/>
      <c r="R113" s="20"/>
      <c r="S113" s="20"/>
      <c r="T113" s="20"/>
      <c r="U113" s="4"/>
      <c r="V113" s="4"/>
      <c r="W113" s="4"/>
      <c r="X113" s="4"/>
      <c r="Y113" s="4"/>
      <c r="Z113" s="4"/>
      <c r="AA113" s="4"/>
      <c r="AB113" s="4"/>
      <c r="AC113" s="4"/>
      <c r="AD113" s="4"/>
      <c r="AE113" s="4"/>
      <c r="AF113" s="4"/>
      <c r="AG113" s="4"/>
      <c r="AH113" s="4"/>
      <c r="AI113" s="4"/>
      <c r="AJ113" s="4"/>
      <c r="AK113" s="4"/>
      <c r="AL113" s="4"/>
      <c r="AM113" s="4"/>
      <c r="AN113" s="4"/>
      <c r="AO113" s="4"/>
    </row>
    <row r="114" spans="1:41" ht="15" x14ac:dyDescent="0.2">
      <c r="A114" s="20"/>
      <c r="B114" s="20"/>
      <c r="C114" s="20"/>
      <c r="D114" s="20"/>
      <c r="E114" s="20"/>
      <c r="F114" s="20"/>
      <c r="G114" s="20"/>
      <c r="H114" s="20"/>
      <c r="I114" s="20"/>
      <c r="J114" s="20"/>
      <c r="K114" s="20"/>
      <c r="L114" s="20"/>
      <c r="M114" s="20"/>
      <c r="N114" s="20"/>
      <c r="O114" s="20"/>
      <c r="P114" s="20"/>
      <c r="Q114" s="20"/>
      <c r="R114" s="20"/>
      <c r="S114" s="20"/>
      <c r="T114" s="20"/>
      <c r="U114" s="4"/>
      <c r="V114" s="4"/>
      <c r="W114" s="4"/>
      <c r="X114" s="4"/>
      <c r="Y114" s="4"/>
      <c r="Z114" s="4"/>
      <c r="AA114" s="4"/>
      <c r="AB114" s="4"/>
      <c r="AC114" s="4"/>
      <c r="AD114" s="4"/>
      <c r="AE114" s="4"/>
      <c r="AF114" s="4"/>
      <c r="AG114" s="4"/>
      <c r="AH114" s="4"/>
      <c r="AI114" s="4"/>
      <c r="AJ114" s="4"/>
      <c r="AK114" s="4"/>
      <c r="AL114" s="4"/>
      <c r="AM114" s="4"/>
      <c r="AN114" s="4"/>
      <c r="AO114" s="4"/>
    </row>
    <row r="115" spans="1:41" ht="15" x14ac:dyDescent="0.2">
      <c r="A115" s="20"/>
      <c r="B115" s="20"/>
      <c r="C115" s="20"/>
      <c r="D115" s="20"/>
      <c r="E115" s="20"/>
      <c r="F115" s="20"/>
      <c r="G115" s="20"/>
      <c r="H115" s="20"/>
      <c r="I115" s="20"/>
      <c r="J115" s="20"/>
      <c r="K115" s="20"/>
      <c r="L115" s="20"/>
      <c r="M115" s="20"/>
      <c r="N115" s="20"/>
      <c r="O115" s="20"/>
      <c r="P115" s="20"/>
      <c r="Q115" s="20"/>
      <c r="R115" s="20"/>
      <c r="S115" s="20"/>
      <c r="T115" s="20"/>
      <c r="U115" s="4"/>
      <c r="V115" s="4"/>
      <c r="W115" s="4"/>
      <c r="X115" s="4"/>
      <c r="Y115" s="4"/>
      <c r="Z115" s="4"/>
      <c r="AA115" s="4"/>
      <c r="AB115" s="4"/>
      <c r="AC115" s="4"/>
      <c r="AD115" s="4"/>
      <c r="AE115" s="4"/>
      <c r="AF115" s="4"/>
      <c r="AG115" s="4"/>
      <c r="AH115" s="4"/>
      <c r="AI115" s="4"/>
      <c r="AJ115" s="4"/>
      <c r="AK115" s="4"/>
      <c r="AL115" s="4"/>
      <c r="AM115" s="4"/>
      <c r="AN115" s="4"/>
      <c r="AO115" s="4"/>
    </row>
    <row r="116" spans="1:41" ht="15" x14ac:dyDescent="0.2">
      <c r="A116" s="20"/>
      <c r="B116" s="20"/>
      <c r="C116" s="20"/>
      <c r="D116" s="20"/>
      <c r="E116" s="20"/>
      <c r="F116" s="20"/>
      <c r="G116" s="20"/>
      <c r="H116" s="20"/>
      <c r="I116" s="20"/>
      <c r="J116" s="20"/>
      <c r="K116" s="20"/>
      <c r="L116" s="20"/>
      <c r="M116" s="20"/>
      <c r="N116" s="20"/>
      <c r="O116" s="20"/>
      <c r="P116" s="20"/>
      <c r="Q116" s="20"/>
      <c r="R116" s="20"/>
      <c r="S116" s="20"/>
      <c r="T116" s="20"/>
      <c r="U116" s="4"/>
      <c r="V116" s="4"/>
      <c r="W116" s="4"/>
      <c r="X116" s="4"/>
      <c r="Y116" s="4"/>
      <c r="Z116" s="4"/>
      <c r="AA116" s="4"/>
      <c r="AB116" s="4"/>
      <c r="AC116" s="4"/>
      <c r="AD116" s="4"/>
      <c r="AE116" s="4"/>
      <c r="AF116" s="4"/>
      <c r="AG116" s="4"/>
      <c r="AH116" s="4"/>
      <c r="AI116" s="4"/>
      <c r="AJ116" s="4"/>
      <c r="AK116" s="4"/>
      <c r="AL116" s="4"/>
      <c r="AM116" s="4"/>
      <c r="AN116" s="4"/>
      <c r="AO116" s="4"/>
    </row>
    <row r="117" spans="1:41" ht="15" x14ac:dyDescent="0.2">
      <c r="A117" s="20"/>
      <c r="B117" s="20"/>
      <c r="C117" s="20"/>
      <c r="D117" s="20"/>
      <c r="E117" s="20"/>
      <c r="F117" s="20"/>
      <c r="G117" s="20"/>
      <c r="H117" s="20"/>
      <c r="I117" s="20"/>
      <c r="J117" s="20"/>
      <c r="K117" s="20"/>
      <c r="L117" s="20"/>
      <c r="M117" s="20"/>
      <c r="N117" s="20"/>
      <c r="O117" s="20"/>
      <c r="P117" s="20"/>
      <c r="Q117" s="20"/>
      <c r="R117" s="20"/>
      <c r="S117" s="20"/>
      <c r="T117" s="20"/>
      <c r="U117" s="4"/>
      <c r="V117" s="4"/>
      <c r="W117" s="4"/>
      <c r="X117" s="4"/>
      <c r="Y117" s="4"/>
      <c r="Z117" s="4"/>
      <c r="AA117" s="4"/>
      <c r="AB117" s="4"/>
      <c r="AC117" s="4"/>
      <c r="AD117" s="4"/>
      <c r="AE117" s="4"/>
      <c r="AF117" s="4"/>
      <c r="AG117" s="4"/>
      <c r="AH117" s="4"/>
      <c r="AI117" s="4"/>
      <c r="AJ117" s="4"/>
      <c r="AK117" s="4"/>
      <c r="AL117" s="4"/>
      <c r="AM117" s="4"/>
      <c r="AN117" s="4"/>
      <c r="AO117" s="4"/>
    </row>
    <row r="118" spans="1:41" ht="15" x14ac:dyDescent="0.2">
      <c r="A118" s="20"/>
      <c r="B118" s="20"/>
      <c r="C118" s="20"/>
      <c r="D118" s="20"/>
      <c r="E118" s="20"/>
      <c r="F118" s="20"/>
      <c r="G118" s="20"/>
      <c r="H118" s="20"/>
      <c r="I118" s="20"/>
      <c r="J118" s="20"/>
      <c r="K118" s="20"/>
      <c r="L118" s="20"/>
      <c r="M118" s="20"/>
      <c r="N118" s="20"/>
      <c r="O118" s="20"/>
      <c r="P118" s="20"/>
      <c r="Q118" s="20"/>
      <c r="R118" s="20"/>
      <c r="S118" s="20"/>
      <c r="T118" s="20"/>
      <c r="U118" s="4"/>
      <c r="V118" s="4"/>
      <c r="W118" s="4"/>
      <c r="X118" s="4"/>
      <c r="Y118" s="4"/>
      <c r="Z118" s="4"/>
      <c r="AA118" s="4"/>
      <c r="AB118" s="4"/>
      <c r="AC118" s="4"/>
      <c r="AD118" s="4"/>
      <c r="AE118" s="4"/>
      <c r="AF118" s="4"/>
      <c r="AG118" s="4"/>
      <c r="AH118" s="4"/>
      <c r="AI118" s="4"/>
      <c r="AJ118" s="4"/>
      <c r="AK118" s="4"/>
      <c r="AL118" s="4"/>
      <c r="AM118" s="4"/>
      <c r="AN118" s="4"/>
      <c r="AO118" s="4"/>
    </row>
    <row r="119" spans="1:41" ht="15" x14ac:dyDescent="0.2">
      <c r="A119" s="20"/>
      <c r="B119" s="20"/>
      <c r="C119" s="20"/>
      <c r="D119" s="20"/>
      <c r="E119" s="20"/>
      <c r="F119" s="20"/>
      <c r="G119" s="20"/>
      <c r="H119" s="20"/>
      <c r="I119" s="20"/>
      <c r="J119" s="20"/>
      <c r="K119" s="20"/>
      <c r="L119" s="20"/>
      <c r="M119" s="20"/>
      <c r="N119" s="20"/>
      <c r="O119" s="20"/>
      <c r="P119" s="20"/>
      <c r="Q119" s="20"/>
      <c r="R119" s="20"/>
      <c r="S119" s="20"/>
      <c r="T119" s="20"/>
      <c r="U119" s="4"/>
      <c r="V119" s="4"/>
      <c r="W119" s="4"/>
      <c r="X119" s="4"/>
      <c r="Y119" s="4"/>
      <c r="Z119" s="4"/>
      <c r="AA119" s="4"/>
      <c r="AB119" s="4"/>
      <c r="AC119" s="4"/>
      <c r="AD119" s="4"/>
      <c r="AE119" s="4"/>
      <c r="AF119" s="4"/>
      <c r="AG119" s="4"/>
      <c r="AH119" s="4"/>
      <c r="AI119" s="4"/>
      <c r="AJ119" s="4"/>
      <c r="AK119" s="4"/>
      <c r="AL119" s="4"/>
      <c r="AM119" s="4"/>
      <c r="AN119" s="4"/>
      <c r="AO119" s="4"/>
    </row>
    <row r="120" spans="1:41" ht="15" x14ac:dyDescent="0.2">
      <c r="A120" s="20"/>
      <c r="B120" s="20"/>
      <c r="C120" s="20"/>
      <c r="D120" s="20"/>
      <c r="E120" s="20"/>
      <c r="F120" s="20"/>
      <c r="G120" s="20"/>
      <c r="H120" s="20"/>
      <c r="I120" s="20"/>
      <c r="J120" s="20"/>
      <c r="K120" s="20"/>
      <c r="L120" s="20"/>
      <c r="M120" s="20"/>
      <c r="N120" s="20"/>
      <c r="O120" s="20"/>
      <c r="P120" s="20"/>
      <c r="Q120" s="20"/>
      <c r="R120" s="20"/>
      <c r="S120" s="20"/>
      <c r="T120" s="20"/>
      <c r="U120" s="4"/>
      <c r="V120" s="4"/>
      <c r="W120" s="4"/>
      <c r="X120" s="4"/>
      <c r="Y120" s="4"/>
      <c r="Z120" s="4"/>
      <c r="AA120" s="4"/>
      <c r="AB120" s="4"/>
      <c r="AC120" s="4"/>
      <c r="AD120" s="4"/>
      <c r="AE120" s="4"/>
      <c r="AF120" s="4"/>
      <c r="AG120" s="4"/>
      <c r="AH120" s="4"/>
      <c r="AI120" s="4"/>
      <c r="AJ120" s="4"/>
      <c r="AK120" s="4"/>
      <c r="AL120" s="4"/>
      <c r="AM120" s="4"/>
      <c r="AN120" s="4"/>
      <c r="AO120" s="4"/>
    </row>
    <row r="121" spans="1:41" ht="15" x14ac:dyDescent="0.2">
      <c r="A121" s="20"/>
      <c r="B121" s="20"/>
      <c r="C121" s="20"/>
      <c r="D121" s="20"/>
      <c r="E121" s="20"/>
      <c r="F121" s="20"/>
      <c r="G121" s="20"/>
      <c r="H121" s="20"/>
      <c r="I121" s="20"/>
      <c r="J121" s="20"/>
      <c r="K121" s="20"/>
      <c r="L121" s="20"/>
      <c r="M121" s="20"/>
      <c r="N121" s="20"/>
      <c r="O121" s="20"/>
      <c r="P121" s="20"/>
      <c r="Q121" s="20"/>
      <c r="R121" s="20"/>
      <c r="S121" s="20"/>
      <c r="T121" s="20"/>
      <c r="U121" s="4"/>
      <c r="V121" s="4"/>
      <c r="W121" s="4"/>
      <c r="X121" s="4"/>
      <c r="Y121" s="4"/>
      <c r="Z121" s="4"/>
      <c r="AA121" s="4"/>
      <c r="AB121" s="4"/>
      <c r="AC121" s="4"/>
      <c r="AD121" s="4"/>
      <c r="AE121" s="4"/>
      <c r="AF121" s="4"/>
      <c r="AG121" s="4"/>
      <c r="AH121" s="4"/>
      <c r="AI121" s="4"/>
      <c r="AJ121" s="4"/>
      <c r="AK121" s="4"/>
      <c r="AL121" s="4"/>
      <c r="AM121" s="4"/>
      <c r="AN121" s="4"/>
      <c r="AO121" s="4"/>
    </row>
    <row r="122" spans="1:41" ht="15" x14ac:dyDescent="0.2">
      <c r="A122" s="20"/>
      <c r="B122" s="20"/>
      <c r="C122" s="20"/>
      <c r="D122" s="20"/>
      <c r="E122" s="20"/>
      <c r="F122" s="20"/>
      <c r="G122" s="20"/>
      <c r="H122" s="20"/>
      <c r="I122" s="20"/>
      <c r="J122" s="20"/>
      <c r="K122" s="20"/>
      <c r="L122" s="20"/>
      <c r="M122" s="20"/>
      <c r="N122" s="20"/>
      <c r="O122" s="20"/>
      <c r="P122" s="20"/>
      <c r="Q122" s="20"/>
      <c r="R122" s="20"/>
      <c r="S122" s="20"/>
      <c r="T122" s="20"/>
      <c r="U122" s="4"/>
      <c r="V122" s="4"/>
      <c r="W122" s="4"/>
      <c r="X122" s="4"/>
      <c r="Y122" s="4"/>
      <c r="Z122" s="4"/>
      <c r="AA122" s="4"/>
      <c r="AB122" s="4"/>
      <c r="AC122" s="4"/>
      <c r="AD122" s="4"/>
      <c r="AE122" s="4"/>
      <c r="AF122" s="4"/>
      <c r="AG122" s="4"/>
      <c r="AH122" s="4"/>
      <c r="AI122" s="4"/>
      <c r="AJ122" s="4"/>
      <c r="AK122" s="4"/>
      <c r="AL122" s="4"/>
      <c r="AM122" s="4"/>
      <c r="AN122" s="4"/>
      <c r="AO122" s="4"/>
    </row>
    <row r="123" spans="1:41" ht="15" x14ac:dyDescent="0.2">
      <c r="A123" s="20"/>
      <c r="B123" s="20"/>
      <c r="C123" s="20"/>
      <c r="D123" s="20"/>
      <c r="E123" s="20"/>
      <c r="F123" s="20"/>
      <c r="G123" s="20"/>
      <c r="H123" s="20"/>
      <c r="I123" s="20"/>
      <c r="J123" s="20"/>
      <c r="K123" s="20"/>
      <c r="L123" s="20"/>
      <c r="M123" s="20"/>
      <c r="N123" s="20"/>
      <c r="O123" s="20"/>
      <c r="P123" s="20"/>
      <c r="Q123" s="20"/>
      <c r="R123" s="20"/>
      <c r="S123" s="20"/>
      <c r="T123" s="20"/>
      <c r="U123" s="4"/>
      <c r="V123" s="4"/>
      <c r="W123" s="4"/>
      <c r="X123" s="4"/>
      <c r="Y123" s="4"/>
      <c r="Z123" s="4"/>
      <c r="AA123" s="4"/>
      <c r="AB123" s="4"/>
      <c r="AC123" s="4"/>
      <c r="AD123" s="4"/>
      <c r="AE123" s="4"/>
      <c r="AF123" s="4"/>
      <c r="AG123" s="4"/>
      <c r="AH123" s="4"/>
      <c r="AI123" s="4"/>
      <c r="AJ123" s="4"/>
      <c r="AK123" s="4"/>
      <c r="AL123" s="4"/>
      <c r="AM123" s="4"/>
      <c r="AN123" s="4"/>
      <c r="AO123" s="4"/>
    </row>
    <row r="124" spans="1:41" ht="15" x14ac:dyDescent="0.2">
      <c r="A124" s="20"/>
      <c r="B124" s="20"/>
      <c r="C124" s="20"/>
      <c r="D124" s="20"/>
      <c r="E124" s="20"/>
      <c r="F124" s="20"/>
      <c r="G124" s="20"/>
      <c r="H124" s="20"/>
      <c r="I124" s="20"/>
      <c r="J124" s="20"/>
      <c r="K124" s="20"/>
      <c r="L124" s="20"/>
      <c r="M124" s="20"/>
      <c r="N124" s="20"/>
      <c r="O124" s="20"/>
      <c r="P124" s="20"/>
      <c r="Q124" s="20"/>
      <c r="R124" s="20"/>
      <c r="S124" s="20"/>
      <c r="T124" s="20"/>
      <c r="U124" s="4"/>
      <c r="V124" s="4"/>
      <c r="W124" s="4"/>
      <c r="X124" s="4"/>
      <c r="Y124" s="4"/>
      <c r="Z124" s="4"/>
      <c r="AA124" s="4"/>
      <c r="AB124" s="4"/>
      <c r="AC124" s="4"/>
      <c r="AD124" s="4"/>
      <c r="AE124" s="4"/>
      <c r="AF124" s="4"/>
      <c r="AG124" s="4"/>
      <c r="AH124" s="4"/>
      <c r="AI124" s="4"/>
      <c r="AJ124" s="4"/>
      <c r="AK124" s="4"/>
      <c r="AL124" s="4"/>
      <c r="AM124" s="4"/>
      <c r="AN124" s="4"/>
      <c r="AO124" s="4"/>
    </row>
    <row r="125" spans="1:41" ht="15" x14ac:dyDescent="0.2">
      <c r="A125" s="20"/>
      <c r="B125" s="20"/>
      <c r="C125" s="20"/>
      <c r="D125" s="20"/>
      <c r="E125" s="20"/>
      <c r="F125" s="20"/>
      <c r="G125" s="20"/>
      <c r="H125" s="20"/>
      <c r="I125" s="20"/>
      <c r="J125" s="20"/>
      <c r="K125" s="20"/>
      <c r="L125" s="20"/>
      <c r="M125" s="20"/>
      <c r="N125" s="20"/>
      <c r="O125" s="20"/>
      <c r="P125" s="20"/>
      <c r="Q125" s="20"/>
      <c r="R125" s="20"/>
      <c r="S125" s="20"/>
      <c r="T125" s="20"/>
      <c r="U125" s="4"/>
      <c r="V125" s="4"/>
      <c r="W125" s="4"/>
      <c r="X125" s="4"/>
      <c r="Y125" s="4"/>
      <c r="Z125" s="4"/>
      <c r="AA125" s="4"/>
      <c r="AB125" s="4"/>
      <c r="AC125" s="4"/>
      <c r="AD125" s="4"/>
      <c r="AE125" s="4"/>
      <c r="AF125" s="4"/>
      <c r="AG125" s="4"/>
      <c r="AH125" s="4"/>
      <c r="AI125" s="4"/>
      <c r="AJ125" s="4"/>
      <c r="AK125" s="4"/>
      <c r="AL125" s="4"/>
      <c r="AM125" s="4"/>
      <c r="AN125" s="4"/>
      <c r="AO125" s="4"/>
    </row>
    <row r="126" spans="1:41" ht="15" x14ac:dyDescent="0.2">
      <c r="A126" s="20"/>
      <c r="B126" s="20"/>
      <c r="C126" s="20"/>
      <c r="D126" s="20"/>
      <c r="E126" s="20"/>
      <c r="F126" s="20"/>
      <c r="G126" s="20"/>
      <c r="H126" s="20"/>
      <c r="I126" s="20"/>
      <c r="J126" s="20"/>
      <c r="K126" s="20"/>
      <c r="L126" s="20"/>
      <c r="M126" s="20"/>
      <c r="N126" s="20"/>
      <c r="O126" s="20"/>
      <c r="P126" s="20"/>
      <c r="Q126" s="20"/>
      <c r="R126" s="20"/>
      <c r="S126" s="20"/>
      <c r="T126" s="20"/>
      <c r="U126" s="4"/>
      <c r="V126" s="4"/>
      <c r="W126" s="4"/>
      <c r="X126" s="4"/>
      <c r="Y126" s="4"/>
      <c r="Z126" s="4"/>
      <c r="AA126" s="4"/>
      <c r="AB126" s="4"/>
      <c r="AC126" s="4"/>
      <c r="AD126" s="4"/>
      <c r="AE126" s="4"/>
      <c r="AF126" s="4"/>
      <c r="AG126" s="4"/>
      <c r="AH126" s="4"/>
      <c r="AI126" s="4"/>
      <c r="AJ126" s="4"/>
      <c r="AK126" s="4"/>
      <c r="AL126" s="4"/>
      <c r="AM126" s="4"/>
      <c r="AN126" s="4"/>
      <c r="AO126" s="4"/>
    </row>
    <row r="127" spans="1:41" ht="15" x14ac:dyDescent="0.2">
      <c r="A127" s="20"/>
      <c r="B127" s="20"/>
      <c r="C127" s="20"/>
      <c r="D127" s="20"/>
      <c r="E127" s="20"/>
      <c r="F127" s="20"/>
      <c r="G127" s="20"/>
      <c r="H127" s="20"/>
      <c r="I127" s="20"/>
      <c r="J127" s="20"/>
      <c r="K127" s="20"/>
      <c r="L127" s="20"/>
      <c r="M127" s="20"/>
      <c r="N127" s="20"/>
      <c r="O127" s="20"/>
      <c r="P127" s="20"/>
      <c r="Q127" s="20"/>
      <c r="R127" s="20"/>
      <c r="S127" s="20"/>
      <c r="T127" s="20"/>
      <c r="U127" s="4"/>
      <c r="V127" s="4"/>
      <c r="W127" s="4"/>
      <c r="X127" s="4"/>
      <c r="Y127" s="4"/>
      <c r="Z127" s="4"/>
      <c r="AA127" s="4"/>
      <c r="AB127" s="4"/>
      <c r="AC127" s="4"/>
      <c r="AD127" s="4"/>
      <c r="AE127" s="4"/>
      <c r="AF127" s="4"/>
      <c r="AG127" s="4"/>
      <c r="AH127" s="4"/>
      <c r="AI127" s="4"/>
      <c r="AJ127" s="4"/>
      <c r="AK127" s="4"/>
      <c r="AL127" s="4"/>
      <c r="AM127" s="4"/>
      <c r="AN127" s="4"/>
      <c r="AO127" s="4"/>
    </row>
    <row r="128" spans="1:41" ht="15" x14ac:dyDescent="0.2">
      <c r="A128" s="20"/>
      <c r="B128" s="20"/>
      <c r="C128" s="20"/>
      <c r="D128" s="20"/>
      <c r="E128" s="20"/>
      <c r="F128" s="20"/>
      <c r="G128" s="20"/>
      <c r="H128" s="20"/>
      <c r="I128" s="20"/>
      <c r="J128" s="20"/>
      <c r="K128" s="20"/>
      <c r="L128" s="20"/>
      <c r="M128" s="20"/>
      <c r="N128" s="20"/>
      <c r="O128" s="20"/>
      <c r="P128" s="20"/>
      <c r="Q128" s="20"/>
      <c r="R128" s="20"/>
      <c r="S128" s="20"/>
      <c r="T128" s="20"/>
      <c r="U128" s="4"/>
      <c r="V128" s="4"/>
      <c r="W128" s="4"/>
      <c r="X128" s="4"/>
      <c r="Y128" s="4"/>
      <c r="Z128" s="4"/>
      <c r="AA128" s="4"/>
      <c r="AB128" s="4"/>
      <c r="AC128" s="4"/>
      <c r="AD128" s="4"/>
      <c r="AE128" s="4"/>
      <c r="AF128" s="4"/>
      <c r="AG128" s="4"/>
      <c r="AH128" s="4"/>
      <c r="AI128" s="4"/>
      <c r="AJ128" s="4"/>
      <c r="AK128" s="4"/>
      <c r="AL128" s="4"/>
      <c r="AM128" s="4"/>
      <c r="AN128" s="4"/>
      <c r="AO128" s="4"/>
    </row>
    <row r="129" spans="1:41" ht="15" x14ac:dyDescent="0.2">
      <c r="A129" s="20"/>
      <c r="B129" s="20"/>
      <c r="C129" s="20"/>
      <c r="D129" s="20"/>
      <c r="E129" s="20"/>
      <c r="F129" s="20"/>
      <c r="G129" s="20"/>
      <c r="H129" s="20"/>
      <c r="I129" s="20"/>
      <c r="J129" s="20"/>
      <c r="K129" s="20"/>
      <c r="L129" s="20"/>
      <c r="M129" s="20"/>
      <c r="N129" s="20"/>
      <c r="O129" s="20"/>
      <c r="P129" s="20"/>
      <c r="Q129" s="20"/>
      <c r="R129" s="20"/>
      <c r="S129" s="20"/>
      <c r="T129" s="20"/>
      <c r="U129" s="4"/>
      <c r="V129" s="4"/>
      <c r="W129" s="4"/>
      <c r="X129" s="4"/>
      <c r="Y129" s="4"/>
      <c r="Z129" s="4"/>
      <c r="AA129" s="4"/>
      <c r="AB129" s="4"/>
      <c r="AC129" s="4"/>
      <c r="AD129" s="4"/>
      <c r="AE129" s="4"/>
      <c r="AF129" s="4"/>
      <c r="AG129" s="4"/>
      <c r="AH129" s="4"/>
      <c r="AI129" s="4"/>
      <c r="AJ129" s="4"/>
      <c r="AK129" s="4"/>
      <c r="AL129" s="4"/>
      <c r="AM129" s="4"/>
      <c r="AN129" s="4"/>
      <c r="AO129" s="4"/>
    </row>
    <row r="130" spans="1:41" ht="15" x14ac:dyDescent="0.2">
      <c r="A130" s="20"/>
      <c r="B130" s="20"/>
      <c r="C130" s="20"/>
      <c r="D130" s="20"/>
      <c r="E130" s="20"/>
      <c r="F130" s="20"/>
      <c r="G130" s="20"/>
      <c r="H130" s="20"/>
      <c r="I130" s="20"/>
      <c r="J130" s="20"/>
      <c r="K130" s="20"/>
      <c r="L130" s="20"/>
      <c r="M130" s="20"/>
      <c r="N130" s="20"/>
      <c r="O130" s="20"/>
      <c r="P130" s="20"/>
      <c r="Q130" s="20"/>
      <c r="R130" s="20"/>
      <c r="S130" s="20"/>
      <c r="T130" s="20"/>
      <c r="U130" s="4"/>
      <c r="V130" s="4"/>
      <c r="W130" s="4"/>
      <c r="X130" s="4"/>
      <c r="Y130" s="4"/>
      <c r="Z130" s="4"/>
      <c r="AA130" s="4"/>
      <c r="AB130" s="4"/>
      <c r="AC130" s="4"/>
      <c r="AD130" s="4"/>
      <c r="AE130" s="4"/>
      <c r="AF130" s="4"/>
      <c r="AG130" s="4"/>
      <c r="AH130" s="4"/>
      <c r="AI130" s="4"/>
      <c r="AJ130" s="4"/>
      <c r="AK130" s="4"/>
      <c r="AL130" s="4"/>
      <c r="AM130" s="4"/>
      <c r="AN130" s="4"/>
      <c r="AO130" s="4"/>
    </row>
    <row r="131" spans="1:41" ht="15" x14ac:dyDescent="0.2">
      <c r="A131" s="20"/>
      <c r="B131" s="20"/>
      <c r="C131" s="20"/>
      <c r="D131" s="20"/>
      <c r="E131" s="20"/>
      <c r="F131" s="20"/>
      <c r="G131" s="20"/>
      <c r="H131" s="20"/>
      <c r="I131" s="20"/>
      <c r="J131" s="20"/>
      <c r="K131" s="20"/>
      <c r="L131" s="20"/>
      <c r="M131" s="20"/>
      <c r="N131" s="20"/>
      <c r="O131" s="20"/>
      <c r="P131" s="20"/>
      <c r="Q131" s="20"/>
      <c r="R131" s="20"/>
      <c r="S131" s="20"/>
      <c r="T131" s="20"/>
      <c r="U131" s="4"/>
      <c r="V131" s="4"/>
      <c r="W131" s="4"/>
      <c r="X131" s="4"/>
      <c r="Y131" s="4"/>
      <c r="Z131" s="4"/>
      <c r="AA131" s="4"/>
      <c r="AB131" s="4"/>
      <c r="AC131" s="4"/>
      <c r="AD131" s="4"/>
      <c r="AE131" s="4"/>
      <c r="AF131" s="4"/>
      <c r="AG131" s="4"/>
      <c r="AH131" s="4"/>
      <c r="AI131" s="4"/>
      <c r="AJ131" s="4"/>
      <c r="AK131" s="4"/>
      <c r="AL131" s="4"/>
      <c r="AM131" s="4"/>
      <c r="AN131" s="4"/>
      <c r="AO131" s="4"/>
    </row>
    <row r="132" spans="1:41" ht="15" x14ac:dyDescent="0.2">
      <c r="A132" s="20"/>
      <c r="B132" s="20"/>
      <c r="C132" s="20"/>
      <c r="D132" s="20"/>
      <c r="E132" s="20"/>
      <c r="F132" s="20"/>
      <c r="G132" s="20"/>
      <c r="H132" s="20"/>
      <c r="I132" s="20"/>
      <c r="J132" s="20"/>
      <c r="K132" s="20"/>
      <c r="L132" s="20"/>
      <c r="M132" s="20"/>
      <c r="N132" s="20"/>
      <c r="O132" s="20"/>
      <c r="P132" s="20"/>
      <c r="Q132" s="20"/>
      <c r="R132" s="20"/>
      <c r="S132" s="20"/>
      <c r="T132" s="20"/>
      <c r="U132" s="4"/>
      <c r="V132" s="4"/>
      <c r="W132" s="4"/>
      <c r="X132" s="4"/>
      <c r="Y132" s="4"/>
      <c r="Z132" s="4"/>
      <c r="AA132" s="4"/>
      <c r="AB132" s="4"/>
      <c r="AC132" s="4"/>
      <c r="AD132" s="4"/>
      <c r="AE132" s="4"/>
      <c r="AF132" s="4"/>
      <c r="AG132" s="4"/>
      <c r="AH132" s="4"/>
      <c r="AI132" s="4"/>
      <c r="AJ132" s="4"/>
      <c r="AK132" s="4"/>
      <c r="AL132" s="4"/>
      <c r="AM132" s="4"/>
      <c r="AN132" s="4"/>
      <c r="AO132" s="4"/>
    </row>
    <row r="133" spans="1:41" ht="15.75" x14ac:dyDescent="0.25">
      <c r="A133" s="11"/>
      <c r="B133" s="11"/>
      <c r="C133" s="11"/>
      <c r="D133" s="11"/>
      <c r="E133" s="11"/>
      <c r="F133" s="11"/>
      <c r="G133" s="11"/>
      <c r="H133" s="11"/>
      <c r="I133" s="11"/>
      <c r="J133" s="11"/>
      <c r="K133" s="11"/>
      <c r="L133" s="11"/>
      <c r="M133" s="11"/>
      <c r="N133" s="11"/>
      <c r="O133" s="11"/>
      <c r="P133" s="11"/>
      <c r="Q133" s="11"/>
      <c r="R133" s="11"/>
      <c r="S133" s="11"/>
      <c r="T133" s="11"/>
    </row>
    <row r="134" spans="1:41" ht="15.75" x14ac:dyDescent="0.25">
      <c r="A134" s="11"/>
      <c r="B134" s="11"/>
      <c r="C134" s="11"/>
      <c r="D134" s="11"/>
      <c r="E134" s="11"/>
      <c r="F134" s="11"/>
      <c r="G134" s="11"/>
      <c r="H134" s="11"/>
      <c r="I134" s="11"/>
      <c r="J134" s="11"/>
      <c r="K134" s="11"/>
      <c r="L134" s="11"/>
      <c r="M134" s="11"/>
      <c r="N134" s="11"/>
      <c r="O134" s="11"/>
      <c r="P134" s="11"/>
      <c r="Q134" s="11"/>
      <c r="R134" s="11"/>
      <c r="S134" s="11"/>
      <c r="T134" s="11"/>
    </row>
    <row r="135" spans="1:41" ht="15.75" x14ac:dyDescent="0.25">
      <c r="A135" s="11"/>
      <c r="B135" s="11"/>
      <c r="C135" s="11"/>
      <c r="D135" s="11"/>
      <c r="E135" s="11"/>
      <c r="F135" s="11"/>
      <c r="G135" s="11"/>
      <c r="H135" s="11"/>
      <c r="I135" s="11"/>
      <c r="J135" s="11"/>
      <c r="K135" s="11"/>
      <c r="L135" s="11"/>
      <c r="M135" s="11"/>
      <c r="N135" s="11"/>
      <c r="O135" s="11"/>
      <c r="P135" s="11"/>
      <c r="Q135" s="11"/>
      <c r="R135" s="11"/>
      <c r="S135" s="11"/>
      <c r="T135" s="11"/>
    </row>
    <row r="136" spans="1:41" ht="15.75" x14ac:dyDescent="0.25">
      <c r="A136" s="11"/>
      <c r="B136" s="11"/>
      <c r="C136" s="11"/>
      <c r="D136" s="11"/>
      <c r="E136" s="11"/>
      <c r="F136" s="11"/>
      <c r="G136" s="11"/>
      <c r="H136" s="11"/>
      <c r="I136" s="11"/>
      <c r="J136" s="11"/>
      <c r="K136" s="11"/>
      <c r="L136" s="11"/>
      <c r="M136" s="11"/>
      <c r="N136" s="11"/>
      <c r="O136" s="11"/>
      <c r="P136" s="11"/>
      <c r="Q136" s="11"/>
      <c r="R136" s="11"/>
      <c r="S136" s="11"/>
      <c r="T136" s="11"/>
    </row>
    <row r="137" spans="1:41" ht="15.75" x14ac:dyDescent="0.25">
      <c r="A137" s="11"/>
      <c r="B137" s="11"/>
      <c r="C137" s="11"/>
      <c r="D137" s="11"/>
      <c r="E137" s="11"/>
      <c r="F137" s="11"/>
      <c r="G137" s="11"/>
      <c r="H137" s="11"/>
      <c r="I137" s="11"/>
      <c r="J137" s="11"/>
      <c r="K137" s="11"/>
      <c r="L137" s="11"/>
      <c r="M137" s="11"/>
      <c r="N137" s="11"/>
      <c r="O137" s="11"/>
      <c r="P137" s="11"/>
      <c r="Q137" s="11"/>
      <c r="R137" s="11"/>
      <c r="S137" s="11"/>
      <c r="T137" s="11"/>
    </row>
    <row r="138" spans="1:41" ht="15.75" x14ac:dyDescent="0.25">
      <c r="A138" s="11"/>
      <c r="B138" s="11"/>
      <c r="C138" s="11"/>
      <c r="D138" s="11"/>
      <c r="E138" s="11"/>
      <c r="F138" s="11"/>
      <c r="G138" s="11"/>
      <c r="H138" s="11"/>
      <c r="I138" s="11"/>
      <c r="J138" s="11"/>
      <c r="K138" s="11"/>
      <c r="L138" s="11"/>
      <c r="M138" s="11"/>
      <c r="N138" s="11"/>
      <c r="O138" s="11"/>
      <c r="P138" s="11"/>
      <c r="Q138" s="11"/>
      <c r="R138" s="11"/>
      <c r="S138" s="11"/>
      <c r="T138" s="11"/>
    </row>
    <row r="139" spans="1:41" ht="15.75" x14ac:dyDescent="0.25">
      <c r="A139" s="11"/>
      <c r="B139" s="11"/>
      <c r="C139" s="11"/>
      <c r="D139" s="11"/>
      <c r="E139" s="11"/>
      <c r="F139" s="11"/>
      <c r="G139" s="11"/>
      <c r="H139" s="11"/>
      <c r="I139" s="11"/>
      <c r="J139" s="11"/>
      <c r="K139" s="11"/>
      <c r="L139" s="11"/>
      <c r="M139" s="11"/>
      <c r="N139" s="11"/>
      <c r="O139" s="11"/>
      <c r="P139" s="11"/>
      <c r="Q139" s="11"/>
      <c r="R139" s="11"/>
      <c r="S139" s="11"/>
      <c r="T139" s="11"/>
    </row>
    <row r="140" spans="1:41" ht="15.75" x14ac:dyDescent="0.25">
      <c r="B140" s="11"/>
      <c r="C140" s="11"/>
      <c r="D140" s="11"/>
      <c r="E140" s="11"/>
      <c r="F140" s="11"/>
      <c r="G140" s="11"/>
      <c r="H140" s="11"/>
      <c r="I140" s="11"/>
      <c r="J140" s="11"/>
      <c r="K140" s="11"/>
      <c r="L140" s="11"/>
      <c r="M140" s="11"/>
      <c r="N140" s="11"/>
      <c r="O140" s="11"/>
      <c r="P140" s="11"/>
      <c r="Q140" s="11"/>
      <c r="R140" s="11"/>
      <c r="S140" s="11"/>
      <c r="T140" s="11"/>
    </row>
  </sheetData>
  <mergeCells count="12">
    <mergeCell ref="A1:F1"/>
    <mergeCell ref="A4:F4"/>
    <mergeCell ref="A3:F3"/>
    <mergeCell ref="A2:F2"/>
    <mergeCell ref="B7:D7"/>
    <mergeCell ref="B6:E6"/>
    <mergeCell ref="M2:O3"/>
    <mergeCell ref="B8:D8"/>
    <mergeCell ref="J5:O5"/>
    <mergeCell ref="J6:L6"/>
    <mergeCell ref="M6:O6"/>
    <mergeCell ref="H6:H9"/>
  </mergeCells>
  <phoneticPr fontId="0" type="noConversion"/>
  <conditionalFormatting sqref="B44:F47 J44:O46 H25 H34:H35">
    <cfRule type="cellIs" dxfId="80" priority="1" stopIfTrue="1" operator="notEqual">
      <formula>"Yes"</formula>
    </cfRule>
  </conditionalFormatting>
  <pageMargins left="0.75" right="0.75" top="0.75" bottom="0.75" header="0.5" footer="0.5"/>
  <pageSetup scale="81" firstPageNumber="19" orientation="portrait" useFirstPageNumber="1" r:id="rId1"/>
  <headerFooter alignWithMargins="0">
    <oddHeader>&amp;R&amp;12Exhibit 8</oddHeader>
    <oddFooter>&amp;L&amp;12Revised:  July 2020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b0d8bf0e-b15b-456f-8ae4-2bdf59acac1f" xsi:nil="true"/>
    <Publication_x0020_Date xmlns="b0d8bf0e-b15b-456f-8ae4-2bdf59acac1f" xsi:nil="true"/>
    <Sort_x0020_Order xmlns="b0d8bf0e-b15b-456f-8ae4-2bdf59acac1f" xsi:nil="true"/>
    <Category xmlns="b0d8bf0e-b15b-456f-8ae4-2bdf59acac1f" xsi:nil="true"/>
    <Resource_x0020_Category xmlns="b0d8bf0e-b15b-456f-8ae4-2bdf59acac1f" xsi:nil="true"/>
    <Resource_x0020_Group xmlns="b0d8bf0e-b15b-456f-8ae4-2bdf59acac1f"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A29A487-B236-44C7-9BE6-75C0D3156BCD}">
  <ds:schemaRefs>
    <ds:schemaRef ds:uri="http://schemas.microsoft.com/sharepoint/v3/contenttype/forms"/>
  </ds:schemaRefs>
</ds:datastoreItem>
</file>

<file path=customXml/itemProps2.xml><?xml version="1.0" encoding="utf-8"?>
<ds:datastoreItem xmlns:ds="http://schemas.openxmlformats.org/officeDocument/2006/customXml" ds:itemID="{D8607B84-AE66-441B-93DE-4CFD0A30B85D}">
  <ds:schemaRefs>
    <ds:schemaRef ds:uri="d4ea4015-5b02-447c-9074-d5807a41497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0d8bf0e-b15b-456f-8ae4-2bdf59acac1f"/>
    <ds:schemaRef ds:uri="http://purl.org/dc/elements/1.1/"/>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10401434-C9BA-43D9-B0A8-3631D77E5351}">
  <ds:schemaRefs>
    <ds:schemaRef ds:uri="http://schemas.microsoft.com/sharepoint/events"/>
  </ds:schemaRefs>
</ds:datastoreItem>
</file>

<file path=customXml/itemProps4.xml><?xml version="1.0" encoding="utf-8"?>
<ds:datastoreItem xmlns:ds="http://schemas.openxmlformats.org/officeDocument/2006/customXml" ds:itemID="{A7C49F21-C0E8-43EA-9914-34DFAFFAE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9FEAD76-AA36-42DE-AE23-642550B92DF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Check Sheet</vt:lpstr>
      <vt:lpstr>GW Net Position Exh 1</vt:lpstr>
      <vt:lpstr>GW Stmt Activities Exh 2</vt:lpstr>
      <vt:lpstr>Govt Funds Bal Sh Exh 3</vt:lpstr>
      <vt:lpstr>Govt Funds Inc Stmt Exh 4</vt:lpstr>
      <vt:lpstr>Recon Change Net Pos Exh 5</vt:lpstr>
      <vt:lpstr>Enterprise Net Position Exh 6</vt:lpstr>
      <vt:lpstr>Enterprise Income Stmt Exh 7</vt:lpstr>
      <vt:lpstr>Enterprise Cash Flow Exh 8</vt:lpstr>
      <vt:lpstr>Doceo Cnty etc SRF Bal Sh - SI</vt:lpstr>
      <vt:lpstr>Doceo Cnty etc SRF Inc St - SI</vt:lpstr>
      <vt:lpstr>Doceo Enterprise Net Pos - SI</vt:lpstr>
      <vt:lpstr>Doceo Enterprise Inc Stmt - SI</vt:lpstr>
      <vt:lpstr>Doceo Enterprise Cash Flow - SI</vt:lpstr>
      <vt:lpstr>Blank Page (2)</vt:lpstr>
      <vt:lpstr>Erudio Cnty etc SRF Bal Sh - SI</vt:lpstr>
      <vt:lpstr>Erudio Cnty etc SRF Inc St - SI</vt:lpstr>
      <vt:lpstr>Erudio Enterprise Net Pos - SI</vt:lpstr>
      <vt:lpstr>Erudio Enterprise Inc Stmt - SI</vt:lpstr>
      <vt:lpstr>Erudio Enterprise Cash Flow- SI</vt:lpstr>
      <vt:lpstr>Blank Page (3)</vt:lpstr>
      <vt:lpstr>Discite Cnty etc SRF Bal Sh- SI</vt:lpstr>
      <vt:lpstr>Discite Cnty etc SRF Inc St- SI</vt:lpstr>
      <vt:lpstr>Discite Enterprise Net Pos - SI</vt:lpstr>
      <vt:lpstr>Discite Enterprise Inc Stmt- SI</vt:lpstr>
      <vt:lpstr>Discite Enterprise CashFlow- SI</vt:lpstr>
      <vt:lpstr>Blank Page (4)</vt:lpstr>
      <vt:lpstr>Nonprofit - General Fund B-A</vt:lpstr>
      <vt:lpstr>School County etc SRF IS B-A</vt:lpstr>
      <vt:lpstr>State Public School SRF IS B-A</vt:lpstr>
      <vt:lpstr>Fed Grants SRF IS B-A</vt:lpstr>
      <vt:lpstr>Student Activity B-A</vt:lpstr>
      <vt:lpstr>Food Service B-A</vt:lpstr>
      <vt:lpstr>Blank Page</vt:lpstr>
      <vt:lpstr>Major Fund Det</vt:lpstr>
      <vt:lpstr>Child Care B-A</vt:lpstr>
      <vt:lpstr>'Blank Page'!Print_Area</vt:lpstr>
      <vt:lpstr>'Blank Page (2)'!Print_Area</vt:lpstr>
      <vt:lpstr>'Blank Page (3)'!Print_Area</vt:lpstr>
      <vt:lpstr>'Blank Page (4)'!Print_Area</vt:lpstr>
      <vt:lpstr>'Check Sheet'!Print_Area</vt:lpstr>
      <vt:lpstr>'Child Care B-A'!Print_Area</vt:lpstr>
      <vt:lpstr>'Discite Cnty etc SRF Bal Sh- SI'!Print_Area</vt:lpstr>
      <vt:lpstr>'Discite Cnty etc SRF Inc St- SI'!Print_Area</vt:lpstr>
      <vt:lpstr>'Discite Enterprise CashFlow- SI'!Print_Area</vt:lpstr>
      <vt:lpstr>'Discite Enterprise Inc Stmt- SI'!Print_Area</vt:lpstr>
      <vt:lpstr>'Discite Enterprise Net Pos - SI'!Print_Area</vt:lpstr>
      <vt:lpstr>'Doceo Cnty etc SRF Bal Sh - SI'!Print_Area</vt:lpstr>
      <vt:lpstr>'Doceo Cnty etc SRF Inc St - SI'!Print_Area</vt:lpstr>
      <vt:lpstr>'Doceo Enterprise Cash Flow - SI'!Print_Area</vt:lpstr>
      <vt:lpstr>'Doceo Enterprise Inc Stmt - SI'!Print_Area</vt:lpstr>
      <vt:lpstr>'Doceo Enterprise Net Pos - SI'!Print_Area</vt:lpstr>
      <vt:lpstr>'Enterprise Cash Flow Exh 8'!Print_Area</vt:lpstr>
      <vt:lpstr>'Enterprise Income Stmt Exh 7'!Print_Area</vt:lpstr>
      <vt:lpstr>'Enterprise Net Position Exh 6'!Print_Area</vt:lpstr>
      <vt:lpstr>'Erudio Cnty etc SRF Bal Sh - SI'!Print_Area</vt:lpstr>
      <vt:lpstr>'Erudio Cnty etc SRF Inc St - SI'!Print_Area</vt:lpstr>
      <vt:lpstr>'Erudio Enterprise Cash Flow- SI'!Print_Area</vt:lpstr>
      <vt:lpstr>'Erudio Enterprise Inc Stmt - SI'!Print_Area</vt:lpstr>
      <vt:lpstr>'Erudio Enterprise Net Pos - SI'!Print_Area</vt:lpstr>
      <vt:lpstr>'Fed Grants SRF IS B-A'!Print_Area</vt:lpstr>
      <vt:lpstr>'Food Service B-A'!Print_Area</vt:lpstr>
      <vt:lpstr>'Govt Funds Bal Sh Exh 3'!Print_Area</vt:lpstr>
      <vt:lpstr>'Govt Funds Inc Stmt Exh 4'!Print_Area</vt:lpstr>
      <vt:lpstr>'GW Net Position Exh 1'!Print_Area</vt:lpstr>
      <vt:lpstr>'GW Stmt Activities Exh 2'!Print_Area</vt:lpstr>
      <vt:lpstr>'Major Fund Det'!Print_Area</vt:lpstr>
      <vt:lpstr>'Nonprofit - General Fund B-A'!Print_Area</vt:lpstr>
      <vt:lpstr>'Recon Change Net Pos Exh 5'!Print_Area</vt:lpstr>
      <vt:lpstr>'School County etc SRF IS B-A'!Print_Area</vt:lpstr>
      <vt:lpstr>'State Public School SRF IS B-A'!Print_Area</vt:lpstr>
      <vt:lpstr>'Student Activity B-A'!Print_Area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Cardinal Charter School Exhibits and Statements</dc:title>
  <dc:creator>Samatha Cox</dc:creator>
  <cp:keywords>Cardinal Charter School</cp:keywords>
  <cp:lastModifiedBy>Jones Norris</cp:lastModifiedBy>
  <cp:lastPrinted>2020-07-31T20:06:31Z</cp:lastPrinted>
  <dcterms:created xsi:type="dcterms:W3CDTF">2001-01-26T20:11:38Z</dcterms:created>
  <dcterms:modified xsi:type="dcterms:W3CDTF">2020-07-31T20:18:32Z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display_urn:schemas-microsoft-com:office:office#Author">
    <vt:lpwstr>Lawrence Koffa</vt:lpwstr>
  </property>
  <property fmtid="{D5CDD505-2E9C-101B-9397-08002B2CF9AE}" pid="4" name="_dlc_DocId">
    <vt:lpwstr/>
  </property>
</Properties>
</file>